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G9" i="18"/>
  <c r="F9" i="18"/>
  <c r="F10" i="18" s="1"/>
  <c r="E9" i="18"/>
  <c r="D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B8" i="18" s="1"/>
  <c r="M30" i="18"/>
  <c r="G22" i="18"/>
  <c r="F22" i="18"/>
  <c r="E22" i="18"/>
  <c r="D22" i="18"/>
  <c r="C22" i="18"/>
  <c r="D20" i="18"/>
  <c r="B17" i="18"/>
  <c r="G12" i="18"/>
  <c r="F12" i="18"/>
  <c r="E12" i="18"/>
  <c r="D12" i="18"/>
  <c r="C12" i="18"/>
  <c r="L10" i="18"/>
  <c r="K10" i="18"/>
  <c r="G10" i="18"/>
  <c r="D10" i="18"/>
  <c r="B6" i="18"/>
  <c r="B5" i="18"/>
  <c r="B4" i="18"/>
  <c r="I50" i="18" l="1"/>
  <c r="H17" i="18" s="1"/>
  <c r="G50" i="18"/>
  <c r="F50" i="18"/>
  <c r="C50" i="18"/>
  <c r="B50" i="18"/>
  <c r="C17" i="18" s="1"/>
  <c r="C20" i="18" s="1"/>
  <c r="C46" i="18"/>
  <c r="E49" i="18" s="1"/>
  <c r="E8" i="18" s="1"/>
  <c r="E10" i="18" s="1"/>
  <c r="F20" i="18"/>
  <c r="B20" i="18"/>
  <c r="O18" i="18"/>
  <c r="H20" i="18"/>
  <c r="G20" i="18"/>
  <c r="K20" i="18"/>
  <c r="B10" i="18"/>
  <c r="O19" i="18"/>
  <c r="O9" i="18"/>
  <c r="D50" i="18"/>
  <c r="H50" i="18"/>
  <c r="E50" i="18"/>
  <c r="E17" i="18" s="1"/>
  <c r="E20" i="18" s="1"/>
  <c r="N6" i="17"/>
  <c r="I17" i="18" l="1"/>
  <c r="I20" i="18" s="1"/>
  <c r="I49" i="18"/>
  <c r="H8" i="18" s="1"/>
  <c r="H10" i="18" s="1"/>
  <c r="G49" i="18"/>
  <c r="I8" i="18" s="1"/>
  <c r="I10" i="18" s="1"/>
  <c r="F49" i="18"/>
  <c r="H49" i="18"/>
  <c r="D49" i="18"/>
  <c r="C49" i="18"/>
  <c r="B49" i="18"/>
  <c r="C8" i="18" s="1"/>
  <c r="C10" i="18" s="1"/>
  <c r="J17" i="18"/>
  <c r="J20" i="18" s="1"/>
  <c r="L6" i="17"/>
  <c r="F6" i="17"/>
  <c r="D6" i="17"/>
  <c r="C6" i="17"/>
  <c r="N16" i="16"/>
  <c r="L16" i="16"/>
  <c r="F16" i="16"/>
  <c r="D16" i="16"/>
  <c r="C16" i="16"/>
  <c r="B16" i="16"/>
  <c r="B13" i="15"/>
  <c r="J8" i="18" l="1"/>
  <c r="J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P4" i="48"/>
  <c r="P22" i="48" s="1"/>
  <c r="Q11" i="14"/>
  <c r="B7" i="48"/>
  <c r="C24" i="14"/>
  <c r="C26" i="14" s="1"/>
  <c r="D4" i="48"/>
  <c r="D22" i="48" s="1"/>
  <c r="E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E23" i="48"/>
  <c r="E33" i="48" s="1"/>
  <c r="N63" i="14"/>
  <c r="H63" i="14"/>
  <c r="E8" i="48"/>
  <c r="E26" i="48" s="1"/>
  <c r="F13" i="14"/>
  <c r="F16" i="14" s="1"/>
  <c r="F27" i="14" s="1"/>
  <c r="F63" i="14" s="1"/>
  <c r="Q5" i="48"/>
  <c r="J22" i="16"/>
  <c r="K43" i="14" s="1"/>
  <c r="K46" i="14" s="1"/>
  <c r="K61" i="14" s="1"/>
  <c r="K63" i="14" s="1"/>
  <c r="K13" i="14"/>
  <c r="K16" i="14" s="1"/>
  <c r="K27" i="14" s="1"/>
  <c r="J8"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<sst xmlns="http://schemas.openxmlformats.org/spreadsheetml/2006/main" count="2465" uniqueCount="929">
  <si>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</si>
  <si>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</si>
  <si>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</si>
  <si>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</si>
  <si>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</si>
  <si>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</si>
  <si>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</si>
  <si>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</si>
  <si>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</si>
  <si>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</si>
  <si>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</si>
  <si>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</si>
  <si>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</si>
  <si>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</si>
  <si>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</si>
  <si>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</si>
  <si>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</si>
  <si>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</si>
  <si>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</si>
  <si>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</si>
  <si>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</si>
  <si>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</si>
  <si>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</si>
  <si>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</si>
  <si>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</si>
  <si>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</si>
  <si>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</si>
  <si>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</si>
  <si>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</si>
  <si>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</si>
  <si>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</si>
  <si>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</si>
  <si>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</si>
  <si>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</si>
  <si>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</si>
  <si>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</si>
  <si>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</si>
  <si>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</si>
  <si>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</si>
  <si>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</si>
  <si>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</si>
  <si>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</si>
  <si>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</si>
  <si>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</si>
  <si>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</si>
  <si>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</si>
  <si>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</si>
  <si>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</si>
  <si>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</si>
  <si>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</si>
  <si>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</si>
  <si>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</si>
  <si>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</si>
  <si>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</si>
  <si>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</si>
  <si>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</si>
  <si>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</si>
  <si>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</si>
  <si>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</si>
  <si>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</si>
  <si>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</si>
  <si>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</si>
  <si>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</si>
  <si>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</si>
  <si>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</si>
  <si>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</si>
  <si>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</si>
  <si>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</si>
  <si>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</si>
  <si>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</si>
  <si>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</si>
  <si>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</si>
  <si>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</si>
  <si>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</si>
  <si>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</si>
  <si>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</si>
  <si>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</si>
  <si>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</si>
  <si>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</si>
  <si>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</si>
  <si>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</si>
  <si>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</si>
  <si>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</si>
  <si>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</si>
  <si>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</si>
  <si>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</si>
  <si>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</si>
  <si>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</si>
  <si>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</si>
  <si>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</si>
  <si>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</si>
  <si>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</si>
  <si>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</si>
  <si>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</si>
  <si>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</si>
  <si>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</si>
  <si>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</si>
  <si>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</si>
  <si>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</si>
  <si>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</si>
  <si>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</si>
  <si>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</si>
  <si>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</si>
  <si>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</si>
  <si>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</si>
  <si>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</si>
  <si>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</si>
  <si>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</si>
  <si>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</si>
  <si>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</si>
  <si>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</si>
  <si>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</si>
  <si>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</si>
  <si>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</si>
  <si>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</si>
  <si>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</si>
  <si>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</si>
  <si>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</si>
  <si>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</si>
  <si>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</si>
  <si>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</si>
  <si>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</si>
  <si>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</si>
  <si>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</si>
  <si>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</si>
  <si>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</si>
  <si>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</si>
  <si>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</si>
  <si>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</si>
  <si>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</si>
  <si>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</si>
  <si>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</si>
  <si>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</si>
  <si>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</si>
  <si>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</si>
  <si>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</si>
  <si>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</si>
  <si>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</si>
  <si>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</si>
  <si>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</si>
  <si>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</si>
  <si>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</si>
  <si>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</si>
  <si>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</si>
  <si>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</si>
  <si>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</si>
  <si>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</si>
  <si>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</si>
  <si>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</si>
  <si>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</si>
  <si>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</si>
  <si>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</si>
  <si>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</si>
  <si>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</si>
  <si>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</si>
  <si>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</si>
  <si>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</si>
  <si>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</si>
  <si>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</si>
  <si>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</si>
  <si>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</si>
  <si>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</si>
  <si>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</si>
  <si>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</si>
  <si>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</si>
  <si>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</si>
  <si>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</si>
  <si>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</si>
  <si>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</si>
  <si>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</si>
  <si>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</si>
  <si>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</si>
  <si>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</si>
  <si>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</si>
  <si>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</si>
  <si>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</si>
  <si>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</si>
  <si>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</si>
  <si>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</si>
  <si>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</si>
  <si>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</si>
  <si>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</si>
  <si>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</si>
  <si>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</si>
  <si>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</si>
  <si>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</si>
  <si>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</si>
  <si>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</si>
  <si>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</si>
  <si>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</si>
  <si>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</si>
  <si>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</si>
  <si>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</si>
  <si>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</si>
  <si>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</si>
  <si>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</si>
  <si>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</si>
  <si>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</si>
  <si>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</si>
  <si>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</si>
  <si>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</si>
  <si>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</si>
  <si>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</si>
  <si>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</si>
  <si>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</si>
  <si>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</si>
  <si>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</si>
  <si>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</si>
  <si>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</si>
  <si>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</si>
  <si>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</si>
  <si>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</si>
  <si>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</si>
  <si>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</si>
  <si>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</si>
  <si>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</si>
  <si>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</si>
  <si>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</si>
  <si>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</si>
  <si>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</si>
  <si>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</si>
  <si>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</si>
  <si>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</si>
  <si>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</si>
  <si>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</si>
  <si>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</si>
  <si>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</si>
  <si>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</si>
  <si>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</si>
  <si>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</si>
  <si>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</si>
  <si>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</si>
  <si>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</si>
  <si>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</si>
  <si>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</si>
  <si>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</si>
  <si>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</si>
  <si>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</si>
  <si>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</si>
  <si>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</si>
  <si>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</si>
  <si>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</si>
  <si>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</si>
  <si>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</si>
  <si>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</si>
  <si>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</si>
  <si>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</si>
  <si>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</si>
  <si>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</si>
  <si>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</si>
  <si>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</si>
  <si>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</si>
  <si>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</si>
  <si>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</si>
  <si>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</si>
  <si>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</si>
  <si>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</si>
  <si>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</si>
  <si>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</si>
  <si>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</si>
  <si>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</si>
  <si>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</si>
  <si>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</si>
  <si>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</si>
  <si>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</si>
  <si>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</si>
  <si>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</si>
  <si>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</si>
  <si>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</si>
  <si>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</si>
  <si>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</si>
  <si>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</si>
  <si>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</si>
  <si>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</si>
  <si>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</si>
  <si>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</si>
  <si>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</si>
  <si>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</si>
  <si>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</si>
  <si>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</si>
  <si>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</si>
  <si>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</si>
  <si>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</si>
  <si>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</si>
  <si>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</si>
  <si>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</si>
  <si>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</si>
  <si>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</si>
  <si>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</si>
  <si>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</si>
  <si>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</si>
  <si>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</si>
  <si>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</si>
  <si>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</si>
  <si>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</si>
  <si>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</si>
  <si>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</si>
  <si>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</si>
  <si>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</si>
  <si>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</si>
  <si>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</si>
  <si>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</si>
  <si>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</si>
  <si>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</si>
  <si>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</si>
  <si>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</si>
  <si>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</si>
  <si>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</si>
  <si>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</si>
  <si>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</si>
  <si>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</si>
  <si>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</si>
  <si>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</si>
  <si>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</si>
  <si>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</si>
  <si>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</si>
  <si>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</si>
  <si>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</si>
  <si>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</si>
  <si>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</si>
  <si>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</si>
  <si>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</si>
  <si>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</si>
  <si>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</si>
  <si>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</si>
  <si>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</si>
  <si>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</si>
  <si>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</si>
  <si>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</si>
  <si>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</si>
  <si>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</si>
  <si>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</si>
  <si>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</si>
  <si>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</si>
  <si>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</si>
  <si>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</si>
  <si>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</si>
  <si>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</si>
  <si>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</si>
  <si>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</si>
  <si>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</si>
  <si>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</si>
  <si>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</si>
  <si>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</si>
  <si>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</si>
  <si>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</si>
  <si>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</si>
  <si>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</si>
  <si>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</si>
  <si>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</si>
  <si>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</si>
  <si>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</si>
  <si>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</si>
  <si>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</si>
  <si>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</si>
  <si>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</si>
  <si>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</si>
  <si>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</si>
  <si>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</si>
  <si>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</si>
  <si>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</si>
  <si>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</si>
  <si>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</si>
  <si>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</si>
  <si>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</si>
  <si>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</si>
  <si>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</si>
  <si>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</si>
  <si>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</si>
  <si>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</si>
  <si>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</si>
  <si>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</si>
  <si>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</si>
  <si>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</si>
  <si>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</si>
  <si>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</si>
  <si>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</si>
  <si>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</si>
  <si>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</si>
  <si>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</si>
  <si>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</si>
  <si>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</si>
  <si>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</si>
  <si>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</si>
  <si>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</si>
  <si>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</si>
  <si>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</si>
  <si>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</si>
  <si>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</si>
  <si>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</si>
  <si>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</si>
  <si>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</si>
  <si>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</si>
  <si>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</si>
  <si>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</si>
  <si>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</si>
  <si>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</si>
  <si>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</si>
  <si>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</si>
  <si>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</si>
  <si>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</si>
  <si>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</si>
  <si>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</si>
  <si>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</si>
  <si>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</si>
  <si>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</si>
  <si>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</si>
  <si>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</si>
  <si>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</si>
  <si>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</si>
  <si>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</si>
  <si>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</si>
  <si>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</si>
  <si>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</si>
  <si>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</si>
  <si>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</si>
  <si>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</si>
  <si>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</si>
  <si>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</si>
  <si>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</si>
  <si>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</si>
  <si>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</si>
  <si>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</si>
  <si>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</si>
  <si>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</si>
  <si>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</si>
  <si>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</si>
  <si>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</si>
  <si>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</si>
  <si>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</si>
  <si>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</si>
  <si>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</si>
  <si>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</si>
  <si>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</si>
  <si>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</si>
  <si>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</si>
  <si>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</si>
  <si>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</si>
  <si>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</si>
  <si>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</si>
  <si>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</si>
  <si>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</si>
  <si>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</si>
  <si>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</si>
  <si>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</si>
  <si>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</si>
  <si>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</si>
  <si>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</si>
  <si>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</si>
  <si>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</si>
  <si>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</si>
  <si>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</si>
  <si>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</si>
  <si>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</si>
  <si>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</si>
  <si>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</si>
  <si>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</si>
  <si>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</si>
  <si>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</si>
  <si>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</si>
  <si>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</si>
  <si>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</si>
  <si>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</si>
  <si>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</si>
  <si>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</si>
  <si>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</si>
  <si>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</si>
  <si>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</si>
  <si>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</si>
  <si>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</si>
  <si>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</si>
  <si>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</si>
  <si>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</si>
  <si>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</si>
  <si>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</si>
  <si>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</si>
  <si>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</si>
  <si>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</si>
  <si>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</si>
  <si>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</si>
  <si>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</si>
  <si>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</si>
  <si>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</si>
  <si>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</si>
  <si>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</si>
  <si>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</si>
  <si>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</si>
  <si>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</si>
  <si>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</si>
  <si>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</si>
  <si>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</si>
  <si>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</si>
  <si>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</si>
  <si>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</si>
  <si>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</si>
  <si>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</si>
  <si>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</si>
  <si>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</si>
  <si>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</si>
  <si>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</si>
  <si>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</si>
  <si>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</si>
  <si>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</si>
  <si>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</si>
  <si>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</si>
  <si>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</si>
  <si>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</si>
  <si>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</si>
  <si>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</si>
  <si>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</si>
  <si>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</si>
  <si>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</si>
  <si>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</si>
  <si>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</si>
  <si>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</si>
  <si>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</si>
  <si>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</si>
  <si>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</si>
  <si>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</si>
  <si>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</si>
  <si>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</si>
  <si>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</si>
  <si>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</si>
  <si>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</si>
  <si>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</si>
  <si>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</si>
  <si>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</si>
  <si>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</si>
  <si>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</si>
  <si>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</si>
  <si>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</si>
  <si>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</si>
  <si>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</si>
  <si>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</si>
  <si>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</si>
  <si>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</si>
  <si>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</si>
  <si>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</si>
  <si>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</si>
  <si>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</si>
  <si>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</si>
  <si>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</si>
  <si>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</si>
  <si>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</si>
  <si>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</si>
  <si>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</si>
  <si>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</si>
  <si>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</si>
  <si>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</si>
  <si>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</si>
  <si>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</si>
  <si>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</si>
  <si>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</si>
  <si>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</si>
  <si>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</si>
  <si>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</si>
  <si>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</si>
  <si>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</si>
  <si>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</si>
  <si>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</si>
  <si>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</si>
  <si>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</si>
  <si>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</si>
  <si>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</si>
  <si>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</si>
  <si>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</si>
  <si>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</si>
  <si>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</si>
  <si>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</si>
  <si>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</si>
  <si>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</si>
  <si>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</si>
  <si>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</si>
  <si>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</si>
  <si>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</si>
  <si>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</si>
  <si>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</si>
  <si>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</si>
  <si>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</si>
  <si>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</si>
  <si>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</si>
  <si>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</si>
  <si>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</si>
  <si>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</si>
  <si>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</si>
  <si>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</si>
  <si>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</si>
  <si>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</si>
  <si>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</si>
  <si>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</si>
  <si>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</si>
  <si>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</si>
  <si>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</si>
  <si>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</si>
  <si>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</si>
  <si>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</si>
  <si>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</si>
  <si>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</si>
  <si>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</si>
  <si>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</si>
  <si>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</si>
  <si>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</si>
  <si>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</si>
  <si>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</si>
  <si>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</si>
  <si>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</si>
  <si>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</si>
  <si>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</si>
  <si>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</si>
  <si>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</si>
  <si>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</si>
  <si>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</si>
  <si>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</si>
  <si>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</si>
  <si>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</si>
  <si>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</si>
  <si>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</si>
  <si>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</si>
  <si>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</si>
  <si>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</si>
  <si>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</si>
  <si>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</si>
  <si>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</si>
  <si>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</si>
  <si>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</si>
  <si>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</si>
  <si>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</si>
  <si>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</si>
  <si>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</si>
  <si>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</si>
  <si>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</si>
  <si>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</si>
  <si>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</si>
  <si>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</si>
  <si>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</si>
  <si>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</si>
  <si>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</si>
  <si>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</si>
  <si>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</si>
  <si>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</si>
  <si>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</si>
  <si>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</si>
  <si>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</si>
  <si>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</si>
  <si>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</si>
  <si>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</si>
  <si>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</si>
  <si>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</si>
  <si>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</si>
  <si>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</si>
  <si>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</si>
  <si>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</si>
  <si>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</si>
  <si>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</si>
  <si>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</si>
  <si>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</si>
  <si>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</si>
  <si>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</si>
  <si>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</si>
  <si>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</si>
  <si>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</si>
  <si>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</si>
  <si>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</si>
  <si>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</si>
  <si>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</si>
  <si>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</si>
  <si>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</si>
  <si>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</si>
  <si>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</si>
  <si>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</si>
  <si>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</si>
  <si>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</si>
  <si>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</si>
  <si>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</si>
  <si>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</si>
  <si>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</si>
  <si>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</si>
  <si>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</si>
  <si>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</si>
  <si>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</si>
  <si>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</si>
  <si>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</si>
  <si>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</si>
  <si>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</si>
  <si>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</si>
  <si>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</si>
  <si>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</si>
  <si>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</si>
  <si>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</si>
  <si>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</si>
  <si>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</si>
  <si>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</si>
  <si>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</si>
  <si>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</si>
  <si>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</si>
  <si>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</si>
  <si>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</si>
  <si>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</si>
  <si>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</si>
  <si>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</si>
  <si>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</si>
  <si>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</si>
  <si>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</si>
  <si>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</si>
  <si>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</si>
  <si>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</si>
  <si>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</si>
  <si>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</si>
  <si>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</si>
  <si>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</si>
  <si>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</si>
  <si>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</si>
  <si>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</si>
  <si>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</si>
  <si>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</si>
  <si>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</si>
  <si>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</si>
  <si>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</si>
  <si>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</si>
  <si>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</si>
  <si>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</si>
  <si>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</si>
  <si>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</si>
  <si>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</si>
  <si>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</si>
  <si>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</si>
  <si>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</si>
  <si>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</si>
  <si>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</si>
  <si>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</si>
  <si>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</si>
  <si>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</si>
  <si>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</si>
  <si>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</si>
  <si>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</si>
  <si>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</si>
  <si>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</si>
  <si>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</si>
  <si>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</si>
  <si>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</si>
  <si>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</si>
  <si>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</si>
  <si>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</si>
  <si>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</si>
  <si>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</si>
  <si>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</si>
  <si>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</si>
  <si>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</si>
  <si>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</si>
  <si>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</si>
  <si>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</si>
  <si>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</si>
  <si>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</si>
  <si>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</si>
  <si>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</si>
  <si>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</si>
  <si>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</si>
  <si>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</si>
  <si>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</si>
  <si>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</si>
  <si>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</si>
  <si>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</si>
  <si>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</si>
  <si>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</si>
  <si>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</si>
  <si>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</si>
  <si>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</si>
  <si>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</si>
  <si>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</si>
  <si>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</si>
  <si>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</si>
  <si>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</si>
  <si>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</si>
  <si>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</si>
  <si>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</si>
  <si>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</si>
  <si>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</si>
  <si>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</si>
  <si>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</si>
  <si>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</si>
  <si>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</si>
  <si>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</si>
  <si>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</si>
  <si>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</si>
  <si>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</si>
  <si>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</si>
  <si>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</si>
  <si>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</si>
  <si>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</si>
  <si>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</si>
  <si>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</si>
  <si>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</si>
  <si>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</si>
  <si>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</si>
  <si>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</si>
  <si>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</si>
  <si>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</si>
  <si>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</si>
  <si>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</si>
  <si>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</si>
  <si>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</si>
  <si>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</si>
  <si>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</si>
  <si>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</si>
  <si>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</si>
  <si>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</si>
  <si>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</si>
  <si>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</si>
  <si>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</si>
  <si>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</si>
  <si>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</si>
  <si>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</si>
  <si>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</si>
  <si>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</si>
  <si>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</si>
  <si>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</si>
  <si>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</si>
  <si>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</si>
  <si>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</si>
  <si>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</si>
  <si>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</si>
  <si>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</si>
  <si>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</si>
  <si>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</si>
  <si>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</si>
  <si>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</si>
  <si>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</si>
  <si>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</si>
  <si>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</si>
  <si>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</si>
  <si>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</si>
  <si>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</si>
  <si>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</si>
  <si>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</si>
  <si>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</si>
  <si>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</si>
  <si>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</si>
  <si>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</si>
  <si>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</si>
  <si>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</si>
  <si>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</si>
  <si>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</si>
  <si>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</si>
  <si>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</si>
  <si>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</si>
  <si>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</si>
  <si>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</si>
  <si>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</si>
  <si>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</si>
  <si>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</si>
  <si>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</si>
  <si>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</si>
  <si>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</si>
  <si>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</si>
  <si>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</si>
  <si>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</si>
  <si>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</si>
  <si>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</si>
  <si>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</si>
  <si>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</si>
  <si>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</si>
  <si>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</si>
  <si>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</si>
  <si>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</si>
  <si>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</si>
  <si>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</si>
  <si>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</si>
  <si>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</si>
  <si>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</si>
  <si>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</si>
  <si>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</si>
  <si>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</si>
  <si>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</si>
  <si>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</si>
  <si>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</si>
  <si>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</si>
  <si>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</si>
  <si>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</si>
  <si>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</si>
  <si>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</si>
  <si>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</si>
  <si>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</si>
  <si>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</si>
  <si>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</si>
  <si>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</si>
  <si>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</si>
  <si>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</si>
  <si>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</si>
  <si>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</si>
  <si>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</si>
  <si>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</si>
  <si>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</si>
  <si>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</si>
  <si>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</si>
  <si>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</si>
  <si>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</si>
  <si>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</si>
  <si>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</si>
  <si>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</si>
  <si>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</si>
  <si>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</si>
  <si>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</si>
  <si>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</si>
  <si>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</si>
  <si>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</si>
  <si>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</si>
  <si>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</si>
  <si>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</si>
  <si>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</si>
  <si>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</si>
  <si>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</si>
  <si>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</si>
  <si>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</si>
  <si>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23060</t>
  </si>
  <si>
    <t>OPWIJK</t>
  </si>
  <si>
    <t>Cultuurgrond (ha)</t>
  </si>
  <si>
    <t>Paarden&amp;pony's 200 - 600 kg</t>
  </si>
  <si>
    <t>Paarden&amp;pony's &lt; 200 kg</t>
  </si>
  <si>
    <t>Fluvius</t>
  </si>
  <si>
    <t>referentietaak LNE (2017); Jaarverslag De Lijn</t>
  </si>
  <si>
    <t xml:space="preserve">Lissens Dirk </t>
  </si>
  <si>
    <t>Pluimhofweg 28, 1745 Opwijk</t>
  </si>
  <si>
    <t>WKK-0051 Lissens Opwijk</t>
  </si>
  <si>
    <t>interne verbrandingsmotor</t>
  </si>
  <si>
    <t>WKK interne verbrandinsgmotor (vloeibaar)</t>
  </si>
  <si>
    <t>eilandwerking</t>
  </si>
  <si>
    <t>Rozenkwekerij Van Biesen</t>
  </si>
  <si>
    <t>Steenweg op Lebbeke 115 , 1745 Opwijk</t>
  </si>
  <si>
    <t>WKK-0311 Rozenkwekerij Van Biesen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</si>
</sst>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107105.94049673878</c:v>
                </c:pt>
                <c:pt idx="1">
                  <c:v>21520.074334870551</c:v>
                </c:pt>
                <c:pt idx="2">
                  <c:v>964.62099999999998</c:v>
                </c:pt>
                <c:pt idx="3">
                  <c:v>7471.433344582857</c:v>
                </c:pt>
                <c:pt idx="4">
                  <c:v>15488.715297474546</c:v>
                </c:pt>
                <c:pt idx="5">
                  <c:v>62554.278576959128</c:v>
                </c:pt>
                <c:pt idx="6">
                  <c:v>650.06205331281092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107105.94049673878</c:v>
                </c:pt>
                <c:pt idx="1">
                  <c:v>21520.074334870551</c:v>
                </c:pt>
                <c:pt idx="2">
                  <c:v>964.62099999999998</c:v>
                </c:pt>
                <c:pt idx="3">
                  <c:v>7471.433344582857</c:v>
                </c:pt>
                <c:pt idx="4">
                  <c:v>15488.715297474546</c:v>
                </c:pt>
                <c:pt idx="5">
                  <c:v>62554.278576959128</c:v>
                </c:pt>
                <c:pt idx="6">
                  <c:v>650.06205331281092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20097.945349034868</c:v>
                </c:pt>
                <c:pt idx="2">
                  <c:v>4231.5970962850579</c:v>
                </c:pt>
                <c:pt idx="3">
                  <c:v>183.87923262139273</c:v>
                </c:pt>
                <c:pt idx="4">
                  <c:v>953.60792014389119</c:v>
                </c:pt>
                <c:pt idx="5">
                  <c:v>3158.0228394754481</c:v>
                </c:pt>
                <c:pt idx="6">
                  <c:v>15810.122958406908</c:v>
                </c:pt>
                <c:pt idx="7">
                  <c:v>166.17019536741313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20097.945349034868</c:v>
                </c:pt>
                <c:pt idx="2">
                  <c:v>4231.5970962850579</c:v>
                </c:pt>
                <c:pt idx="3">
                  <c:v>183.87923262139273</c:v>
                </c:pt>
                <c:pt idx="4">
                  <c:v>953.60792014389119</c:v>
                </c:pt>
                <c:pt idx="5">
                  <c:v>3158.0228394754481</c:v>
                </c:pt>
                <c:pt idx="6">
                  <c:v>15810.122958406908</c:v>
                </c:pt>
                <c:pt idx="7">
                  <c:v>166.17019536741313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23060</v>
      </c>
      <c r="B6" s="395"/>
      <c r="C6" s="396"/>
    </row>
    <row r="7" spans="1:7" s="393" customFormat="1" ht="15.75" customHeight="1">
      <c r="A7" s="397" t="str">
        <f>txtMunicipality</f>
        <v>OPWIJK</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0.1906232941449468</v>
      </c>
      <c r="C17" s="508">
        <f ca="1">'EF ele_warmte'!B22</f>
        <v>7.8529411764705889E-2</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0.1906232941449468</v>
      </c>
      <c r="C29" s="509">
        <f ca="1">'EF ele_warmte'!B22</f>
        <v>7.8529411764705889E-2</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5682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956</v>
      </c>
      <c r="C14" s="332"/>
      <c r="D14" s="332"/>
      <c r="E14" s="332"/>
      <c r="F14" s="332"/>
    </row>
    <row r="15" spans="1:6">
      <c r="A15" s="1306" t="s">
        <v>183</v>
      </c>
      <c r="B15" s="1307">
        <v>9</v>
      </c>
      <c r="C15" s="332"/>
      <c r="D15" s="332"/>
      <c r="E15" s="332"/>
      <c r="F15" s="332"/>
    </row>
    <row r="16" spans="1:6">
      <c r="A16" s="1306" t="s">
        <v>6</v>
      </c>
      <c r="B16" s="1307">
        <v>253</v>
      </c>
      <c r="C16" s="332"/>
      <c r="D16" s="332"/>
      <c r="E16" s="332"/>
      <c r="F16" s="332"/>
    </row>
    <row r="17" spans="1:6">
      <c r="A17" s="1306" t="s">
        <v>7</v>
      </c>
      <c r="B17" s="1307">
        <v>221</v>
      </c>
      <c r="C17" s="332"/>
      <c r="D17" s="332"/>
      <c r="E17" s="332"/>
      <c r="F17" s="332"/>
    </row>
    <row r="18" spans="1:6">
      <c r="A18" s="1306" t="s">
        <v>8</v>
      </c>
      <c r="B18" s="1307">
        <v>326</v>
      </c>
      <c r="C18" s="332"/>
      <c r="D18" s="332"/>
      <c r="E18" s="332"/>
      <c r="F18" s="332"/>
    </row>
    <row r="19" spans="1:6">
      <c r="A19" s="1306" t="s">
        <v>9</v>
      </c>
      <c r="B19" s="1307">
        <v>325</v>
      </c>
      <c r="C19" s="332"/>
      <c r="D19" s="332"/>
      <c r="E19" s="332"/>
      <c r="F19" s="332"/>
    </row>
    <row r="20" spans="1:6">
      <c r="A20" s="1306" t="s">
        <v>10</v>
      </c>
      <c r="B20" s="1307">
        <v>263</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267</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43</v>
      </c>
      <c r="C29" s="338"/>
      <c r="D29" s="338"/>
      <c r="E29" s="338"/>
      <c r="F29" s="338"/>
    </row>
    <row r="30" spans="1:6">
      <c r="A30" s="1301" t="s">
        <v>917</v>
      </c>
      <c r="B30" s="1310">
        <v>16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3</v>
      </c>
      <c r="D36" s="1307">
        <v>14889.649400714399</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2</v>
      </c>
      <c r="F38" s="1307">
        <v>5424.1720363499999</v>
      </c>
    </row>
    <row r="39" spans="1:6">
      <c r="A39" s="1306" t="s">
        <v>29</v>
      </c>
      <c r="B39" s="1306" t="s">
        <v>30</v>
      </c>
      <c r="C39" s="1307">
        <v>3021</v>
      </c>
      <c r="D39" s="1307">
        <v>53013854.168490902</v>
      </c>
      <c r="E39" s="1307">
        <v>5616</v>
      </c>
      <c r="F39" s="1307">
        <v>25362417.2958447</v>
      </c>
    </row>
    <row r="40" spans="1:6">
      <c r="A40" s="1306" t="s">
        <v>29</v>
      </c>
      <c r="B40" s="1306" t="s">
        <v>28</v>
      </c>
      <c r="C40" s="1307">
        <v>0</v>
      </c>
      <c r="D40" s="1307">
        <v>0</v>
      </c>
      <c r="E40" s="1307">
        <v>0</v>
      </c>
      <c r="F40" s="1307">
        <v>0</v>
      </c>
    </row>
    <row r="41" spans="1:6">
      <c r="A41" s="1306" t="s">
        <v>31</v>
      </c>
      <c r="B41" s="1306" t="s">
        <v>32</v>
      </c>
      <c r="C41" s="1307">
        <v>30</v>
      </c>
      <c r="D41" s="1307">
        <v>702577.17466434499</v>
      </c>
      <c r="E41" s="1307">
        <v>148</v>
      </c>
      <c r="F41" s="1307">
        <v>1707911.2934774701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191137.33969359999</v>
      </c>
      <c r="E44" s="1307">
        <v>6</v>
      </c>
      <c r="F44" s="1307">
        <v>61100.170655907801</v>
      </c>
    </row>
    <row r="45" spans="1:6">
      <c r="A45" s="1306" t="s">
        <v>31</v>
      </c>
      <c r="B45" s="1306" t="s">
        <v>36</v>
      </c>
      <c r="C45" s="1307">
        <v>0</v>
      </c>
      <c r="D45" s="1307">
        <v>0</v>
      </c>
      <c r="E45" s="1307">
        <v>3</v>
      </c>
      <c r="F45" s="1307">
        <v>22210.047193499999</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20</v>
      </c>
      <c r="D48" s="1307">
        <v>5174837.3992245505</v>
      </c>
      <c r="E48" s="1307">
        <v>34</v>
      </c>
      <c r="F48" s="1307">
        <v>4234793.0224861903</v>
      </c>
    </row>
    <row r="49" spans="1:6">
      <c r="A49" s="1306" t="s">
        <v>31</v>
      </c>
      <c r="B49" s="1306" t="s">
        <v>39</v>
      </c>
      <c r="C49" s="1307">
        <v>0</v>
      </c>
      <c r="D49" s="1307">
        <v>0</v>
      </c>
      <c r="E49" s="1307">
        <v>0</v>
      </c>
      <c r="F49" s="1307">
        <v>0</v>
      </c>
    </row>
    <row r="50" spans="1:6">
      <c r="A50" s="1306" t="s">
        <v>31</v>
      </c>
      <c r="B50" s="1306" t="s">
        <v>40</v>
      </c>
      <c r="C50" s="1307">
        <v>0</v>
      </c>
      <c r="D50" s="1307">
        <v>0</v>
      </c>
      <c r="E50" s="1307">
        <v>8</v>
      </c>
      <c r="F50" s="1307">
        <v>271286.426441285</v>
      </c>
    </row>
    <row r="51" spans="1:6">
      <c r="A51" s="1306" t="s">
        <v>41</v>
      </c>
      <c r="B51" s="1306" t="s">
        <v>42</v>
      </c>
      <c r="C51" s="1307">
        <v>3</v>
      </c>
      <c r="D51" s="1307">
        <v>43385.087353131203</v>
      </c>
      <c r="E51" s="1307">
        <v>41</v>
      </c>
      <c r="F51" s="1307">
        <v>987005.07688019297</v>
      </c>
    </row>
    <row r="52" spans="1:6">
      <c r="A52" s="1306" t="s">
        <v>41</v>
      </c>
      <c r="B52" s="1306" t="s">
        <v>28</v>
      </c>
      <c r="C52" s="1307">
        <v>0</v>
      </c>
      <c r="D52" s="1307">
        <v>0</v>
      </c>
      <c r="E52" s="1307">
        <v>6</v>
      </c>
      <c r="F52" s="1307">
        <v>129520.29561205499</v>
      </c>
    </row>
    <row r="53" spans="1:6">
      <c r="A53" s="1306" t="s">
        <v>43</v>
      </c>
      <c r="B53" s="1306" t="s">
        <v>44</v>
      </c>
      <c r="C53" s="1307">
        <v>59</v>
      </c>
      <c r="D53" s="1307">
        <v>948212.57508318801</v>
      </c>
      <c r="E53" s="1307">
        <v>152</v>
      </c>
      <c r="F53" s="1307">
        <v>646482.76228942804</v>
      </c>
    </row>
    <row r="54" spans="1:6">
      <c r="A54" s="1306" t="s">
        <v>45</v>
      </c>
      <c r="B54" s="1306" t="s">
        <v>46</v>
      </c>
      <c r="C54" s="1307">
        <v>0</v>
      </c>
      <c r="D54" s="1307">
        <v>0</v>
      </c>
      <c r="E54" s="1307">
        <v>1</v>
      </c>
      <c r="F54" s="1307">
        <v>964621</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23</v>
      </c>
      <c r="D57" s="1307">
        <v>629966.25855777797</v>
      </c>
      <c r="E57" s="1307">
        <v>50</v>
      </c>
      <c r="F57" s="1307">
        <v>625707.50557254697</v>
      </c>
    </row>
    <row r="58" spans="1:6">
      <c r="A58" s="1306" t="s">
        <v>48</v>
      </c>
      <c r="B58" s="1306" t="s">
        <v>50</v>
      </c>
      <c r="C58" s="1307">
        <v>6</v>
      </c>
      <c r="D58" s="1307">
        <v>154949.772963942</v>
      </c>
      <c r="E58" s="1307">
        <v>12</v>
      </c>
      <c r="F58" s="1307">
        <v>103590.138441433</v>
      </c>
    </row>
    <row r="59" spans="1:6">
      <c r="A59" s="1306" t="s">
        <v>48</v>
      </c>
      <c r="B59" s="1306" t="s">
        <v>51</v>
      </c>
      <c r="C59" s="1307">
        <v>32</v>
      </c>
      <c r="D59" s="1307">
        <v>1258638.6960012501</v>
      </c>
      <c r="E59" s="1307">
        <v>134</v>
      </c>
      <c r="F59" s="1307">
        <v>3043912.0170657099</v>
      </c>
    </row>
    <row r="60" spans="1:6">
      <c r="A60" s="1306" t="s">
        <v>48</v>
      </c>
      <c r="B60" s="1306" t="s">
        <v>52</v>
      </c>
      <c r="C60" s="1307">
        <v>25</v>
      </c>
      <c r="D60" s="1307">
        <v>1210847.9330253301</v>
      </c>
      <c r="E60" s="1307">
        <v>35</v>
      </c>
      <c r="F60" s="1307">
        <v>745130.84304479905</v>
      </c>
    </row>
    <row r="61" spans="1:6">
      <c r="A61" s="1306" t="s">
        <v>48</v>
      </c>
      <c r="B61" s="1306" t="s">
        <v>53</v>
      </c>
      <c r="C61" s="1307">
        <v>67</v>
      </c>
      <c r="D61" s="1307">
        <v>4200025.1752364999</v>
      </c>
      <c r="E61" s="1307">
        <v>183</v>
      </c>
      <c r="F61" s="1307">
        <v>1831780.5790387101</v>
      </c>
    </row>
    <row r="62" spans="1:6">
      <c r="A62" s="1306" t="s">
        <v>48</v>
      </c>
      <c r="B62" s="1306" t="s">
        <v>54</v>
      </c>
      <c r="C62" s="1307">
        <v>3</v>
      </c>
      <c r="D62" s="1307">
        <v>785078.04797955696</v>
      </c>
      <c r="E62" s="1307">
        <v>8</v>
      </c>
      <c r="F62" s="1307">
        <v>98044.550345022697</v>
      </c>
    </row>
    <row r="63" spans="1:6">
      <c r="A63" s="1306" t="s">
        <v>48</v>
      </c>
      <c r="B63" s="1306" t="s">
        <v>28</v>
      </c>
      <c r="C63" s="1307">
        <v>74</v>
      </c>
      <c r="D63" s="1307">
        <v>3233423.4899973301</v>
      </c>
      <c r="E63" s="1307">
        <v>91</v>
      </c>
      <c r="F63" s="1307">
        <v>2248028.6632266599</v>
      </c>
    </row>
    <row r="64" spans="1:6">
      <c r="A64" s="1306" t="s">
        <v>55</v>
      </c>
      <c r="B64" s="1306" t="s">
        <v>56</v>
      </c>
      <c r="C64" s="1307">
        <v>0</v>
      </c>
      <c r="D64" s="1307">
        <v>0</v>
      </c>
      <c r="E64" s="1307">
        <v>0</v>
      </c>
      <c r="F64" s="1307">
        <v>0</v>
      </c>
    </row>
    <row r="65" spans="1:6">
      <c r="A65" s="1306" t="s">
        <v>55</v>
      </c>
      <c r="B65" s="1306" t="s">
        <v>28</v>
      </c>
      <c r="C65" s="1307">
        <v>2</v>
      </c>
      <c r="D65" s="1307">
        <v>44448.474157112199</v>
      </c>
      <c r="E65" s="1307">
        <v>4</v>
      </c>
      <c r="F65" s="1307">
        <v>22888.901173492901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11</v>
      </c>
      <c r="F68" s="1310">
        <v>43920.604142411001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42240337</v>
      </c>
      <c r="E73" s="456"/>
      <c r="F73" s="332"/>
    </row>
    <row r="74" spans="1:6">
      <c r="A74" s="1306" t="s">
        <v>63</v>
      </c>
      <c r="B74" s="1306" t="s">
        <v>724</v>
      </c>
      <c r="C74" s="1320" t="s">
        <v>725</v>
      </c>
      <c r="D74" s="1321">
        <v>4104411.5832710736</v>
      </c>
      <c r="E74" s="456"/>
      <c r="F74" s="332"/>
    </row>
    <row r="75" spans="1:6">
      <c r="A75" s="1306" t="s">
        <v>64</v>
      </c>
      <c r="B75" s="1306" t="s">
        <v>722</v>
      </c>
      <c r="C75" s="1320" t="s">
        <v>726</v>
      </c>
      <c r="D75" s="1321">
        <v>21485549</v>
      </c>
      <c r="E75" s="456"/>
      <c r="F75" s="332"/>
    </row>
    <row r="76" spans="1:6">
      <c r="A76" s="1306" t="s">
        <v>64</v>
      </c>
      <c r="B76" s="1306" t="s">
        <v>724</v>
      </c>
      <c r="C76" s="1320" t="s">
        <v>727</v>
      </c>
      <c r="D76" s="1321">
        <v>1528192.5832710736</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172010.83345785277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2804.7944968181373</v>
      </c>
      <c r="C91" s="332"/>
      <c r="D91" s="332"/>
      <c r="E91" s="332"/>
      <c r="F91" s="332"/>
    </row>
    <row r="92" spans="1:6">
      <c r="A92" s="1301" t="s">
        <v>68</v>
      </c>
      <c r="B92" s="1302">
        <v>561.38995462634216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991</v>
      </c>
      <c r="C97" s="332"/>
      <c r="D97" s="332"/>
      <c r="E97" s="332"/>
      <c r="F97" s="332"/>
    </row>
    <row r="98" spans="1:6">
      <c r="A98" s="1306" t="s">
        <v>71</v>
      </c>
      <c r="B98" s="1307">
        <v>4</v>
      </c>
      <c r="C98" s="332"/>
      <c r="D98" s="332"/>
      <c r="E98" s="332"/>
      <c r="F98" s="332"/>
    </row>
    <row r="99" spans="1:6">
      <c r="A99" s="1306" t="s">
        <v>72</v>
      </c>
      <c r="B99" s="1307">
        <v>32</v>
      </c>
      <c r="C99" s="332"/>
      <c r="D99" s="332"/>
      <c r="E99" s="332"/>
      <c r="F99" s="332"/>
    </row>
    <row r="100" spans="1:6">
      <c r="A100" s="1306" t="s">
        <v>73</v>
      </c>
      <c r="B100" s="1307">
        <v>641</v>
      </c>
      <c r="C100" s="332"/>
      <c r="D100" s="332"/>
      <c r="E100" s="332"/>
      <c r="F100" s="332"/>
    </row>
    <row r="101" spans="1:6">
      <c r="A101" s="1306" t="s">
        <v>74</v>
      </c>
      <c r="B101" s="1307">
        <v>54</v>
      </c>
      <c r="C101" s="332"/>
      <c r="D101" s="332"/>
      <c r="E101" s="332"/>
      <c r="F101" s="332"/>
    </row>
    <row r="102" spans="1:6">
      <c r="A102" s="1306" t="s">
        <v>75</v>
      </c>
      <c r="B102" s="1307">
        <v>59</v>
      </c>
      <c r="C102" s="332"/>
      <c r="D102" s="332"/>
      <c r="E102" s="332"/>
      <c r="F102" s="332"/>
    </row>
    <row r="103" spans="1:6">
      <c r="A103" s="1306" t="s">
        <v>76</v>
      </c>
      <c r="B103" s="1307">
        <v>73</v>
      </c>
      <c r="C103" s="332"/>
      <c r="D103" s="332"/>
      <c r="E103" s="332"/>
      <c r="F103" s="332"/>
    </row>
    <row r="104" spans="1:6">
      <c r="A104" s="1306" t="s">
        <v>77</v>
      </c>
      <c r="B104" s="1307">
        <v>2565</v>
      </c>
      <c r="C104" s="332"/>
      <c r="D104" s="332"/>
      <c r="E104" s="332"/>
      <c r="F104" s="332"/>
    </row>
    <row r="105" spans="1:6">
      <c r="A105" s="1301" t="s">
        <v>78</v>
      </c>
      <c r="B105" s="1310">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18</v>
      </c>
      <c r="C123" s="1307">
        <v>14</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72</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20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45891.08722119646</v>
      </c>
      <c r="C3" s="43" t="s">
        <v>169</v>
      </c>
      <c r="D3" s="43"/>
      <c r="E3" s="156"/>
      <c r="F3" s="43"/>
      <c r="G3" s="43"/>
      <c r="H3" s="43"/>
      <c r="I3" s="43"/>
      <c r="J3" s="43"/>
      <c r="K3" s="96"/>
    </row>
    <row r="4" spans="1:11">
      <c r="A4" s="363" t="s">
        <v>170</v>
      </c>
      <c r="B4" s="49">
        <f>IF(ISERROR('SEAP template'!B78+'SEAP template'!C78),0,'SEAP template'!B78+'SEAP template'!C78)</f>
        <v>7929.1844514444792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358.32970588235293</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0.1906232941449468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403.12091911764708</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5133.375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7.8529411764705889E-2</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964.62099999999998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964.62099999999998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0.1906232941449468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183.87923262139273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25362.417295844702</v>
      </c>
      <c r="C5" s="17">
        <f>IF(ISERROR('Eigen informatie GS &amp; warmtenet'!B57),0,'Eigen informatie GS &amp; warmtenet'!B57)</f>
        <v>0</v>
      </c>
      <c r="D5" s="30">
        <f>(SUM(HH_hh_gas_kWh,HH_rest_gas_kWh)/1000)*0.902</f>
        <v>47818.496459978793</v>
      </c>
      <c r="E5" s="17">
        <f>B46*B57</f>
        <v>1902.6352017601919</v>
      </c>
      <c r="F5" s="17">
        <f>B51*B62</f>
        <v>17368.480054396274</v>
      </c>
      <c r="G5" s="18"/>
      <c r="H5" s="17"/>
      <c r="I5" s="17"/>
      <c r="J5" s="17">
        <f>B50*B61+C50*C61</f>
        <v>0</v>
      </c>
      <c r="K5" s="17"/>
      <c r="L5" s="17"/>
      <c r="M5" s="17"/>
      <c r="N5" s="17">
        <f>B48*B59+C48*C59</f>
        <v>10990.136987940674</v>
      </c>
      <c r="O5" s="17">
        <f>B69*B70*B71</f>
        <v>134.44666666666666</v>
      </c>
      <c r="P5" s="17">
        <f>B77*B78*B79/1000-B77*B78*B79/1000/B80</f>
        <v>724.5333333333333</v>
      </c>
    </row>
    <row r="6" spans="1:16">
      <c r="A6" s="16" t="s">
        <v>633</v>
      </c>
      <c r="B6" s="779">
        <f>kWh_PV_kleiner_dan_10kW</f>
        <v>2804.7944968181373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28167.211792662838</v>
      </c>
      <c r="C8" s="21">
        <f>C5</f>
        <v>0</v>
      </c>
      <c r="D8" s="21">
        <f>D5</f>
        <v>47818.496459978793</v>
      </c>
      <c r="E8" s="21">
        <f>E5</f>
        <v>1902.6352017601919</v>
      </c>
      <c r="F8" s="21">
        <f>F5</f>
        <v>17368.480054396274</v>
      </c>
      <c r="G8" s="21"/>
      <c r="H8" s="21"/>
      <c r="I8" s="21"/>
      <c r="J8" s="21">
        <f>J5</f>
        <v>0</v>
      </c>
      <c r="K8" s="21"/>
      <c r="L8" s="21">
        <f>L5</f>
        <v>0</v>
      </c>
      <c r="M8" s="21">
        <f>M5</f>
        <v>0</v>
      </c>
      <c r="N8" s="21">
        <f>N5</f>
        <v>10990.136987940674</v>
      </c>
      <c r="O8" s="21">
        <f>O5</f>
        <v>134.44666666666666</v>
      </c>
      <c r="P8" s="21">
        <f>P5</f>
        <v>724.5333333333333</v>
      </c>
    </row>
    <row r="9" spans="1:16">
      <c r="B9" s="19"/>
      <c r="C9" s="19"/>
      <c r="D9" s="261"/>
      <c r="E9" s="19"/>
      <c r="F9" s="19"/>
      <c r="G9" s="19"/>
      <c r="H9" s="19"/>
      <c r="I9" s="19"/>
      <c r="J9" s="19"/>
      <c r="K9" s="19"/>
      <c r="L9" s="19"/>
      <c r="M9" s="19"/>
      <c r="N9" s="19"/>
      <c r="O9" s="19"/>
      <c r="P9" s="19"/>
    </row>
    <row r="10" spans="1:16">
      <c r="A10" s="24" t="s">
        <v>213</v>
      </c>
      <c r="B10" s="25">
        <f ca="1">'EF ele_warmte'!B12</f>
        <v>0.1906232941449468</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5369.3266987957822</v>
      </c>
      <c r="C12" s="23">
        <f ca="1">C10*C8</f>
        <v>0</v>
      </c>
      <c r="D12" s="23">
        <f>D8*D10</f>
        <v>9659.3362849157165</v>
      </c>
      <c r="E12" s="23">
        <f>E10*E8</f>
        <v>431.89819079956357</v>
      </c>
      <c r="F12" s="23">
        <f>F10*F8</f>
        <v>4637.3841745238051</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991</v>
      </c>
      <c r="C18" s="168" t="s">
        <v>110</v>
      </c>
      <c r="D18" s="230"/>
      <c r="E18" s="15"/>
    </row>
    <row r="19" spans="1:7">
      <c r="A19" s="173" t="s">
        <v>71</v>
      </c>
      <c r="B19" s="37">
        <f>aantalw2001_ander</f>
        <v>4</v>
      </c>
      <c r="C19" s="168" t="s">
        <v>110</v>
      </c>
      <c r="D19" s="231"/>
      <c r="E19" s="15"/>
    </row>
    <row r="20" spans="1:7">
      <c r="A20" s="173" t="s">
        <v>72</v>
      </c>
      <c r="B20" s="37">
        <f>aantalw2001_propaan</f>
        <v>32</v>
      </c>
      <c r="C20" s="169">
        <f>IF(ISERROR(B20/SUM($B$20,$B$21,$B$22)*100),0,B20/SUM($B$20,$B$21,$B$22)*100)</f>
        <v>4.4016506189821181</v>
      </c>
      <c r="D20" s="231"/>
      <c r="E20" s="15"/>
    </row>
    <row r="21" spans="1:7">
      <c r="A21" s="173" t="s">
        <v>73</v>
      </c>
      <c r="B21" s="37">
        <f>aantalw2001_elektriciteit</f>
        <v>641</v>
      </c>
      <c r="C21" s="169">
        <f>IF(ISERROR(B21/SUM($B$20,$B$21,$B$22)*100),0,B21/SUM($B$20,$B$21,$B$22)*100)</f>
        <v>88.170563961485556</v>
      </c>
      <c r="D21" s="231"/>
      <c r="E21" s="15"/>
    </row>
    <row r="22" spans="1:7">
      <c r="A22" s="173" t="s">
        <v>74</v>
      </c>
      <c r="B22" s="37">
        <f>aantalw2001_hout</f>
        <v>54</v>
      </c>
      <c r="C22" s="169">
        <f>IF(ISERROR(B22/SUM($B$20,$B$21,$B$22)*100),0,B22/SUM($B$20,$B$21,$B$22)*100)</f>
        <v>7.4277854195323245</v>
      </c>
      <c r="D22" s="231"/>
      <c r="E22" s="15"/>
    </row>
    <row r="23" spans="1:7">
      <c r="A23" s="173" t="s">
        <v>75</v>
      </c>
      <c r="B23" s="37">
        <f>aantalw2001_niet_gespec</f>
        <v>59</v>
      </c>
      <c r="C23" s="168" t="s">
        <v>110</v>
      </c>
      <c r="D23" s="230"/>
      <c r="E23" s="15"/>
    </row>
    <row r="24" spans="1:7">
      <c r="A24" s="173" t="s">
        <v>76</v>
      </c>
      <c r="B24" s="37">
        <f>aantalw2001_steenkool</f>
        <v>73</v>
      </c>
      <c r="C24" s="168" t="s">
        <v>110</v>
      </c>
      <c r="D24" s="231"/>
      <c r="E24" s="15"/>
    </row>
    <row r="25" spans="1:7">
      <c r="A25" s="173" t="s">
        <v>77</v>
      </c>
      <c r="B25" s="37">
        <f>aantalw2001_stookolie</f>
        <v>2565</v>
      </c>
      <c r="C25" s="168" t="s">
        <v>110</v>
      </c>
      <c r="D25" s="230"/>
      <c r="E25" s="52"/>
    </row>
    <row r="26" spans="1:7">
      <c r="A26" s="173" t="s">
        <v>78</v>
      </c>
      <c r="B26" s="37">
        <f>aantalw2001_WP</f>
        <v>6</v>
      </c>
      <c r="C26" s="168" t="s">
        <v>110</v>
      </c>
      <c r="D26" s="230"/>
      <c r="E26" s="15"/>
    </row>
    <row r="27" spans="1:7" s="15" customFormat="1">
      <c r="A27" s="173"/>
      <c r="B27" s="29"/>
      <c r="C27" s="36"/>
      <c r="D27" s="230"/>
    </row>
    <row r="28" spans="1:7" s="15" customFormat="1">
      <c r="A28" s="232" t="s">
        <v>742</v>
      </c>
      <c r="B28" s="37">
        <f>aantalHuishoudens</f>
        <v>5682</v>
      </c>
      <c r="C28" s="36"/>
      <c r="D28" s="230"/>
    </row>
    <row r="29" spans="1:7" s="15" customFormat="1">
      <c r="A29" s="232" t="s">
        <v>743</v>
      </c>
      <c r="B29" s="37">
        <f>SUM(HH_hh_gas_aantal,HH_rest_gas_aantal)</f>
        <v>3021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3021</v>
      </c>
      <c r="C32" s="169">
        <f>IF(ISERROR(B32/SUM($B$32,$B$34,$B$35,$B$36,$B$38,$B$39)*100),0,B32/SUM($B$32,$B$34,$B$35,$B$36,$B$38,$B$39)*100)</f>
        <v>53.525868178596738</v>
      </c>
      <c r="D32" s="235"/>
      <c r="G32" s="15"/>
    </row>
    <row r="33" spans="1:7">
      <c r="A33" s="173" t="s">
        <v>71</v>
      </c>
      <c r="B33" s="34" t="s">
        <v>110</v>
      </c>
      <c r="C33" s="169"/>
      <c r="D33" s="235"/>
      <c r="G33" s="15"/>
    </row>
    <row r="34" spans="1:7">
      <c r="A34" s="173" t="s">
        <v>72</v>
      </c>
      <c r="B34" s="33">
        <f>IF((($B$28-$B$32-$B$39-$B$77-$B$38)*C20/100)&lt;0,0,($B$28-$B$32-$B$39-$B$77-$B$38)*C20/100)</f>
        <v>82.971114167812914</v>
      </c>
      <c r="C34" s="169">
        <f>IF(ISERROR(B34/SUM($B$32,$B$34,$B$35,$B$36,$B$38,$B$39)*100),0,B34/SUM($B$32,$B$34,$B$35,$B$36,$B$38,$B$39)*100)</f>
        <v>1.4700764381256715</v>
      </c>
      <c r="D34" s="235"/>
      <c r="G34" s="15"/>
    </row>
    <row r="35" spans="1:7">
      <c r="A35" s="173" t="s">
        <v>73</v>
      </c>
      <c r="B35" s="33">
        <f>IF((($B$28-$B$32-$B$39-$B$77-$B$38)*C21/100)&lt;0,0,($B$28-$B$32-$B$39-$B$77-$B$38)*C21/100)</f>
        <v>1662.0151306740029</v>
      </c>
      <c r="C35" s="169">
        <f>IF(ISERROR(B35/SUM($B$32,$B$34,$B$35,$B$36,$B$38,$B$39)*100),0,B35/SUM($B$32,$B$34,$B$35,$B$36,$B$38,$B$39)*100)</f>
        <v>29.447468651204865</v>
      </c>
      <c r="D35" s="235"/>
      <c r="G35" s="15"/>
    </row>
    <row r="36" spans="1:7">
      <c r="A36" s="173" t="s">
        <v>74</v>
      </c>
      <c r="B36" s="33">
        <f>IF((($B$28-$B$32-$B$39-$B$77-$B$38)*C22/100)&lt;0,0,($B$28-$B$32-$B$39-$B$77-$B$38)*C22/100)</f>
        <v>140.01375515818432</v>
      </c>
      <c r="C36" s="169">
        <f>IF(ISERROR(B36/SUM($B$32,$B$34,$B$35,$B$36,$B$38,$B$39)*100),0,B36/SUM($B$32,$B$34,$B$35,$B$36,$B$38,$B$39)*100)</f>
        <v>2.4807539893370714</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738</v>
      </c>
      <c r="C39" s="169">
        <f>IF(ISERROR(B39/SUM($B$32,$B$34,$B$35,$B$36,$B$38,$B$39)*100),0,B39/SUM($B$32,$B$34,$B$35,$B$36,$B$38,$B$39)*100)</f>
        <v>13.075832742735646</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3021</v>
      </c>
      <c r="C44" s="34" t="s">
        <v>110</v>
      </c>
      <c r="D44" s="176"/>
    </row>
    <row r="45" spans="1:7">
      <c r="A45" s="173" t="s">
        <v>71</v>
      </c>
      <c r="B45" s="33" t="str">
        <f t="shared" si="0"/>
        <v>-</v>
      </c>
      <c r="C45" s="34" t="s">
        <v>110</v>
      </c>
      <c r="D45" s="176"/>
    </row>
    <row r="46" spans="1:7">
      <c r="A46" s="173" t="s">
        <v>72</v>
      </c>
      <c r="B46" s="33">
        <f t="shared" si="0"/>
        <v>82.971114167812914</v>
      </c>
      <c r="C46" s="34" t="s">
        <v>110</v>
      </c>
      <c r="D46" s="176"/>
    </row>
    <row r="47" spans="1:7">
      <c r="A47" s="173" t="s">
        <v>73</v>
      </c>
      <c r="B47" s="33">
        <f t="shared" si="0"/>
        <v>1662.0151306740029</v>
      </c>
      <c r="C47" s="34" t="s">
        <v>110</v>
      </c>
      <c r="D47" s="176"/>
    </row>
    <row r="48" spans="1:7">
      <c r="A48" s="173" t="s">
        <v>74</v>
      </c>
      <c r="B48" s="33">
        <f t="shared" si="0"/>
        <v>140.01375515818432</v>
      </c>
      <c r="C48" s="33">
        <f>B48*10</f>
        <v>1400.1375515818431</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738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86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8696.1942967348805</v>
      </c>
      <c r="C5" s="17">
        <f>IF(ISERROR('Eigen informatie GS &amp; warmtenet'!B58),0,'Eigen informatie GS &amp; warmtenet'!B58)</f>
        <v>0</v>
      </c>
      <c r="D5" s="30">
        <f>SUM(D6:D12)</f>
        <v>10348.582295133043</v>
      </c>
      <c r="E5" s="17">
        <f>SUM(E6:E12)</f>
        <v>123.30998815676429</v>
      </c>
      <c r="F5" s="17">
        <f>SUM(F6:F12)</f>
        <v>1705.9734156872487</v>
      </c>
      <c r="G5" s="18"/>
      <c r="H5" s="17"/>
      <c r="I5" s="17"/>
      <c r="J5" s="17">
        <f>SUM(J6:J12)</f>
        <v>0</v>
      </c>
      <c r="K5" s="17"/>
      <c r="L5" s="17"/>
      <c r="M5" s="17"/>
      <c r="N5" s="17">
        <f>SUM(N6:N12)</f>
        <v>625.38433915862106</v>
      </c>
      <c r="O5" s="17">
        <f>B38*B39*B40</f>
        <v>1.5633333333333335</v>
      </c>
      <c r="P5" s="17">
        <f>B46*B47*B48/1000-B46*B47*B48/1000/B49</f>
        <v>19.066666666666666</v>
      </c>
      <c r="R5" s="32"/>
    </row>
    <row r="6" spans="1:18">
      <c r="A6" s="32" t="s">
        <v>53</v>
      </c>
      <c r="B6" s="37">
        <f>B26</f>
        <v>1831.7805790387101</v>
      </c>
      <c r="C6" s="33"/>
      <c r="D6" s="37">
        <f>IF(ISERROR(TER_kantoor_gas_kWh/1000),0,TER_kantoor_gas_kWh/1000)*0.902</f>
        <v>3788.4227080633232</v>
      </c>
      <c r="E6" s="33">
        <f>$C$26*'E Balans VL '!I12/100/3.6*1000000</f>
        <v>7.1168553601096907</v>
      </c>
      <c r="F6" s="33">
        <f>$C$26*('E Balans VL '!L12+'E Balans VL '!N12)/100/3.6*1000000</f>
        <v>278.59715819739682</v>
      </c>
      <c r="G6" s="34"/>
      <c r="H6" s="33"/>
      <c r="I6" s="33"/>
      <c r="J6" s="33">
        <f>$C$26*('E Balans VL '!D12+'E Balans VL '!E12)/100/3.6*1000000</f>
        <v>0</v>
      </c>
      <c r="K6" s="33"/>
      <c r="L6" s="33"/>
      <c r="M6" s="33"/>
      <c r="N6" s="33">
        <f>$C$26*'E Balans VL '!Y12/100/3.6*1000000</f>
        <v>1.0095305409595148</v>
      </c>
      <c r="O6" s="33"/>
      <c r="P6" s="33"/>
      <c r="R6" s="32"/>
    </row>
    <row r="7" spans="1:18">
      <c r="A7" s="32" t="s">
        <v>52</v>
      </c>
      <c r="B7" s="37">
        <f t="shared" ref="B7:B12" si="0">B27</f>
        <v>745.13084304479901</v>
      </c>
      <c r="C7" s="33"/>
      <c r="D7" s="37">
        <f>IF(ISERROR(TER_horeca_gas_kWh/1000),0,TER_horeca_gas_kWh/1000)*0.902</f>
        <v>1092.1848355888478</v>
      </c>
      <c r="E7" s="33">
        <f>$C$27*'E Balans VL '!I9/100/3.6*1000000</f>
        <v>41.973419603694524</v>
      </c>
      <c r="F7" s="33">
        <f>$C$27*('E Balans VL '!L9+'E Balans VL '!N9)/100/3.6*1000000</f>
        <v>214.85112506121681</v>
      </c>
      <c r="G7" s="34"/>
      <c r="H7" s="33"/>
      <c r="I7" s="33"/>
      <c r="J7" s="33">
        <f>$C$27*('E Balans VL '!D9+'E Balans VL '!E9)/100/3.6*1000000</f>
        <v>0</v>
      </c>
      <c r="K7" s="33"/>
      <c r="L7" s="33"/>
      <c r="M7" s="33"/>
      <c r="N7" s="33">
        <f>$C$27*'E Balans VL '!Y9/100/3.6*1000000</f>
        <v>0.20572675370049792</v>
      </c>
      <c r="O7" s="33"/>
      <c r="P7" s="33"/>
      <c r="R7" s="32"/>
    </row>
    <row r="8" spans="1:18">
      <c r="A8" s="6" t="s">
        <v>51</v>
      </c>
      <c r="B8" s="37">
        <f t="shared" si="0"/>
        <v>3043.9120170657097</v>
      </c>
      <c r="C8" s="33"/>
      <c r="D8" s="37">
        <f>IF(ISERROR(TER_handel_gas_kWh/1000),0,TER_handel_gas_kWh/1000)*0.902</f>
        <v>1135.2921037931276</v>
      </c>
      <c r="E8" s="33">
        <f>$C$28*'E Balans VL '!I13/100/3.6*1000000</f>
        <v>43.873099132108841</v>
      </c>
      <c r="F8" s="33">
        <f>$C$28*('E Balans VL '!L13+'E Balans VL '!N13)/100/3.6*1000000</f>
        <v>528.79840529175522</v>
      </c>
      <c r="G8" s="34"/>
      <c r="H8" s="33"/>
      <c r="I8" s="33"/>
      <c r="J8" s="33">
        <f>$C$28*('E Balans VL '!D13+'E Balans VL '!E13)/100/3.6*1000000</f>
        <v>0</v>
      </c>
      <c r="K8" s="33"/>
      <c r="L8" s="33"/>
      <c r="M8" s="33"/>
      <c r="N8" s="33">
        <f>$C$28*'E Balans VL '!Y13/100/3.6*1000000</f>
        <v>9.119899258395078</v>
      </c>
      <c r="O8" s="33"/>
      <c r="P8" s="33"/>
      <c r="R8" s="32"/>
    </row>
    <row r="9" spans="1:18">
      <c r="A9" s="32" t="s">
        <v>50</v>
      </c>
      <c r="B9" s="37">
        <f t="shared" si="0"/>
        <v>103.590138441433</v>
      </c>
      <c r="C9" s="33"/>
      <c r="D9" s="37">
        <f>IF(ISERROR(TER_gezond_gas_kWh/1000),0,TER_gezond_gas_kWh/1000)*0.902</f>
        <v>139.76469521347568</v>
      </c>
      <c r="E9" s="33">
        <f>$C$29*'E Balans VL '!I10/100/3.6*1000000</f>
        <v>0.11066111743331496</v>
      </c>
      <c r="F9" s="33">
        <f>$C$29*('E Balans VL '!L10+'E Balans VL '!N10)/100/3.6*1000000</f>
        <v>16.89869980224276</v>
      </c>
      <c r="G9" s="34"/>
      <c r="H9" s="33"/>
      <c r="I9" s="33"/>
      <c r="J9" s="33">
        <f>$C$29*('E Balans VL '!D10+'E Balans VL '!E10)/100/3.6*1000000</f>
        <v>0</v>
      </c>
      <c r="K9" s="33"/>
      <c r="L9" s="33"/>
      <c r="M9" s="33"/>
      <c r="N9" s="33">
        <f>$C$29*'E Balans VL '!Y10/100/3.6*1000000</f>
        <v>1.066401367900768</v>
      </c>
      <c r="O9" s="33"/>
      <c r="P9" s="33"/>
      <c r="R9" s="32"/>
    </row>
    <row r="10" spans="1:18">
      <c r="A10" s="32" t="s">
        <v>49</v>
      </c>
      <c r="B10" s="37">
        <f t="shared" si="0"/>
        <v>625.70750557254701</v>
      </c>
      <c r="C10" s="33"/>
      <c r="D10" s="37">
        <f>IF(ISERROR(TER_ander_gas_kWh/1000),0,TER_ander_gas_kWh/1000)*0.902</f>
        <v>568.22956521911578</v>
      </c>
      <c r="E10" s="33">
        <f>$C$30*'E Balans VL '!I14/100/3.6*1000000</f>
        <v>2.8775336409511985</v>
      </c>
      <c r="F10" s="33">
        <f>$C$30*('E Balans VL '!L14+'E Balans VL '!N14)/100/3.6*1000000</f>
        <v>187.54427600870909</v>
      </c>
      <c r="G10" s="34"/>
      <c r="H10" s="33"/>
      <c r="I10" s="33"/>
      <c r="J10" s="33">
        <f>$C$30*('E Balans VL '!D14+'E Balans VL '!E14)/100/3.6*1000000</f>
        <v>0</v>
      </c>
      <c r="K10" s="33"/>
      <c r="L10" s="33"/>
      <c r="M10" s="33"/>
      <c r="N10" s="33">
        <f>$C$30*'E Balans VL '!Y14/100/3.6*1000000</f>
        <v>435.53372731190791</v>
      </c>
      <c r="O10" s="33"/>
      <c r="P10" s="33"/>
      <c r="R10" s="32"/>
    </row>
    <row r="11" spans="1:18">
      <c r="A11" s="32" t="s">
        <v>54</v>
      </c>
      <c r="B11" s="37">
        <f t="shared" si="0"/>
        <v>98.044550345022699</v>
      </c>
      <c r="C11" s="33"/>
      <c r="D11" s="37">
        <f>IF(ISERROR(TER_onderwijs_gas_kWh/1000),0,TER_onderwijs_gas_kWh/1000)*0.902</f>
        <v>708.14039927756039</v>
      </c>
      <c r="E11" s="33">
        <f>$C$31*'E Balans VL '!I11/100/3.6*1000000</f>
        <v>9.094921416403591E-2</v>
      </c>
      <c r="F11" s="33">
        <f>$C$31*('E Balans VL '!L11+'E Balans VL '!N11)/100/3.6*1000000</f>
        <v>34.44079714422714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2248.0286632266598</v>
      </c>
      <c r="C12" s="33"/>
      <c r="D12" s="37">
        <f>IF(ISERROR(TER_rest_gas_kWh/1000),0,TER_rest_gas_kWh/1000)*0.902</f>
        <v>2916.5479879775921</v>
      </c>
      <c r="E12" s="33">
        <f>$C$32*'E Balans VL '!I8/100/3.6*1000000</f>
        <v>27.267470088302694</v>
      </c>
      <c r="F12" s="33">
        <f>$C$32*('E Balans VL '!L8+'E Balans VL '!N8)/100/3.6*1000000</f>
        <v>444.84295418170052</v>
      </c>
      <c r="G12" s="34"/>
      <c r="H12" s="33"/>
      <c r="I12" s="33"/>
      <c r="J12" s="33">
        <f>$C$32*('E Balans VL '!D8+'E Balans VL '!E8)/100/3.6*1000000</f>
        <v>0</v>
      </c>
      <c r="K12" s="33"/>
      <c r="L12" s="33"/>
      <c r="M12" s="33"/>
      <c r="N12" s="33">
        <f>$C$32*'E Balans VL '!Y8/100/3.6*1000000</f>
        <v>178.44905392575731</v>
      </c>
      <c r="O12" s="33"/>
      <c r="P12" s="33"/>
      <c r="R12" s="32"/>
    </row>
    <row r="13" spans="1:18">
      <c r="A13" s="16" t="s">
        <v>496</v>
      </c>
      <c r="B13" s="249">
        <f ca="1">'lokale energieproductie'!N39+'lokale energieproductie'!N32</f>
        <v>0</v>
      </c>
      <c r="C13" s="249">
        <f ca="1">'lokale energieproductie'!O39+'lokale energieproductie'!O32</f>
        <v>0</v>
      </c>
      <c r="D13" s="310">
        <f ca="1">('lokale energieproductie'!P32+'lokale energieproductie'!P39)*(-1)</f>
        <v>0</v>
      </c>
      <c r="E13" s="250"/>
      <c r="F13" s="310">
        <f ca="1">('lokale energieproductie'!S32+'lokale energieproductie'!S39)*(-1)</f>
        <v>0</v>
      </c>
      <c r="G13" s="251"/>
      <c r="H13" s="250"/>
      <c r="I13" s="250"/>
      <c r="J13" s="250"/>
      <c r="K13" s="250"/>
      <c r="L13" s="310">
        <f ca="1">('lokale energieproductie'!U32+'lokale energieproductie'!T32+'lokale energieproductie'!U39+'lokale energieproductie'!T39)*(-1)</f>
        <v>0</v>
      </c>
      <c r="M13" s="250"/>
      <c r="N13" s="310">
        <f ca="1">('lokale energieproductie'!Q32+'lokale energieproductie'!R32+'lokale energieproductie'!V32+'lokale energieproductie'!Q39+'lokale energieproductie'!R39+'lokale energieproductie'!V39)*(-1)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8696.1942967348805</v>
      </c>
      <c r="C16" s="21">
        <f t="shared" ca="1" si="1"/>
        <v>0</v>
      </c>
      <c r="D16" s="21">
        <f t="shared" ca="1" si="1"/>
        <v>10348.582295133043</v>
      </c>
      <c r="E16" s="21">
        <f t="shared" si="1"/>
        <v>123.30998815676429</v>
      </c>
      <c r="F16" s="21">
        <f t="shared" ca="1" si="1"/>
        <v>1705.9734156872487</v>
      </c>
      <c r="G16" s="21">
        <f t="shared" si="1"/>
        <v>0</v>
      </c>
      <c r="H16" s="21">
        <f t="shared" si="1"/>
        <v>0</v>
      </c>
      <c r="I16" s="21">
        <f t="shared" si="1"/>
        <v>0</v>
      </c>
      <c r="J16" s="21">
        <f t="shared" si="1"/>
        <v>0</v>
      </c>
      <c r="K16" s="21">
        <f t="shared" si="1"/>
        <v>0</v>
      </c>
      <c r="L16" s="21">
        <f t="shared" ca="1" si="1"/>
        <v>0</v>
      </c>
      <c r="M16" s="21">
        <f t="shared" si="1"/>
        <v>0</v>
      </c>
      <c r="N16" s="21">
        <f t="shared" ca="1" si="1"/>
        <v>625.38433915862106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0.1906232941449468</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1657.697203368102</v>
      </c>
      <c r="C20" s="23">
        <f t="shared" ref="C20:P20" ca="1" si="2">C16*C18</f>
        <v>0</v>
      </c>
      <c r="D20" s="23">
        <f t="shared" ca="1" si="2"/>
        <v>2090.4136236168747</v>
      </c>
      <c r="E20" s="23">
        <f t="shared" si="2"/>
        <v>27.991367311585496</v>
      </c>
      <c r="F20" s="23">
        <f t="shared" ca="1" si="2"/>
        <v>455.49490198849543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1831.7805790387101</v>
      </c>
      <c r="C26" s="39">
        <f>IF(ISERROR(B26*3.6/1000000/'E Balans VL '!Z12*100),0,B26*3.6/1000000/'E Balans VL '!Z12*100)</f>
        <v>3.8907926844927672E-2</v>
      </c>
      <c r="D26" s="239" t="s">
        <v>689</v>
      </c>
      <c r="F26" s="6"/>
    </row>
    <row r="27" spans="1:18">
      <c r="A27" s="233" t="s">
        <v>52</v>
      </c>
      <c r="B27" s="33">
        <f>IF(ISERROR(TER_horeca_ele_kWh/1000),0,TER_horeca_ele_kWh/1000)</f>
        <v>745.13084304479901</v>
      </c>
      <c r="C27" s="39">
        <f>IF(ISERROR(B27*3.6/1000000/'E Balans VL '!Z9*100),0,B27*3.6/1000000/'E Balans VL '!Z9*100)</f>
        <v>5.7938460951907869E-2</v>
      </c>
      <c r="D27" s="239" t="s">
        <v>689</v>
      </c>
      <c r="F27" s="6"/>
    </row>
    <row r="28" spans="1:18">
      <c r="A28" s="173" t="s">
        <v>51</v>
      </c>
      <c r="B28" s="33">
        <f>IF(ISERROR(TER_handel_ele_kWh/1000),0,TER_handel_ele_kWh/1000)</f>
        <v>3043.9120170657097</v>
      </c>
      <c r="C28" s="39">
        <f>IF(ISERROR(B28*3.6/1000000/'E Balans VL '!Z13*100),0,B28*3.6/1000000/'E Balans VL '!Z13*100)</f>
        <v>8.7089905134335774E-2</v>
      </c>
      <c r="D28" s="239" t="s">
        <v>689</v>
      </c>
      <c r="F28" s="6"/>
    </row>
    <row r="29" spans="1:18">
      <c r="A29" s="233" t="s">
        <v>50</v>
      </c>
      <c r="B29" s="33">
        <f>IF(ISERROR(TER_gezond_ele_kWh/1000),0,TER_gezond_ele_kWh/1000)</f>
        <v>103.590138441433</v>
      </c>
      <c r="C29" s="39">
        <f>IF(ISERROR(B29*3.6/1000000/'E Balans VL '!Z10*100),0,B29*3.6/1000000/'E Balans VL '!Z10*100)</f>
        <v>1.1293732236240146E-2</v>
      </c>
      <c r="D29" s="239" t="s">
        <v>689</v>
      </c>
      <c r="F29" s="6"/>
    </row>
    <row r="30" spans="1:18">
      <c r="A30" s="233" t="s">
        <v>49</v>
      </c>
      <c r="B30" s="33">
        <f>IF(ISERROR(TER_ander_ele_kWh/1000),0,TER_ander_ele_kWh/1000)</f>
        <v>625.70750557254701</v>
      </c>
      <c r="C30" s="39">
        <f>IF(ISERROR(B30*3.6/1000000/'E Balans VL '!Z14*100),0,B30*3.6/1000000/'E Balans VL '!Z14*100)</f>
        <v>4.5787855873969732E-2</v>
      </c>
      <c r="D30" s="239" t="s">
        <v>689</v>
      </c>
      <c r="F30" s="6"/>
    </row>
    <row r="31" spans="1:18">
      <c r="A31" s="233" t="s">
        <v>54</v>
      </c>
      <c r="B31" s="33">
        <f>IF(ISERROR(TER_onderwijs_ele_kWh/1000),0,TER_onderwijs_ele_kWh/1000)</f>
        <v>98.044550345022699</v>
      </c>
      <c r="C31" s="39">
        <f>IF(ISERROR(B31*3.6/1000000/'E Balans VL '!Z11*100),0,B31*3.6/1000000/'E Balans VL '!Z11*100)</f>
        <v>1.969232074267328E-2</v>
      </c>
      <c r="D31" s="239" t="s">
        <v>689</v>
      </c>
    </row>
    <row r="32" spans="1:18">
      <c r="A32" s="233" t="s">
        <v>259</v>
      </c>
      <c r="B32" s="33">
        <f>IF(ISERROR(TER_rest_ele_kWh/1000),0,TER_rest_ele_kWh/1000)</f>
        <v>2248.0286632266598</v>
      </c>
      <c r="C32" s="39">
        <f>IF(ISERROR(B32*3.6/1000000/'E Balans VL '!Z8*100),0,B32*3.6/1000000/'E Balans VL '!Z8*100)</f>
        <v>1.8320069346018476E-2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6297.3009602543534</v>
      </c>
      <c r="C5" s="17">
        <f>IF(ISERROR('Eigen informatie GS &amp; warmtenet'!B59),0,'Eigen informatie GS &amp; warmtenet'!B59)</f>
        <v>0</v>
      </c>
      <c r="D5" s="30">
        <f>SUM(D6:D15)</f>
        <v>5473.8338260514111</v>
      </c>
      <c r="E5" s="17">
        <f>SUM(E6:E15)</f>
        <v>722.59570881518937</v>
      </c>
      <c r="F5" s="17">
        <f>SUM(F6:F15)</f>
        <v>2561.723162124898</v>
      </c>
      <c r="G5" s="18"/>
      <c r="H5" s="17"/>
      <c r="I5" s="17"/>
      <c r="J5" s="17">
        <f>SUM(J6:J15)</f>
        <v>10.979782934592581</v>
      </c>
      <c r="K5" s="17"/>
      <c r="L5" s="17"/>
      <c r="M5" s="17"/>
      <c r="N5" s="17">
        <f>SUM(N6:N15)</f>
        <v>422.28185729410188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61.100170655907803</v>
      </c>
      <c r="C8" s="33"/>
      <c r="D8" s="37">
        <f>IF( ISERROR(IND_metaal_Gas_kWH/1000),0,IND_metaal_Gas_kWH/1000)*0.902</f>
        <v>172.40588040362718</v>
      </c>
      <c r="E8" s="33">
        <f>C30*'E Balans VL '!I18/100/3.6*1000000</f>
        <v>1.7550262431429799</v>
      </c>
      <c r="F8" s="33">
        <f>C30*'E Balans VL '!L18/100/3.6*1000000+C30*'E Balans VL '!N18/100/3.6*1000000</f>
        <v>15.67101864807989</v>
      </c>
      <c r="G8" s="34"/>
      <c r="H8" s="33"/>
      <c r="I8" s="33"/>
      <c r="J8" s="40">
        <f>C30*'E Balans VL '!D18/100/3.6*1000000+C30*'E Balans VL '!E18/100/3.6*1000000</f>
        <v>0</v>
      </c>
      <c r="K8" s="33"/>
      <c r="L8" s="33"/>
      <c r="M8" s="33"/>
      <c r="N8" s="33">
        <f>C30*'E Balans VL '!Y18/100/3.6*1000000</f>
        <v>1.6589943564266927</v>
      </c>
      <c r="O8" s="33"/>
      <c r="P8" s="33"/>
      <c r="R8" s="32"/>
    </row>
    <row r="9" spans="1:18">
      <c r="A9" s="6" t="s">
        <v>32</v>
      </c>
      <c r="B9" s="37">
        <f t="shared" si="0"/>
        <v>1707.9112934774701</v>
      </c>
      <c r="C9" s="33"/>
      <c r="D9" s="37">
        <f>IF( ISERROR(IND_andere_gas_kWh/1000),0,IND_andere_gas_kWh/1000)*0.902</f>
        <v>633.72461154723919</v>
      </c>
      <c r="E9" s="33">
        <f>C31*'E Balans VL '!I19/100/3.6*1000000</f>
        <v>462.28959466030062</v>
      </c>
      <c r="F9" s="33">
        <f>C31*'E Balans VL '!L19/100/3.6*1000000+C31*'E Balans VL '!N19/100/3.6*1000000</f>
        <v>1137.6496562245759</v>
      </c>
      <c r="G9" s="34"/>
      <c r="H9" s="33"/>
      <c r="I9" s="33"/>
      <c r="J9" s="40">
        <f>C31*'E Balans VL '!D19/100/3.6*1000000+C31*'E Balans VL '!E19/100/3.6*1000000</f>
        <v>0</v>
      </c>
      <c r="K9" s="33"/>
      <c r="L9" s="33"/>
      <c r="M9" s="33"/>
      <c r="N9" s="33">
        <f>C31*'E Balans VL '!Y19/100/3.6*1000000</f>
        <v>144.39258624314581</v>
      </c>
      <c r="O9" s="33"/>
      <c r="P9" s="33"/>
      <c r="R9" s="32"/>
    </row>
    <row r="10" spans="1:18">
      <c r="A10" s="6" t="s">
        <v>40</v>
      </c>
      <c r="B10" s="37">
        <f t="shared" si="0"/>
        <v>271.28642644128502</v>
      </c>
      <c r="C10" s="33"/>
      <c r="D10" s="37">
        <f>IF( ISERROR(IND_voed_gas_kWh/1000),0,IND_voed_gas_kWh/1000)*0.902</f>
        <v>0</v>
      </c>
      <c r="E10" s="33">
        <f>C32*'E Balans VL '!I20/100/3.6*1000000</f>
        <v>22.126744204897772</v>
      </c>
      <c r="F10" s="33">
        <f>C32*'E Balans VL '!L20/100/3.6*1000000+C32*'E Balans VL '!N20/100/3.6*1000000</f>
        <v>404.51267508520846</v>
      </c>
      <c r="G10" s="34"/>
      <c r="H10" s="33"/>
      <c r="I10" s="33"/>
      <c r="J10" s="40">
        <f>C32*'E Balans VL '!D20/100/3.6*1000000+C32*'E Balans VL '!E20/100/3.6*1000000</f>
        <v>3.5887901242719678E-3</v>
      </c>
      <c r="K10" s="33"/>
      <c r="L10" s="33"/>
      <c r="M10" s="33"/>
      <c r="N10" s="33">
        <f>C32*'E Balans VL '!Y20/100/3.6*1000000</f>
        <v>79.694379422660489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22.210047193499999</v>
      </c>
      <c r="C12" s="33"/>
      <c r="D12" s="37">
        <f>IF( ISERROR(IND_min_gas_kWh/1000),0,IND_min_gas_kWh/1000)*0.902</f>
        <v>0</v>
      </c>
      <c r="E12" s="33">
        <f>C34*'E Balans VL '!I22/100/3.6*1000000</f>
        <v>0.1730114282740717</v>
      </c>
      <c r="F12" s="33">
        <f>C34*'E Balans VL '!L22/100/3.6*1000000+C34*'E Balans VL '!N22/100/3.6*1000000</f>
        <v>8.3762649523026056</v>
      </c>
      <c r="G12" s="34"/>
      <c r="H12" s="33"/>
      <c r="I12" s="33"/>
      <c r="J12" s="40">
        <f>C34*'E Balans VL '!D22/100/3.6*1000000+C34*'E Balans VL '!E22/100/3.6*1000000</f>
        <v>0.12215331767480542</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4234.7930224861902</v>
      </c>
      <c r="C15" s="33"/>
      <c r="D15" s="37">
        <f>IF( ISERROR(IND_rest_gas_kWh/1000),0,IND_rest_gas_kWh/1000)*0.902</f>
        <v>4667.7033341005445</v>
      </c>
      <c r="E15" s="33">
        <f>C37*'E Balans VL '!I15/100/3.6*1000000</f>
        <v>236.25133227857393</v>
      </c>
      <c r="F15" s="33">
        <f>C37*'E Balans VL '!L15/100/3.6*1000000+C37*'E Balans VL '!N15/100/3.6*1000000</f>
        <v>995.51354721473126</v>
      </c>
      <c r="G15" s="34"/>
      <c r="H15" s="33"/>
      <c r="I15" s="33"/>
      <c r="J15" s="40">
        <f>C37*'E Balans VL '!D15/100/3.6*1000000+C37*'E Balans VL '!E15/100/3.6*1000000</f>
        <v>10.854040826793504</v>
      </c>
      <c r="K15" s="33"/>
      <c r="L15" s="33"/>
      <c r="M15" s="33"/>
      <c r="N15" s="33">
        <f>C37*'E Balans VL '!Y15/100/3.6*1000000</f>
        <v>196.53589727186889</v>
      </c>
      <c r="O15" s="33"/>
      <c r="P15" s="33"/>
      <c r="R15" s="32"/>
    </row>
    <row r="16" spans="1:18">
      <c r="A16" s="16" t="s">
        <v>496</v>
      </c>
      <c r="B16" s="249">
        <f>'lokale energieproductie'!N38+'lokale energieproductie'!N31</f>
        <v>0</v>
      </c>
      <c r="C16" s="249">
        <f>'lokale energieproductie'!O38+'lokale energieproductie'!O31</f>
        <v>0</v>
      </c>
      <c r="D16" s="310">
        <f>('lokale energieproductie'!P31+'lokale energieproductie'!P38)*(-1)</f>
        <v>0</v>
      </c>
      <c r="E16" s="250"/>
      <c r="F16" s="310">
        <f>('lokale energieproductie'!S31+'lokale energieproductie'!S38)*(-1)</f>
        <v>0</v>
      </c>
      <c r="G16" s="251"/>
      <c r="H16" s="250"/>
      <c r="I16" s="250"/>
      <c r="J16" s="250"/>
      <c r="K16" s="250"/>
      <c r="L16" s="310">
        <f>('lokale energieproductie'!T31+'lokale energieproductie'!U31+'lokale energieproductie'!T38+'lokale energieproductie'!U38)*(-1)</f>
        <v>0</v>
      </c>
      <c r="M16" s="250"/>
      <c r="N16" s="310">
        <f>('lokale energieproductie'!Q31+'lokale energieproductie'!R31+'lokale energieproductie'!V31+'lokale energieproductie'!Q38+'lokale energieproductie'!R38+'lokale energieproductie'!V38)*(-1)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6297.3009602543534</v>
      </c>
      <c r="C18" s="21">
        <f>C5+C16</f>
        <v>0</v>
      </c>
      <c r="D18" s="21">
        <f>MAX((D5+D16),0)</f>
        <v>5473.8338260514111</v>
      </c>
      <c r="E18" s="21">
        <f>MAX((E5+E16),0)</f>
        <v>722.59570881518937</v>
      </c>
      <c r="F18" s="21">
        <f>MAX((F5+F16),0)</f>
        <v>2561.723162124898</v>
      </c>
      <c r="G18" s="21"/>
      <c r="H18" s="21"/>
      <c r="I18" s="21"/>
      <c r="J18" s="21">
        <f>MAX((J5+J16),0)</f>
        <v>10.979782934592581</v>
      </c>
      <c r="K18" s="21"/>
      <c r="L18" s="21">
        <f>MAX((L5+L16),0)</f>
        <v>0</v>
      </c>
      <c r="M18" s="21"/>
      <c r="N18" s="21">
        <f>MAX((N5+N16),0)</f>
        <v>422.28185729410188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0.1906232941449468</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1200.4122532658216</v>
      </c>
      <c r="C22" s="23">
        <f ca="1">C18*C20</f>
        <v>0</v>
      </c>
      <c r="D22" s="23">
        <f>D18*D20</f>
        <v>1105.7144328623851</v>
      </c>
      <c r="E22" s="23">
        <f>E18*E20</f>
        <v>164.02922590104799</v>
      </c>
      <c r="F22" s="23">
        <f>F18*F20</f>
        <v>683.98008428734784</v>
      </c>
      <c r="G22" s="23"/>
      <c r="H22" s="23"/>
      <c r="I22" s="23"/>
      <c r="J22" s="23">
        <f>J18*J20</f>
        <v>3.8868431588457737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61.100170655907803</v>
      </c>
      <c r="C30" s="39">
        <f>IF(ISERROR(B30*3.6/1000000/'E Balans VL '!Z18*100),0,B30*3.6/1000000/'E Balans VL '!Z18*100)</f>
        <v>6.0121008204205816E-3</v>
      </c>
      <c r="D30" s="239" t="s">
        <v>689</v>
      </c>
    </row>
    <row r="31" spans="1:18">
      <c r="A31" s="6" t="s">
        <v>32</v>
      </c>
      <c r="B31" s="37">
        <f>IF( ISERROR(IND_ander_ele_kWh/1000),0,IND_ander_ele_kWh/1000)</f>
        <v>1707.9112934774701</v>
      </c>
      <c r="C31" s="39">
        <f>IF(ISERROR(B31*3.6/1000000/'E Balans VL '!Z19*100),0,B31*3.6/1000000/'E Balans VL '!Z19*100)</f>
        <v>7.4378174443525416E-2</v>
      </c>
      <c r="D31" s="239" t="s">
        <v>689</v>
      </c>
    </row>
    <row r="32" spans="1:18">
      <c r="A32" s="173" t="s">
        <v>40</v>
      </c>
      <c r="B32" s="37">
        <f>IF( ISERROR(IND_voed_ele_kWh/1000),0,IND_voed_ele_kWh/1000)</f>
        <v>271.28642644128502</v>
      </c>
      <c r="C32" s="39">
        <f>IF(ISERROR(B32*3.6/1000000/'E Balans VL '!Z20*100),0,B32*3.6/1000000/'E Balans VL '!Z20*100)</f>
        <v>5.1472687041348907E-2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22.210047193499999</v>
      </c>
      <c r="C34" s="39">
        <f>IF(ISERROR(B34*3.6/1000000/'E Balans VL '!Z22*100),0,B34*3.6/1000000/'E Balans VL '!Z22*100)</f>
        <v>3.122955661748369E-3</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4234.7930224861902</v>
      </c>
      <c r="C37" s="39">
        <f>IF(ISERROR(B37*3.6/1000000/'E Balans VL '!Z15*100),0,B37*3.6/1000000/'E Balans VL '!Z15*100)</f>
        <v>3.2634281636244322E-2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1116.5253724922479</v>
      </c>
      <c r="C5" s="17">
        <f>'Eigen informatie GS &amp; warmtenet'!B60</f>
        <v>0</v>
      </c>
      <c r="D5" s="30">
        <f>IF(ISERROR(SUM(LB_lb_gas_kWh,LB_rest_gas_kWh)/1000),0,SUM(LB_lb_gas_kWh,LB_rest_gas_kWh)/1000)*0.902</f>
        <v>39.133348792524345</v>
      </c>
      <c r="E5" s="17">
        <f>B17*'E Balans VL '!I25/3.6*1000000/100</f>
        <v>14.069658070533762</v>
      </c>
      <c r="F5" s="17">
        <f>B17*('E Balans VL '!L25/3.6*1000000+'E Balans VL '!N25/3.6*1000000)/100</f>
        <v>3852.2922414172026</v>
      </c>
      <c r="G5" s="18"/>
      <c r="H5" s="17"/>
      <c r="I5" s="17"/>
      <c r="J5" s="17">
        <f>('E Balans VL '!D25+'E Balans VL '!E25)/3.6*1000000*landbouw!B17/100</f>
        <v>167.91272381034949</v>
      </c>
      <c r="K5" s="17"/>
      <c r="L5" s="17">
        <f>L6*(-1)</f>
        <v>8555.625</v>
      </c>
      <c r="M5" s="17"/>
      <c r="N5" s="17">
        <f>N6*(-1)</f>
        <v>0</v>
      </c>
      <c r="O5" s="17"/>
      <c r="P5" s="17"/>
      <c r="R5" s="32"/>
    </row>
    <row r="6" spans="1:18">
      <c r="A6" s="16" t="s">
        <v>496</v>
      </c>
      <c r="B6" s="17" t="s">
        <v>210</v>
      </c>
      <c r="C6" s="17">
        <f>'lokale energieproductie'!O40+'lokale energieproductie'!O33</f>
        <v>5133.375</v>
      </c>
      <c r="D6" s="310">
        <f>('lokale energieproductie'!P33+'lokale energieproductie'!P40)*(-1)</f>
        <v>0</v>
      </c>
      <c r="E6" s="250"/>
      <c r="F6" s="310">
        <f>('lokale energieproductie'!S33+'lokale energieproductie'!S40)*(-1)</f>
        <v>-2851.875</v>
      </c>
      <c r="G6" s="251"/>
      <c r="H6" s="250"/>
      <c r="I6" s="250"/>
      <c r="J6" s="250"/>
      <c r="K6" s="250"/>
      <c r="L6" s="310">
        <f>('lokale energieproductie'!T33+'lokale energieproductie'!U33+'lokale energieproductie'!T40+'lokale energieproductie'!U40)*(-1)</f>
        <v>-8555.625</v>
      </c>
      <c r="M6" s="250"/>
      <c r="N6" s="1030">
        <f>('lokale energieproductie'!V33+'lokale energieproductie'!R33+'lokale energieproductie'!Q33+'lokale energieproductie'!Q40+'lokale energieproductie'!R40+'lokale energieproductie'!V40)*(-1)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1116.5253724922479</v>
      </c>
      <c r="C8" s="21">
        <f>C5+C6</f>
        <v>5133.375</v>
      </c>
      <c r="D8" s="21">
        <f>MAX((D5+D6),0)</f>
        <v>39.133348792524345</v>
      </c>
      <c r="E8" s="21">
        <f>MAX((E5+E6),0)</f>
        <v>14.069658070533762</v>
      </c>
      <c r="F8" s="21">
        <f>MAX((F5+F6),0)</f>
        <v>1000.4172414172026</v>
      </c>
      <c r="G8" s="21"/>
      <c r="H8" s="21"/>
      <c r="I8" s="21"/>
      <c r="J8" s="21">
        <f>MAX((J5+J6),0)</f>
        <v>167.91272381034949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0.1906232941449468</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212.83574450088608</v>
      </c>
      <c r="C12" s="23">
        <f ca="1">C8*C10</f>
        <v>403.12091911764708</v>
      </c>
      <c r="D12" s="23">
        <f>D8*D10</f>
        <v>7.904936456089918</v>
      </c>
      <c r="E12" s="23">
        <f>E8*E10</f>
        <v>3.1938123820111644</v>
      </c>
      <c r="F12" s="23">
        <f>F8*F10</f>
        <v>267.11140345839311</v>
      </c>
      <c r="G12" s="23"/>
      <c r="H12" s="23"/>
      <c r="I12" s="23"/>
      <c r="J12" s="23">
        <f>J8*J10</f>
        <v>59.441104228863715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0.15572009862562552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98.192189130320969</v>
      </c>
      <c r="C26" s="249">
        <f>B26*'GWP N2O_CH4'!B5</f>
        <v>2062.0359717367405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14.518895861774306</v>
      </c>
      <c r="C27" s="249">
        <f>B27*'GWP N2O_CH4'!B5</f>
        <v>304.89681309726041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1.2849499642597253</v>
      </c>
      <c r="C28" s="249">
        <f>B28*'GWP N2O_CH4'!B4</f>
        <v>398.33448892051484</v>
      </c>
      <c r="D28" s="50"/>
    </row>
    <row r="29" spans="1:4">
      <c r="A29" s="41" t="s">
        <v>276</v>
      </c>
      <c r="B29" s="249">
        <f>B34*'ha_N2O bodem landbouw'!B4</f>
        <v>5.6945326928286351</v>
      </c>
      <c r="C29" s="249">
        <f>B29*'GWP N2O_CH4'!B4</f>
        <v>1765.3051347768769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1.4218679120405143E-3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9.9037323457947012E-6</v>
      </c>
      <c r="C5" s="444" t="s">
        <v>210</v>
      </c>
      <c r="D5" s="429">
        <f>SUM(D6:D11)</f>
        <v>1.8126228453335251E-5</v>
      </c>
      <c r="E5" s="429">
        <f>SUM(E6:E11)</f>
        <v>6.3284219929701693E-4</v>
      </c>
      <c r="F5" s="442" t="s">
        <v>210</v>
      </c>
      <c r="G5" s="429">
        <f>SUM(G6:G11)</f>
        <v>0.18204589952057146</v>
      </c>
      <c r="H5" s="429">
        <f>SUM(H6:H11)</f>
        <v>3.2775031802410447E-2</v>
      </c>
      <c r="I5" s="444" t="s">
        <v>210</v>
      </c>
      <c r="J5" s="444" t="s">
        <v>210</v>
      </c>
      <c r="K5" s="444" t="s">
        <v>210</v>
      </c>
      <c r="L5" s="444" t="s">
        <v>210</v>
      </c>
      <c r="M5" s="429">
        <f>SUM(M6:M11)</f>
        <v>9.7135993939747919E-3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6.5646320216586501E-6</v>
      </c>
      <c r="C6" s="883"/>
      <c r="D6" s="883">
        <f>vkm_GW_PW*SUMIFS(TableVerdeelsleutelVkm[CNG],TableVerdeelsleutelVkm[Voertuigtype],"Lichte voertuigen")*SUMIFS(TableECFTransport[EnergieConsumptieFactor (PJ per km)],TableECFTransport[Index],CONCATENATE($A6,"_CNG_CNG"))</f>
        <v>9.7285891244376563E-6</v>
      </c>
      <c r="E6" s="883">
        <f>vkm_GW_PW*SUMIFS(TableVerdeelsleutelVkm[LPG],TableVerdeelsleutelVkm[Voertuigtype],"Lichte voertuigen")*SUMIFS(TableECFTransport[EnergieConsumptieFactor (PJ per km)],TableECFTransport[Index],CONCATENATE($A6,"_LPG_LPG"))</f>
        <v>3.4844251380352563E-4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7.0125104114896239E-2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1.7914460176204239E-2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3.9828612379692388E-3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3.8861367853883562E-2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9.0291843757202658E-7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1.7546514161751771E-3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3.3391003241360503E-6</v>
      </c>
      <c r="C8" s="883"/>
      <c r="D8" s="432">
        <f>vkm_NGW_PW*SUMIFS(TableVerdeelsleutelVkm[CNG],TableVerdeelsleutelVkm[Voertuigtype],"Lichte voertuigen")*SUMIFS(TableECFTransport[EnergieConsumptieFactor (PJ per km)],TableECFTransport[Index],CONCATENATE($A8,"_CNG_CNG"))</f>
        <v>8.3976393288975934E-6</v>
      </c>
      <c r="E8" s="432">
        <f>vkm_NGW_PW*SUMIFS(TableVerdeelsleutelVkm[LPG],TableVerdeelsleutelVkm[Voertuigtype],"Lichte voertuigen")*SUMIFS(TableECFTransport[EnergieConsumptieFactor (PJ per km)],TableECFTransport[Index],CONCATENATE($A8,"_LPG_LPG"))</f>
        <v>2.843996854934913E-4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5.4369843959190124E-2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1.4859165383851607E-2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3.1322197192395484E-3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1.8689583592601533E-2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5.0332391702517674E-7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8.4386702059082808E-4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2.7510367627207502</v>
      </c>
      <c r="C14" s="21"/>
      <c r="D14" s="21">
        <f t="shared" ref="D14:M14" si="0">((D5)*10^9/3600)+D12</f>
        <v>5.035063459259792</v>
      </c>
      <c r="E14" s="21">
        <f t="shared" si="0"/>
        <v>175.78949980472694</v>
      </c>
      <c r="F14" s="21"/>
      <c r="G14" s="21">
        <f t="shared" si="0"/>
        <v>50568.305422380967</v>
      </c>
      <c r="H14" s="21">
        <f t="shared" si="0"/>
        <v>9104.1755006695676</v>
      </c>
      <c r="I14" s="21"/>
      <c r="J14" s="21"/>
      <c r="K14" s="21"/>
      <c r="L14" s="21"/>
      <c r="M14" s="21">
        <f t="shared" si="0"/>
        <v>2698.2220538818869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0.1906232941449468</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0.52441169002367982</v>
      </c>
      <c r="C18" s="23"/>
      <c r="D18" s="23">
        <f t="shared" ref="D18:M18" si="1">D14*D16</f>
        <v>1.0170828187704781</v>
      </c>
      <c r="E18" s="23">
        <f t="shared" si="1"/>
        <v>39.904216455673016</v>
      </c>
      <c r="F18" s="23"/>
      <c r="G18" s="23">
        <f t="shared" si="1"/>
        <v>13501.73754777572</v>
      </c>
      <c r="H18" s="23">
        <f t="shared" si="1"/>
        <v>2266.9396996667224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2.2404970161898395E-3</v>
      </c>
      <c r="H50" s="321">
        <f t="shared" si="2"/>
        <v>0</v>
      </c>
      <c r="I50" s="321">
        <f t="shared" si="2"/>
        <v>0</v>
      </c>
      <c r="J50" s="321">
        <f t="shared" si="2"/>
        <v>0</v>
      </c>
      <c r="K50" s="321">
        <f t="shared" si="2"/>
        <v>0</v>
      </c>
      <c r="L50" s="321">
        <f t="shared" si="2"/>
        <v>0</v>
      </c>
      <c r="M50" s="321">
        <f t="shared" si="2"/>
        <v>9.9726375736279587E-5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2.2404970161898395E-3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9.9726375736279587E-5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622.36028227495547</v>
      </c>
      <c r="H54" s="21">
        <f t="shared" si="3"/>
        <v>0</v>
      </c>
      <c r="I54" s="21">
        <f t="shared" si="3"/>
        <v>0</v>
      </c>
      <c r="J54" s="21">
        <f t="shared" si="3"/>
        <v>0</v>
      </c>
      <c r="K54" s="21">
        <f t="shared" si="3"/>
        <v>0</v>
      </c>
      <c r="L54" s="21">
        <f t="shared" si="3"/>
        <v>0</v>
      </c>
      <c r="M54" s="21">
        <f t="shared" si="3"/>
        <v>27.70177103785544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0.1906232941449468</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166.17019536741313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9660.8152967348797</v>
      </c>
      <c r="D10" s="686">
        <f ca="1">tertiair!C16</f>
        <v>0</v>
      </c>
      <c r="E10" s="686">
        <f ca="1">tertiair!D16</f>
        <v>10348.582295133043</v>
      </c>
      <c r="F10" s="686">
        <f>tertiair!E16</f>
        <v>123.30998815676429</v>
      </c>
      <c r="G10" s="686">
        <f ca="1">tertiair!F16</f>
        <v>1705.9734156872487</v>
      </c>
      <c r="H10" s="686">
        <f>tertiair!G16</f>
        <v>0</v>
      </c>
      <c r="I10" s="686">
        <f>tertiair!H16</f>
        <v>0</v>
      </c>
      <c r="J10" s="686">
        <f>tertiair!I16</f>
        <v>0</v>
      </c>
      <c r="K10" s="686">
        <f>tertiair!J16</f>
        <v>0</v>
      </c>
      <c r="L10" s="686">
        <f>tertiair!K16</f>
        <v>0</v>
      </c>
      <c r="M10" s="686">
        <f ca="1">tertiair!L16</f>
        <v>0</v>
      </c>
      <c r="N10" s="686">
        <f>tertiair!M16</f>
        <v>0</v>
      </c>
      <c r="O10" s="686">
        <f ca="1">tertiair!N16</f>
        <v>625.38433915862106</v>
      </c>
      <c r="P10" s="686">
        <f>tertiair!O16</f>
        <v>1.5633333333333335</v>
      </c>
      <c r="Q10" s="687">
        <f>tertiair!P16</f>
        <v>19.066666666666666</v>
      </c>
      <c r="R10" s="689">
        <f ca="1">SUM(C10:Q10)</f>
        <v>22484.69533487055</v>
      </c>
      <c r="S10" s="67"/>
    </row>
    <row r="11" spans="1:19" s="454" customFormat="1">
      <c r="A11" s="801" t="s">
        <v>224</v>
      </c>
      <c r="B11" s="806"/>
      <c r="C11" s="686">
        <f>huishoudens!B8</f>
        <v>28167.211792662838</v>
      </c>
      <c r="D11" s="686">
        <f>huishoudens!C8</f>
        <v>0</v>
      </c>
      <c r="E11" s="686">
        <f>huishoudens!D8</f>
        <v>47818.496459978793</v>
      </c>
      <c r="F11" s="686">
        <f>huishoudens!E8</f>
        <v>1902.6352017601919</v>
      </c>
      <c r="G11" s="686">
        <f>huishoudens!F8</f>
        <v>17368.480054396274</v>
      </c>
      <c r="H11" s="686">
        <f>huishoudens!G8</f>
        <v>0</v>
      </c>
      <c r="I11" s="686">
        <f>huishoudens!H8</f>
        <v>0</v>
      </c>
      <c r="J11" s="686">
        <f>huishoudens!I8</f>
        <v>0</v>
      </c>
      <c r="K11" s="686">
        <f>huishoudens!J8</f>
        <v>0</v>
      </c>
      <c r="L11" s="686">
        <f>huishoudens!K8</f>
        <v>0</v>
      </c>
      <c r="M11" s="686">
        <f>huishoudens!L8</f>
        <v>0</v>
      </c>
      <c r="N11" s="686">
        <f>huishoudens!M8</f>
        <v>0</v>
      </c>
      <c r="O11" s="686">
        <f>huishoudens!N8</f>
        <v>10990.136987940674</v>
      </c>
      <c r="P11" s="686">
        <f>huishoudens!O8</f>
        <v>134.44666666666666</v>
      </c>
      <c r="Q11" s="687">
        <f>huishoudens!P8</f>
        <v>724.5333333333333</v>
      </c>
      <c r="R11" s="689">
        <f>SUM(C11:Q11)</f>
        <v>107105.94049673878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6297.3009602543534</v>
      </c>
      <c r="D13" s="686">
        <f>industrie!C18</f>
        <v>0</v>
      </c>
      <c r="E13" s="686">
        <f>industrie!D18</f>
        <v>5473.8338260514111</v>
      </c>
      <c r="F13" s="686">
        <f>industrie!E18</f>
        <v>722.59570881518937</v>
      </c>
      <c r="G13" s="686">
        <f>industrie!F18</f>
        <v>2561.723162124898</v>
      </c>
      <c r="H13" s="686">
        <f>industrie!G18</f>
        <v>0</v>
      </c>
      <c r="I13" s="686">
        <f>industrie!H18</f>
        <v>0</v>
      </c>
      <c r="J13" s="686">
        <f>industrie!I18</f>
        <v>0</v>
      </c>
      <c r="K13" s="686">
        <f>industrie!J18</f>
        <v>10.979782934592581</v>
      </c>
      <c r="L13" s="686">
        <f>industrie!K18</f>
        <v>0</v>
      </c>
      <c r="M13" s="686">
        <f>industrie!L18</f>
        <v>0</v>
      </c>
      <c r="N13" s="686">
        <f>industrie!M18</f>
        <v>0</v>
      </c>
      <c r="O13" s="686">
        <f>industrie!N18</f>
        <v>422.28185729410188</v>
      </c>
      <c r="P13" s="686">
        <f>industrie!O18</f>
        <v>0</v>
      </c>
      <c r="Q13" s="687">
        <f>industrie!P18</f>
        <v>0</v>
      </c>
      <c r="R13" s="689">
        <f>SUM(C13:Q13)</f>
        <v>15488.715297474546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44125.328049652067</v>
      </c>
      <c r="D16" s="721">
        <f t="shared" ref="D16:R16" ca="1" si="0">SUM(D9:D15)</f>
        <v>0</v>
      </c>
      <c r="E16" s="721">
        <f t="shared" ca="1" si="0"/>
        <v>63640.912581163248</v>
      </c>
      <c r="F16" s="721">
        <f t="shared" si="0"/>
        <v>2748.5408987321457</v>
      </c>
      <c r="G16" s="721">
        <f t="shared" ca="1" si="0"/>
        <v>21636.176632208419</v>
      </c>
      <c r="H16" s="721">
        <f t="shared" si="0"/>
        <v>0</v>
      </c>
      <c r="I16" s="721">
        <f t="shared" si="0"/>
        <v>0</v>
      </c>
      <c r="J16" s="721">
        <f t="shared" si="0"/>
        <v>0</v>
      </c>
      <c r="K16" s="721">
        <f t="shared" si="0"/>
        <v>10.979782934592581</v>
      </c>
      <c r="L16" s="721">
        <f t="shared" si="0"/>
        <v>0</v>
      </c>
      <c r="M16" s="721">
        <f t="shared" ca="1" si="0"/>
        <v>0</v>
      </c>
      <c r="N16" s="721">
        <f t="shared" si="0"/>
        <v>0</v>
      </c>
      <c r="O16" s="721">
        <f t="shared" ca="1" si="0"/>
        <v>12037.803184393397</v>
      </c>
      <c r="P16" s="721">
        <f t="shared" si="0"/>
        <v>136.01</v>
      </c>
      <c r="Q16" s="721">
        <f t="shared" si="0"/>
        <v>743.6</v>
      </c>
      <c r="R16" s="721">
        <f t="shared" ca="1" si="0"/>
        <v>145079.35112908389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622.36028227495547</v>
      </c>
      <c r="I19" s="686">
        <f>transport!H54</f>
        <v>0</v>
      </c>
      <c r="J19" s="686">
        <f>transport!I54</f>
        <v>0</v>
      </c>
      <c r="K19" s="686">
        <f>transport!J54</f>
        <v>0</v>
      </c>
      <c r="L19" s="686">
        <f>transport!K54</f>
        <v>0</v>
      </c>
      <c r="M19" s="686">
        <f>transport!L54</f>
        <v>0</v>
      </c>
      <c r="N19" s="686">
        <f>transport!M54</f>
        <v>27.70177103785544</v>
      </c>
      <c r="O19" s="686">
        <f>transport!N54</f>
        <v>0</v>
      </c>
      <c r="P19" s="686">
        <f>transport!O54</f>
        <v>0</v>
      </c>
      <c r="Q19" s="687">
        <f>transport!P54</f>
        <v>0</v>
      </c>
      <c r="R19" s="689">
        <f>SUM(C19:Q19)</f>
        <v>650.06205331281092</v>
      </c>
      <c r="S19" s="67"/>
    </row>
    <row r="20" spans="1:19" s="454" customFormat="1">
      <c r="A20" s="801" t="s">
        <v>306</v>
      </c>
      <c r="B20" s="806"/>
      <c r="C20" s="686">
        <f>transport!B14</f>
        <v>2.7510367627207502</v>
      </c>
      <c r="D20" s="686">
        <f>transport!C14</f>
        <v>0</v>
      </c>
      <c r="E20" s="686">
        <f>transport!D14</f>
        <v>5.035063459259792</v>
      </c>
      <c r="F20" s="686">
        <f>transport!E14</f>
        <v>175.78949980472694</v>
      </c>
      <c r="G20" s="686">
        <f>transport!F14</f>
        <v>0</v>
      </c>
      <c r="H20" s="686">
        <f>transport!G14</f>
        <v>50568.305422380967</v>
      </c>
      <c r="I20" s="686">
        <f>transport!H14</f>
        <v>9104.1755006695676</v>
      </c>
      <c r="J20" s="686">
        <f>transport!I14</f>
        <v>0</v>
      </c>
      <c r="K20" s="686">
        <f>transport!J14</f>
        <v>0</v>
      </c>
      <c r="L20" s="686">
        <f>transport!K14</f>
        <v>0</v>
      </c>
      <c r="M20" s="686">
        <f>transport!L14</f>
        <v>0</v>
      </c>
      <c r="N20" s="686">
        <f>transport!M14</f>
        <v>2698.2220538818869</v>
      </c>
      <c r="O20" s="686">
        <f>transport!N14</f>
        <v>0</v>
      </c>
      <c r="P20" s="686">
        <f>transport!O14</f>
        <v>0</v>
      </c>
      <c r="Q20" s="687">
        <f>transport!P14</f>
        <v>0</v>
      </c>
      <c r="R20" s="689">
        <f>SUM(C20:Q20)</f>
        <v>62554.278576959128</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2.7510367627207502</v>
      </c>
      <c r="D22" s="804">
        <f t="shared" ref="D22:R22" si="1">SUM(D18:D21)</f>
        <v>0</v>
      </c>
      <c r="E22" s="804">
        <f t="shared" si="1"/>
        <v>5.035063459259792</v>
      </c>
      <c r="F22" s="804">
        <f t="shared" si="1"/>
        <v>175.78949980472694</v>
      </c>
      <c r="G22" s="804">
        <f t="shared" si="1"/>
        <v>0</v>
      </c>
      <c r="H22" s="804">
        <f t="shared" si="1"/>
        <v>51190.665704655919</v>
      </c>
      <c r="I22" s="804">
        <f t="shared" si="1"/>
        <v>9104.1755006695676</v>
      </c>
      <c r="J22" s="804">
        <f t="shared" si="1"/>
        <v>0</v>
      </c>
      <c r="K22" s="804">
        <f t="shared" si="1"/>
        <v>0</v>
      </c>
      <c r="L22" s="804">
        <f t="shared" si="1"/>
        <v>0</v>
      </c>
      <c r="M22" s="804">
        <f t="shared" si="1"/>
        <v>0</v>
      </c>
      <c r="N22" s="804">
        <f t="shared" si="1"/>
        <v>2725.9238249197424</v>
      </c>
      <c r="O22" s="804">
        <f t="shared" si="1"/>
        <v>0</v>
      </c>
      <c r="P22" s="804">
        <f t="shared" si="1"/>
        <v>0</v>
      </c>
      <c r="Q22" s="804">
        <f t="shared" si="1"/>
        <v>0</v>
      </c>
      <c r="R22" s="804">
        <f t="shared" si="1"/>
        <v>63204.340630271938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1116.5253724922479</v>
      </c>
      <c r="D24" s="686">
        <f>+landbouw!C8</f>
        <v>5133.375</v>
      </c>
      <c r="E24" s="686">
        <f>+landbouw!D8</f>
        <v>39.133348792524345</v>
      </c>
      <c r="F24" s="686">
        <f>+landbouw!E8</f>
        <v>14.069658070533762</v>
      </c>
      <c r="G24" s="686">
        <f>+landbouw!F8</f>
        <v>1000.4172414172026</v>
      </c>
      <c r="H24" s="686">
        <f>+landbouw!G8</f>
        <v>0</v>
      </c>
      <c r="I24" s="686">
        <f>+landbouw!H8</f>
        <v>0</v>
      </c>
      <c r="J24" s="686">
        <f>+landbouw!I8</f>
        <v>0</v>
      </c>
      <c r="K24" s="686">
        <f>+landbouw!J8</f>
        <v>167.91272381034949</v>
      </c>
      <c r="L24" s="686">
        <f>+landbouw!K8</f>
        <v>0</v>
      </c>
      <c r="M24" s="686">
        <f>+landbouw!L8</f>
        <v>0</v>
      </c>
      <c r="N24" s="686">
        <f>+landbouw!M8</f>
        <v>0</v>
      </c>
      <c r="O24" s="686">
        <f>+landbouw!N8</f>
        <v>0</v>
      </c>
      <c r="P24" s="686">
        <f>+landbouw!O8</f>
        <v>0</v>
      </c>
      <c r="Q24" s="687">
        <f>+landbouw!P8</f>
        <v>0</v>
      </c>
      <c r="R24" s="689">
        <f>SUM(C24:Q24)</f>
        <v>7471.433344582857</v>
      </c>
      <c r="S24" s="67"/>
    </row>
    <row r="25" spans="1:19" s="454" customFormat="1" ht="15" thickBot="1">
      <c r="A25" s="823" t="s">
        <v>856</v>
      </c>
      <c r="B25" s="991"/>
      <c r="C25" s="992">
        <f>IF(Onbekend_ele_kWh="---",0,Onbekend_ele_kWh)/1000+IF(REST_rest_ele_kWh="---",0,REST_rest_ele_kWh)/1000</f>
        <v>646.48276228942802</v>
      </c>
      <c r="D25" s="992"/>
      <c r="E25" s="992">
        <f>IF(onbekend_gas_kWh="---",0,onbekend_gas_kWh)/1000+IF(REST_rest_gas_kWh="---",0,REST_rest_gas_kWh)/1000</f>
        <v>948.21257508318797</v>
      </c>
      <c r="F25" s="992"/>
      <c r="G25" s="992"/>
      <c r="H25" s="992"/>
      <c r="I25" s="992"/>
      <c r="J25" s="992"/>
      <c r="K25" s="992"/>
      <c r="L25" s="992"/>
      <c r="M25" s="992"/>
      <c r="N25" s="992"/>
      <c r="O25" s="992"/>
      <c r="P25" s="992"/>
      <c r="Q25" s="993"/>
      <c r="R25" s="689">
        <f>SUM(C25:Q25)</f>
        <v>1594.695337372616</v>
      </c>
      <c r="S25" s="67"/>
    </row>
    <row r="26" spans="1:19" s="454" customFormat="1" ht="15.75" thickBot="1">
      <c r="A26" s="694" t="s">
        <v>857</v>
      </c>
      <c r="B26" s="809"/>
      <c r="C26" s="804">
        <f>SUM(C24:C25)</f>
        <v>1763.0081347816758</v>
      </c>
      <c r="D26" s="804">
        <f t="shared" ref="D26:R26" si="2">SUM(D24:D25)</f>
        <v>5133.375</v>
      </c>
      <c r="E26" s="804">
        <f t="shared" si="2"/>
        <v>987.34592387571229</v>
      </c>
      <c r="F26" s="804">
        <f t="shared" si="2"/>
        <v>14.069658070533762</v>
      </c>
      <c r="G26" s="804">
        <f t="shared" si="2"/>
        <v>1000.4172414172026</v>
      </c>
      <c r="H26" s="804">
        <f t="shared" si="2"/>
        <v>0</v>
      </c>
      <c r="I26" s="804">
        <f t="shared" si="2"/>
        <v>0</v>
      </c>
      <c r="J26" s="804">
        <f t="shared" si="2"/>
        <v>0</v>
      </c>
      <c r="K26" s="804">
        <f t="shared" si="2"/>
        <v>167.91272381034949</v>
      </c>
      <c r="L26" s="804">
        <f t="shared" si="2"/>
        <v>0</v>
      </c>
      <c r="M26" s="804">
        <f t="shared" si="2"/>
        <v>0</v>
      </c>
      <c r="N26" s="804">
        <f t="shared" si="2"/>
        <v>0</v>
      </c>
      <c r="O26" s="804">
        <f t="shared" si="2"/>
        <v>0</v>
      </c>
      <c r="P26" s="804">
        <f t="shared" si="2"/>
        <v>0</v>
      </c>
      <c r="Q26" s="804">
        <f t="shared" si="2"/>
        <v>0</v>
      </c>
      <c r="R26" s="804">
        <f t="shared" si="2"/>
        <v>9066.1286819554734</v>
      </c>
      <c r="S26" s="67"/>
    </row>
    <row r="27" spans="1:19" s="454" customFormat="1" ht="17.25" thickTop="1" thickBot="1">
      <c r="A27" s="695" t="s">
        <v>115</v>
      </c>
      <c r="B27" s="796"/>
      <c r="C27" s="696">
        <f ca="1">C22+C16+C26</f>
        <v>45891.08722119646</v>
      </c>
      <c r="D27" s="696">
        <f t="shared" ref="D27:R27" ca="1" si="3">D22+D16+D26</f>
        <v>5133.375</v>
      </c>
      <c r="E27" s="696">
        <f t="shared" ca="1" si="3"/>
        <v>64633.293568498222</v>
      </c>
      <c r="F27" s="696">
        <f t="shared" si="3"/>
        <v>2938.4000566074064</v>
      </c>
      <c r="G27" s="696">
        <f t="shared" ca="1" si="3"/>
        <v>22636.593873625621</v>
      </c>
      <c r="H27" s="696">
        <f t="shared" si="3"/>
        <v>51190.665704655919</v>
      </c>
      <c r="I27" s="696">
        <f t="shared" si="3"/>
        <v>9104.1755006695676</v>
      </c>
      <c r="J27" s="696">
        <f t="shared" si="3"/>
        <v>0</v>
      </c>
      <c r="K27" s="696">
        <f t="shared" si="3"/>
        <v>178.89250674494207</v>
      </c>
      <c r="L27" s="696">
        <f t="shared" si="3"/>
        <v>0</v>
      </c>
      <c r="M27" s="696">
        <f t="shared" ca="1" si="3"/>
        <v>0</v>
      </c>
      <c r="N27" s="696">
        <f t="shared" si="3"/>
        <v>2725.9238249197424</v>
      </c>
      <c r="O27" s="696">
        <f t="shared" ca="1" si="3"/>
        <v>12037.803184393397</v>
      </c>
      <c r="P27" s="696">
        <f t="shared" si="3"/>
        <v>136.01</v>
      </c>
      <c r="Q27" s="696">
        <f t="shared" si="3"/>
        <v>743.6</v>
      </c>
      <c r="R27" s="696">
        <f t="shared" ca="1" si="3"/>
        <v>217349.82044131131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1841.5764359894947</v>
      </c>
      <c r="D40" s="686">
        <f ca="1">tertiair!C20</f>
        <v>0</v>
      </c>
      <c r="E40" s="686">
        <f ca="1">tertiair!D20</f>
        <v>2090.4136236168747</v>
      </c>
      <c r="F40" s="686">
        <f>tertiair!E20</f>
        <v>27.991367311585496</v>
      </c>
      <c r="G40" s="686">
        <f ca="1">tertiair!F20</f>
        <v>455.49490198849543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4415.4763289064504</v>
      </c>
    </row>
    <row r="41" spans="1:18">
      <c r="A41" s="814" t="s">
        <v>224</v>
      </c>
      <c r="B41" s="821"/>
      <c r="C41" s="686">
        <f ca="1">huishoudens!B12</f>
        <v>5369.3266987957822</v>
      </c>
      <c r="D41" s="686">
        <f ca="1">huishoudens!C12</f>
        <v>0</v>
      </c>
      <c r="E41" s="686">
        <f>huishoudens!D12</f>
        <v>9659.3362849157165</v>
      </c>
      <c r="F41" s="686">
        <f>huishoudens!E12</f>
        <v>431.89819079956357</v>
      </c>
      <c r="G41" s="686">
        <f>huishoudens!F12</f>
        <v>4637.3841745238051</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20097.945349034868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1200.4122532658216</v>
      </c>
      <c r="D43" s="686">
        <f ca="1">industrie!C22</f>
        <v>0</v>
      </c>
      <c r="E43" s="686">
        <f>industrie!D22</f>
        <v>1105.7144328623851</v>
      </c>
      <c r="F43" s="686">
        <f>industrie!E22</f>
        <v>164.02922590104799</v>
      </c>
      <c r="G43" s="686">
        <f>industrie!F22</f>
        <v>683.98008428734784</v>
      </c>
      <c r="H43" s="686">
        <f>industrie!G22</f>
        <v>0</v>
      </c>
      <c r="I43" s="686">
        <f>industrie!H22</f>
        <v>0</v>
      </c>
      <c r="J43" s="686">
        <f>industrie!I22</f>
        <v>0</v>
      </c>
      <c r="K43" s="686">
        <f>industrie!J22</f>
        <v>3.8868431588457737</v>
      </c>
      <c r="L43" s="686">
        <f>industrie!K22</f>
        <v>0</v>
      </c>
      <c r="M43" s="686">
        <f>industrie!L22</f>
        <v>0</v>
      </c>
      <c r="N43" s="686">
        <f>industrie!M22</f>
        <v>0</v>
      </c>
      <c r="O43" s="686">
        <f>industrie!N22</f>
        <v>0</v>
      </c>
      <c r="P43" s="686">
        <f>industrie!O22</f>
        <v>0</v>
      </c>
      <c r="Q43" s="763">
        <f>industrie!P22</f>
        <v>0</v>
      </c>
      <c r="R43" s="841">
        <f t="shared" ca="1" si="4"/>
        <v>3158.0228394754481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8411.3153880510981</v>
      </c>
      <c r="D46" s="721">
        <f t="shared" ref="D46:Q46" ca="1" si="5">SUM(D39:D45)</f>
        <v>0</v>
      </c>
      <c r="E46" s="721">
        <f t="shared" ca="1" si="5"/>
        <v>12855.464341394976</v>
      </c>
      <c r="F46" s="721">
        <f t="shared" si="5"/>
        <v>623.91878401219708</v>
      </c>
      <c r="G46" s="721">
        <f t="shared" ca="1" si="5"/>
        <v>5776.8591607996477</v>
      </c>
      <c r="H46" s="721">
        <f t="shared" si="5"/>
        <v>0</v>
      </c>
      <c r="I46" s="721">
        <f t="shared" si="5"/>
        <v>0</v>
      </c>
      <c r="J46" s="721">
        <f t="shared" si="5"/>
        <v>0</v>
      </c>
      <c r="K46" s="721">
        <f t="shared" si="5"/>
        <v>3.8868431588457737</v>
      </c>
      <c r="L46" s="721">
        <f t="shared" si="5"/>
        <v>0</v>
      </c>
      <c r="M46" s="721">
        <f t="shared" ca="1" si="5"/>
        <v>0</v>
      </c>
      <c r="N46" s="721">
        <f t="shared" si="5"/>
        <v>0</v>
      </c>
      <c r="O46" s="721">
        <f t="shared" ca="1" si="5"/>
        <v>0</v>
      </c>
      <c r="P46" s="721">
        <f t="shared" si="5"/>
        <v>0</v>
      </c>
      <c r="Q46" s="721">
        <f t="shared" si="5"/>
        <v>0</v>
      </c>
      <c r="R46" s="721">
        <f ca="1">SUM(R39:R45)</f>
        <v>27671.444517416767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166.17019536741313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166.17019536741313</v>
      </c>
    </row>
    <row r="50" spans="1:18">
      <c r="A50" s="817" t="s">
        <v>306</v>
      </c>
      <c r="B50" s="827"/>
      <c r="C50" s="692">
        <f ca="1">transport!B18</f>
        <v>0.52441169002367982</v>
      </c>
      <c r="D50" s="692">
        <f>transport!C18</f>
        <v>0</v>
      </c>
      <c r="E50" s="692">
        <f>transport!D18</f>
        <v>1.0170828187704781</v>
      </c>
      <c r="F50" s="692">
        <f>transport!E18</f>
        <v>39.904216455673016</v>
      </c>
      <c r="G50" s="692">
        <f>transport!F18</f>
        <v>0</v>
      </c>
      <c r="H50" s="692">
        <f>transport!G18</f>
        <v>13501.73754777572</v>
      </c>
      <c r="I50" s="692">
        <f>transport!H18</f>
        <v>2266.9396996667224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15810.122958406908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0.52441169002367982</v>
      </c>
      <c r="D52" s="721">
        <f t="shared" ref="D52:Q52" ca="1" si="6">SUM(D48:D51)</f>
        <v>0</v>
      </c>
      <c r="E52" s="721">
        <f t="shared" si="6"/>
        <v>1.0170828187704781</v>
      </c>
      <c r="F52" s="721">
        <f t="shared" si="6"/>
        <v>39.904216455673016</v>
      </c>
      <c r="G52" s="721">
        <f t="shared" si="6"/>
        <v>0</v>
      </c>
      <c r="H52" s="721">
        <f t="shared" si="6"/>
        <v>13667.907743143132</v>
      </c>
      <c r="I52" s="721">
        <f t="shared" si="6"/>
        <v>2266.9396996667224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15976.293153774321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212.83574450088608</v>
      </c>
      <c r="D54" s="692">
        <f ca="1">+landbouw!C12</f>
        <v>403.12091911764708</v>
      </c>
      <c r="E54" s="692">
        <f>+landbouw!D12</f>
        <v>7.904936456089918</v>
      </c>
      <c r="F54" s="692">
        <f>+landbouw!E12</f>
        <v>3.1938123820111644</v>
      </c>
      <c r="G54" s="692">
        <f>+landbouw!F12</f>
        <v>267.11140345839311</v>
      </c>
      <c r="H54" s="692">
        <f>+landbouw!G12</f>
        <v>0</v>
      </c>
      <c r="I54" s="692">
        <f>+landbouw!H12</f>
        <v>0</v>
      </c>
      <c r="J54" s="692">
        <f>+landbouw!I12</f>
        <v>0</v>
      </c>
      <c r="K54" s="692">
        <f>+landbouw!J12</f>
        <v>59.441104228863715</v>
      </c>
      <c r="L54" s="692">
        <f>+landbouw!K12</f>
        <v>0</v>
      </c>
      <c r="M54" s="692">
        <f>+landbouw!L12</f>
        <v>0</v>
      </c>
      <c r="N54" s="692">
        <f>+landbouw!M12</f>
        <v>0</v>
      </c>
      <c r="O54" s="692">
        <f>+landbouw!N12</f>
        <v>0</v>
      </c>
      <c r="P54" s="692">
        <f>+landbouw!O12</f>
        <v>0</v>
      </c>
      <c r="Q54" s="693">
        <f>+landbouw!P12</f>
        <v>0</v>
      </c>
      <c r="R54" s="720">
        <f ca="1">SUM(C54:Q54)</f>
        <v>953.60792014389119</v>
      </c>
    </row>
    <row r="55" spans="1:18" ht="15" thickBot="1">
      <c r="A55" s="817" t="s">
        <v>856</v>
      </c>
      <c r="B55" s="827"/>
      <c r="C55" s="692">
        <f ca="1">C25*'EF ele_warmte'!B12</f>
        <v>123.23467375553535</v>
      </c>
      <c r="D55" s="692"/>
      <c r="E55" s="692">
        <f>E25*EF_CO2_aardgas</f>
        <v>191.538940166804</v>
      </c>
      <c r="F55" s="692"/>
      <c r="G55" s="692"/>
      <c r="H55" s="692"/>
      <c r="I55" s="692"/>
      <c r="J55" s="692"/>
      <c r="K55" s="692"/>
      <c r="L55" s="692"/>
      <c r="M55" s="692"/>
      <c r="N55" s="692"/>
      <c r="O55" s="692"/>
      <c r="P55" s="692"/>
      <c r="Q55" s="693"/>
      <c r="R55" s="720">
        <f ca="1">SUM(C55:Q55)</f>
        <v>314.77361392233934</v>
      </c>
    </row>
    <row r="56" spans="1:18" ht="15.75" thickBot="1">
      <c r="A56" s="815" t="s">
        <v>857</v>
      </c>
      <c r="B56" s="828"/>
      <c r="C56" s="721">
        <f ca="1">SUM(C54:C55)</f>
        <v>336.07041825642142</v>
      </c>
      <c r="D56" s="721">
        <f t="shared" ref="D56:Q56" ca="1" si="7">SUM(D54:D55)</f>
        <v>403.12091911764708</v>
      </c>
      <c r="E56" s="721">
        <f t="shared" si="7"/>
        <v>199.44387662289392</v>
      </c>
      <c r="F56" s="721">
        <f t="shared" si="7"/>
        <v>3.1938123820111644</v>
      </c>
      <c r="G56" s="721">
        <f t="shared" si="7"/>
        <v>267.11140345839311</v>
      </c>
      <c r="H56" s="721">
        <f t="shared" si="7"/>
        <v>0</v>
      </c>
      <c r="I56" s="721">
        <f t="shared" si="7"/>
        <v>0</v>
      </c>
      <c r="J56" s="721">
        <f t="shared" si="7"/>
        <v>0</v>
      </c>
      <c r="K56" s="721">
        <f t="shared" si="7"/>
        <v>59.441104228863715</v>
      </c>
      <c r="L56" s="721">
        <f t="shared" si="7"/>
        <v>0</v>
      </c>
      <c r="M56" s="721">
        <f t="shared" si="7"/>
        <v>0</v>
      </c>
      <c r="N56" s="721">
        <f t="shared" si="7"/>
        <v>0</v>
      </c>
      <c r="O56" s="721">
        <f t="shared" si="7"/>
        <v>0</v>
      </c>
      <c r="P56" s="721">
        <f t="shared" si="7"/>
        <v>0</v>
      </c>
      <c r="Q56" s="722">
        <f t="shared" si="7"/>
        <v>0</v>
      </c>
      <c r="R56" s="723">
        <f ca="1">SUM(R54:R55)</f>
        <v>1268.3815340662304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8747.9102179975434</v>
      </c>
      <c r="D61" s="729">
        <f t="shared" ref="D61:Q61" ca="1" si="8">D46+D52+D56</f>
        <v>403.12091911764708</v>
      </c>
      <c r="E61" s="729">
        <f t="shared" ca="1" si="8"/>
        <v>13055.925300836641</v>
      </c>
      <c r="F61" s="729">
        <f t="shared" si="8"/>
        <v>667.01681284988126</v>
      </c>
      <c r="G61" s="729">
        <f t="shared" ca="1" si="8"/>
        <v>6043.9705642580411</v>
      </c>
      <c r="H61" s="729">
        <f t="shared" si="8"/>
        <v>13667.907743143132</v>
      </c>
      <c r="I61" s="729">
        <f t="shared" si="8"/>
        <v>2266.9396996667224</v>
      </c>
      <c r="J61" s="729">
        <f t="shared" si="8"/>
        <v>0</v>
      </c>
      <c r="K61" s="729">
        <f t="shared" si="8"/>
        <v>63.327947387709486</v>
      </c>
      <c r="L61" s="729">
        <f t="shared" si="8"/>
        <v>0</v>
      </c>
      <c r="M61" s="729">
        <f t="shared" ca="1" si="8"/>
        <v>0</v>
      </c>
      <c r="N61" s="729">
        <f t="shared" si="8"/>
        <v>0</v>
      </c>
      <c r="O61" s="729">
        <f t="shared" ca="1" si="8"/>
        <v>0</v>
      </c>
      <c r="P61" s="729">
        <f t="shared" si="8"/>
        <v>0</v>
      </c>
      <c r="Q61" s="729">
        <f t="shared" si="8"/>
        <v>0</v>
      </c>
      <c r="R61" s="729">
        <f ca="1">R46+R52+R56</f>
        <v>44916.119205257324</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0.19062329414494683</v>
      </c>
      <c r="D63" s="772">
        <f t="shared" ca="1" si="9"/>
        <v>7.8529411764705889E-2</v>
      </c>
      <c r="E63" s="998">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3366.1844514444792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3422.25</v>
      </c>
      <c r="C76" s="739">
        <f>'lokale energieproductie'!B8*IFERROR(SUM(D76:H76)/SUM(D76:O76),0)</f>
        <v>1140.75</v>
      </c>
      <c r="D76" s="1008">
        <f>'lokale energieproductie'!C8</f>
        <v>0</v>
      </c>
      <c r="E76" s="1009">
        <f>'lokale energieproductie'!D8</f>
        <v>0</v>
      </c>
      <c r="F76" s="1009">
        <f>'lokale energieproductie'!E8</f>
        <v>1342.0588235294117</v>
      </c>
      <c r="G76" s="1009">
        <f>'lokale energieproductie'!F8</f>
        <v>0</v>
      </c>
      <c r="H76" s="1009">
        <f>'lokale energieproductie'!G8</f>
        <v>0</v>
      </c>
      <c r="I76" s="1009">
        <f>'lokale energieproductie'!I8</f>
        <v>4026.1764705882351</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358.32970588235293</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6788.4344514444792</v>
      </c>
      <c r="C78" s="744">
        <f>SUM(C72:C77)</f>
        <v>1140.75</v>
      </c>
      <c r="D78" s="745">
        <f t="shared" ref="D78:H78" si="10">SUM(D76:D77)</f>
        <v>0</v>
      </c>
      <c r="E78" s="745">
        <f t="shared" si="10"/>
        <v>0</v>
      </c>
      <c r="F78" s="745">
        <f t="shared" si="10"/>
        <v>1342.0588235294117</v>
      </c>
      <c r="G78" s="745">
        <f t="shared" si="10"/>
        <v>0</v>
      </c>
      <c r="H78" s="745">
        <f t="shared" si="10"/>
        <v>0</v>
      </c>
      <c r="I78" s="745">
        <f>SUM(I76:I77)</f>
        <v>4026.1764705882351</v>
      </c>
      <c r="J78" s="745">
        <f>SUM(J76:J77)</f>
        <v>0</v>
      </c>
      <c r="K78" s="745">
        <f t="shared" ref="K78:L78" si="11">SUM(K76:K77)</f>
        <v>0</v>
      </c>
      <c r="L78" s="745">
        <f t="shared" si="11"/>
        <v>0</v>
      </c>
      <c r="M78" s="745">
        <f>SUM(M76:M77)</f>
        <v>0</v>
      </c>
      <c r="N78" s="745">
        <f>SUM(N76:N77)</f>
        <v>0</v>
      </c>
      <c r="O78" s="852">
        <f>SUM(O76:O77)</f>
        <v>0</v>
      </c>
      <c r="P78" s="746">
        <v>0</v>
      </c>
      <c r="Q78" s="746">
        <f>SUM(Q76:Q77)</f>
        <v>358.32970588235293</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3850.03125</v>
      </c>
      <c r="C87" s="755">
        <f>'lokale energieproductie'!B17*IFERROR(SUM(D87:H87)/SUM(D87:O87),0)</f>
        <v>1283.34375</v>
      </c>
      <c r="D87" s="766">
        <f>'lokale energieproductie'!C17</f>
        <v>0</v>
      </c>
      <c r="E87" s="766">
        <f>'lokale energieproductie'!D17</f>
        <v>0</v>
      </c>
      <c r="F87" s="766">
        <f>'lokale energieproductie'!E17</f>
        <v>1509.8161764705883</v>
      </c>
      <c r="G87" s="766">
        <f>'lokale energieproductie'!F17</f>
        <v>0</v>
      </c>
      <c r="H87" s="766">
        <f>'lokale energieproductie'!G17</f>
        <v>0</v>
      </c>
      <c r="I87" s="766">
        <f>'lokale energieproductie'!I17</f>
        <v>4529.4485294117649</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403.12091911764708</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3850.03125</v>
      </c>
      <c r="C90" s="744">
        <f>SUM(C87:C89)</f>
        <v>1283.34375</v>
      </c>
      <c r="D90" s="744">
        <f t="shared" ref="D90:H90" si="12">SUM(D87:D89)</f>
        <v>0</v>
      </c>
      <c r="E90" s="744">
        <f t="shared" si="12"/>
        <v>0</v>
      </c>
      <c r="F90" s="744">
        <f t="shared" si="12"/>
        <v>1509.8161764705883</v>
      </c>
      <c r="G90" s="744">
        <f t="shared" si="12"/>
        <v>0</v>
      </c>
      <c r="H90" s="744">
        <f t="shared" si="12"/>
        <v>0</v>
      </c>
      <c r="I90" s="744">
        <f>SUM(I87:I89)</f>
        <v>4529.4485294117649</v>
      </c>
      <c r="J90" s="744">
        <f>SUM(J87:J89)</f>
        <v>0</v>
      </c>
      <c r="K90" s="744">
        <f t="shared" ref="K90:L90" si="13">SUM(K87:K89)</f>
        <v>0</v>
      </c>
      <c r="L90" s="744">
        <f t="shared" si="13"/>
        <v>0</v>
      </c>
      <c r="M90" s="744">
        <f>SUM(M87:M89)</f>
        <v>0</v>
      </c>
      <c r="N90" s="744">
        <f>SUM(N87:N89)</f>
        <v>0</v>
      </c>
      <c r="O90" s="744">
        <f>SUM(O87:O89)</f>
        <v>0</v>
      </c>
      <c r="P90" s="744">
        <v>0</v>
      </c>
      <c r="Q90" s="744">
        <f>SUM(Q87:Q89)</f>
        <v>403.12091911764708</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67"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3366.1844514444792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N30</f>
        <v>4563</v>
      </c>
      <c r="C8" s="556">
        <f>B49</f>
        <v>0</v>
      </c>
      <c r="D8" s="1015"/>
      <c r="E8" s="1015">
        <f>E49</f>
        <v>1342.0588235294117</v>
      </c>
      <c r="F8" s="1016"/>
      <c r="G8" s="557"/>
      <c r="H8" s="1015">
        <f>I49</f>
        <v>0</v>
      </c>
      <c r="I8" s="1015">
        <f>G49+F49</f>
        <v>4026.1764705882351</v>
      </c>
      <c r="J8" s="1015">
        <f>H49+D49+C49</f>
        <v>0</v>
      </c>
      <c r="K8" s="1015"/>
      <c r="L8" s="1015"/>
      <c r="M8" s="1015"/>
      <c r="N8" s="558"/>
      <c r="O8" s="559">
        <f>C8*$C$12+D8*$D$12+E8*$E$12+F8*$F$12+G8*$G$12+H8*$H$12+I8*$I$12+J8*$J$12</f>
        <v>358.32970588235293</v>
      </c>
      <c r="P8" s="1254"/>
      <c r="Q8" s="1255"/>
      <c r="S8" s="1027"/>
      <c r="T8" s="1275"/>
      <c r="U8" s="1275"/>
    </row>
    <row r="9" spans="1:21" s="544" customFormat="1" ht="17.45" customHeight="1" thickBot="1">
      <c r="A9" s="560" t="s">
        <v>247</v>
      </c>
      <c r="B9" s="561">
        <f>N37+'Eigen informatie GS &amp; warmtenet'!B12</f>
        <v>0</v>
      </c>
      <c r="C9" s="562">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7929.1844514444792</v>
      </c>
      <c r="C10" s="569">
        <f t="shared" ref="C10:L10" si="0">SUM(C8:C9)</f>
        <v>0</v>
      </c>
      <c r="D10" s="569">
        <f t="shared" si="0"/>
        <v>0</v>
      </c>
      <c r="E10" s="569">
        <f t="shared" si="0"/>
        <v>1342.0588235294117</v>
      </c>
      <c r="F10" s="569">
        <f t="shared" si="0"/>
        <v>0</v>
      </c>
      <c r="G10" s="569">
        <f t="shared" si="0"/>
        <v>0</v>
      </c>
      <c r="H10" s="569">
        <f t="shared" si="0"/>
        <v>0</v>
      </c>
      <c r="I10" s="569">
        <f t="shared" si="0"/>
        <v>4026.1764705882351</v>
      </c>
      <c r="J10" s="569">
        <f t="shared" si="0"/>
        <v>0</v>
      </c>
      <c r="K10" s="569">
        <f t="shared" si="0"/>
        <v>0</v>
      </c>
      <c r="L10" s="569">
        <f t="shared" si="0"/>
        <v>0</v>
      </c>
      <c r="M10" s="1018"/>
      <c r="N10" s="1018"/>
      <c r="O10" s="570">
        <f>SUM(O4:O9)</f>
        <v>358.32970588235293</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O30</f>
        <v>5133.375</v>
      </c>
      <c r="C17" s="581">
        <f>B50</f>
        <v>0</v>
      </c>
      <c r="D17" s="582"/>
      <c r="E17" s="582">
        <f>E50</f>
        <v>1509.8161764705883</v>
      </c>
      <c r="F17" s="1021"/>
      <c r="G17" s="583"/>
      <c r="H17" s="581">
        <f>I50</f>
        <v>0</v>
      </c>
      <c r="I17" s="582">
        <f>G50+F50</f>
        <v>4529.4485294117649</v>
      </c>
      <c r="J17" s="582">
        <f>H50+D50+C50</f>
        <v>0</v>
      </c>
      <c r="K17" s="582"/>
      <c r="L17" s="582"/>
      <c r="M17" s="582"/>
      <c r="N17" s="1022"/>
      <c r="O17" s="584">
        <f>C17*$C$22+E17*$E$22+H17*$H$22+I17*$I$22+J17*$J$22+D17*$D$22+F17*$F$22+G17*$G$22+K17*$K$22+L17*$L$22</f>
        <v>403.12091911764708</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5133.375</v>
      </c>
      <c r="C20" s="568">
        <f>SUM(C17:C19)</f>
        <v>0</v>
      </c>
      <c r="D20" s="568">
        <f t="shared" ref="D20:L20" si="1">SUM(D17:D19)</f>
        <v>0</v>
      </c>
      <c r="E20" s="568">
        <f t="shared" si="1"/>
        <v>1509.8161764705883</v>
      </c>
      <c r="F20" s="568">
        <f t="shared" si="1"/>
        <v>0</v>
      </c>
      <c r="G20" s="568">
        <f t="shared" si="1"/>
        <v>0</v>
      </c>
      <c r="H20" s="568">
        <f t="shared" si="1"/>
        <v>0</v>
      </c>
      <c r="I20" s="568">
        <f t="shared" si="1"/>
        <v>4529.4485294117649</v>
      </c>
      <c r="J20" s="568">
        <f t="shared" si="1"/>
        <v>0</v>
      </c>
      <c r="K20" s="568">
        <f t="shared" si="1"/>
        <v>0</v>
      </c>
      <c r="L20" s="568">
        <f t="shared" si="1"/>
        <v>0</v>
      </c>
      <c r="M20" s="568"/>
      <c r="N20" s="568"/>
      <c r="O20" s="588">
        <f>SUM(O17:O19)</f>
        <v>403.12091911764708</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87">
        <v>23060</v>
      </c>
      <c r="C28" s="787">
        <v>1745</v>
      </c>
      <c r="D28" s="640" t="s">
        <v>920</v>
      </c>
      <c r="E28" s="639" t="s">
        <v>921</v>
      </c>
      <c r="F28" s="639" t="s">
        <v>922</v>
      </c>
      <c r="G28" s="639" t="s">
        <v>923</v>
      </c>
      <c r="H28" s="639" t="s">
        <v>924</v>
      </c>
      <c r="I28" s="639" t="s">
        <v>921</v>
      </c>
      <c r="J28" s="786">
        <v>39066</v>
      </c>
      <c r="K28" s="786">
        <v>39063</v>
      </c>
      <c r="L28" s="639" t="s">
        <v>925</v>
      </c>
      <c r="M28" s="639">
        <v>720</v>
      </c>
      <c r="N28" s="639">
        <v>3240</v>
      </c>
      <c r="O28" s="639">
        <v>3645</v>
      </c>
      <c r="P28" s="639">
        <v>0</v>
      </c>
      <c r="Q28" s="639">
        <v>0</v>
      </c>
      <c r="R28" s="639">
        <v>0</v>
      </c>
      <c r="S28" s="639">
        <v>2025</v>
      </c>
      <c r="T28" s="639">
        <v>6075</v>
      </c>
      <c r="U28" s="639">
        <v>0</v>
      </c>
      <c r="V28" s="639">
        <v>0</v>
      </c>
      <c r="W28" s="639">
        <v>0</v>
      </c>
      <c r="X28" s="639">
        <v>10</v>
      </c>
      <c r="Y28" s="639" t="s">
        <v>111</v>
      </c>
      <c r="Z28" s="641" t="s">
        <v>111</v>
      </c>
    </row>
    <row r="29" spans="1:26" s="593" customFormat="1" ht="38.25">
      <c r="A29" s="592"/>
      <c r="B29" s="787">
        <v>23060</v>
      </c>
      <c r="C29" s="787">
        <v>1745</v>
      </c>
      <c r="D29" s="640" t="s">
        <v>926</v>
      </c>
      <c r="E29" s="639" t="s">
        <v>927</v>
      </c>
      <c r="F29" s="639" t="s">
        <v>928</v>
      </c>
      <c r="G29" s="639" t="s">
        <v>923</v>
      </c>
      <c r="H29" s="639" t="s">
        <v>924</v>
      </c>
      <c r="I29" s="639" t="s">
        <v>927</v>
      </c>
      <c r="J29" s="786">
        <v>40444</v>
      </c>
      <c r="K29" s="786">
        <v>40444</v>
      </c>
      <c r="L29" s="639" t="s">
        <v>925</v>
      </c>
      <c r="M29" s="639">
        <v>294</v>
      </c>
      <c r="N29" s="639">
        <v>1323</v>
      </c>
      <c r="O29" s="639">
        <v>1488.375</v>
      </c>
      <c r="P29" s="639">
        <v>0</v>
      </c>
      <c r="Q29" s="639">
        <v>0</v>
      </c>
      <c r="R29" s="639">
        <v>0</v>
      </c>
      <c r="S29" s="639">
        <v>826.875</v>
      </c>
      <c r="T29" s="639">
        <v>2480.625</v>
      </c>
      <c r="U29" s="639">
        <v>0</v>
      </c>
      <c r="V29" s="639">
        <v>0</v>
      </c>
      <c r="W29" s="639">
        <v>0</v>
      </c>
      <c r="X29" s="639">
        <v>10</v>
      </c>
      <c r="Y29" s="639" t="s">
        <v>111</v>
      </c>
      <c r="Z29" s="641" t="s">
        <v>111</v>
      </c>
    </row>
    <row r="30" spans="1:26" s="576" customFormat="1">
      <c r="A30" s="595" t="s">
        <v>279</v>
      </c>
      <c r="B30" s="596"/>
      <c r="C30" s="596"/>
      <c r="D30" s="596"/>
      <c r="E30" s="596"/>
      <c r="F30" s="596"/>
      <c r="G30" s="596"/>
      <c r="H30" s="596"/>
      <c r="I30" s="596"/>
      <c r="J30" s="596"/>
      <c r="K30" s="596"/>
      <c r="L30" s="597"/>
      <c r="M30" s="597">
        <f>SUM(M28:M29)</f>
        <v>1014</v>
      </c>
      <c r="N30" s="597">
        <f>SUM(N28:N29)</f>
        <v>4563</v>
      </c>
      <c r="O30" s="597">
        <f>SUM(O28:O29)</f>
        <v>5133.375</v>
      </c>
      <c r="P30" s="597">
        <f>SUM(P28:P29)</f>
        <v>0</v>
      </c>
      <c r="Q30" s="597">
        <f>SUM(Q28:Q29)</f>
        <v>0</v>
      </c>
      <c r="R30" s="597">
        <f>SUM(R28:R29)</f>
        <v>0</v>
      </c>
      <c r="S30" s="597">
        <f>SUM(S28:S29)</f>
        <v>2851.875</v>
      </c>
      <c r="T30" s="597">
        <f>SUM(T28:T29)</f>
        <v>8555.625</v>
      </c>
      <c r="U30" s="597">
        <f>SUM(U28:U29)</f>
        <v>0</v>
      </c>
      <c r="V30" s="597">
        <f>SUM(V28:V29)</f>
        <v>0</v>
      </c>
      <c r="W30" s="597">
        <f>SUM(W28:W29)</f>
        <v>0</v>
      </c>
      <c r="X30" s="598"/>
      <c r="Y30" s="598"/>
      <c r="Z30" s="599"/>
    </row>
    <row r="31" spans="1:26" s="576"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6" customFormat="1">
      <c r="A32" s="595" t="s">
        <v>287</v>
      </c>
      <c r="B32" s="596"/>
      <c r="C32" s="596"/>
      <c r="D32" s="596"/>
      <c r="E32" s="596"/>
      <c r="F32" s="596"/>
      <c r="G32" s="596"/>
      <c r="H32" s="596"/>
      <c r="I32" s="596"/>
      <c r="J32" s="596"/>
      <c r="K32" s="596"/>
      <c r="L32" s="597"/>
      <c r="M32" s="597">
        <f ca="1">SUMIF($Z$28:AC29,"tertiair",M28:M29)</f>
        <v>0</v>
      </c>
      <c r="N32" s="597">
        <f ca="1">SUMIF($Z$28:AD29,"tertiair",N28:N29)</f>
        <v>0</v>
      </c>
      <c r="O32" s="597">
        <f ca="1">SUMIF($Z$28:AE29,"tertiair",O28:O29)</f>
        <v>0</v>
      </c>
      <c r="P32" s="597">
        <f ca="1">SUMIF($Z$28:AF29,"tertiair",P28:P29)</f>
        <v>0</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6" customFormat="1" ht="15.75" thickBot="1">
      <c r="A33" s="600" t="s">
        <v>288</v>
      </c>
      <c r="B33" s="601"/>
      <c r="C33" s="601"/>
      <c r="D33" s="601"/>
      <c r="E33" s="601"/>
      <c r="F33" s="601"/>
      <c r="G33" s="601"/>
      <c r="H33" s="601"/>
      <c r="I33" s="601"/>
      <c r="J33" s="601"/>
      <c r="K33" s="601"/>
      <c r="L33" s="602"/>
      <c r="M33" s="602">
        <f>SUMIF($Z$28:$Z$29,"landbouw",M28:M29)</f>
        <v>1014</v>
      </c>
      <c r="N33" s="602">
        <f>SUMIF($Z$28:$Z$29,"landbouw",N28:N29)</f>
        <v>4563</v>
      </c>
      <c r="O33" s="602">
        <f>SUMIF($Z$28:$Z$29,"landbouw",O28:O29)</f>
        <v>5133.375</v>
      </c>
      <c r="P33" s="602">
        <f>SUMIF($Z$28:$Z$29,"landbouw",P28:P29)</f>
        <v>0</v>
      </c>
      <c r="Q33" s="602">
        <f>SUMIF($Z$28:$Z$29,"landbouw",Q28:Q29)</f>
        <v>0</v>
      </c>
      <c r="R33" s="602">
        <f>SUMIF($Z$28:$Z$29,"landbouw",R28:R29)</f>
        <v>0</v>
      </c>
      <c r="S33" s="602">
        <f>SUMIF($Z$28:$Z$29,"landbouw",S28:S29)</f>
        <v>2851.875</v>
      </c>
      <c r="T33" s="602">
        <f>SUMIF($Z$28:$Z$29,"landbouw",T28:T29)</f>
        <v>8555.625</v>
      </c>
      <c r="U33" s="602">
        <f>SUMIF($Z$28:$Z$29,"landbouw",U28:U29)</f>
        <v>0</v>
      </c>
      <c r="V33" s="602">
        <f>SUMIF($Z$28:$Z$29,"landbouw",V28:V29)</f>
        <v>0</v>
      </c>
      <c r="W33" s="602">
        <f>SUMIF($Z$28:$Z$29,"landbouw",W28:W29)</f>
        <v>0</v>
      </c>
      <c r="X33" s="603"/>
      <c r="Y33" s="603"/>
      <c r="Z33" s="604"/>
    </row>
    <row r="34" spans="1:27" s="544" customFormat="1" ht="15.75" thickBot="1">
      <c r="A34" s="605"/>
      <c r="B34" s="606"/>
      <c r="C34" s="606"/>
      <c r="D34" s="606"/>
      <c r="E34" s="606"/>
      <c r="F34" s="606"/>
      <c r="G34" s="606"/>
      <c r="H34" s="606"/>
      <c r="I34" s="606"/>
      <c r="J34" s="606"/>
      <c r="K34" s="606"/>
      <c r="L34" s="589"/>
      <c r="M34" s="589"/>
      <c r="N34" s="589"/>
      <c r="O34" s="590"/>
      <c r="P34" s="590"/>
    </row>
    <row r="35" spans="1:27" s="54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546</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87"/>
      <c r="C36" s="787"/>
      <c r="D36" s="642"/>
      <c r="E36" s="642"/>
      <c r="F36" s="642"/>
      <c r="G36" s="642"/>
      <c r="H36" s="642"/>
      <c r="I36" s="642"/>
      <c r="J36" s="786"/>
      <c r="K36" s="786"/>
      <c r="L36" s="642"/>
      <c r="M36" s="642"/>
      <c r="N36" s="642"/>
      <c r="O36" s="642"/>
      <c r="P36" s="642"/>
      <c r="Q36" s="642"/>
      <c r="R36" s="642"/>
      <c r="S36" s="642"/>
      <c r="T36" s="642"/>
      <c r="U36" s="642"/>
      <c r="V36" s="642"/>
      <c r="W36" s="642"/>
      <c r="X36" s="642"/>
      <c r="Y36" s="642"/>
      <c r="Z36" s="643"/>
    </row>
    <row r="37" spans="1:27" s="576"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6"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6"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6"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0.52941176470588236</v>
      </c>
      <c r="C46" s="622">
        <f>IF(ISERROR(N30/(O30+N30)),0,N30/(N30+O30))</f>
        <v>0.47058823529411764</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546</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0</v>
      </c>
      <c r="C49" s="631">
        <f t="shared" si="2"/>
        <v>0</v>
      </c>
      <c r="D49" s="631">
        <f t="shared" si="2"/>
        <v>0</v>
      </c>
      <c r="E49" s="631">
        <f t="shared" si="2"/>
        <v>1342.0588235294117</v>
      </c>
      <c r="F49" s="631">
        <f t="shared" si="2"/>
        <v>4026.1764705882351</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0</v>
      </c>
      <c r="C50" s="634">
        <f t="shared" si="3"/>
        <v>0</v>
      </c>
      <c r="D50" s="634">
        <f t="shared" si="3"/>
        <v>0</v>
      </c>
      <c r="E50" s="634">
        <f t="shared" si="3"/>
        <v>1509.8161764705883</v>
      </c>
      <c r="F50" s="634">
        <f t="shared" si="3"/>
        <v>4529.4485294117649</v>
      </c>
      <c r="G50" s="634">
        <f t="shared" si="3"/>
        <v>0</v>
      </c>
      <c r="H50" s="634">
        <f t="shared" si="3"/>
        <v>0</v>
      </c>
      <c r="I50" s="635">
        <f t="shared" si="3"/>
        <v>0</v>
      </c>
      <c r="J50" s="589"/>
      <c r="K50" s="589"/>
      <c r="L50" s="627"/>
      <c r="M50" s="627"/>
      <c r="N50" s="627"/>
      <c r="O50" s="614"/>
      <c r="P50" s="614"/>
    </row>
    <row r="51" spans="1:16">
      <c r="J51" s="574"/>
      <c r="K51" s="574"/>
      <c r="L51" s="574"/>
      <c r="M51" s="574"/>
      <c r="N51" s="574"/>
    </row>
    <row r="52" spans="1:16">
      <c r="J52" s="574"/>
      <c r="K52" s="574"/>
      <c r="L52" s="574"/>
      <c r="M52" s="574"/>
      <c r="N52"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28167.211792662838</v>
      </c>
      <c r="C4" s="458">
        <f>huishoudens!C8</f>
        <v>0</v>
      </c>
      <c r="D4" s="458">
        <f>huishoudens!D8</f>
        <v>47818.496459978793</v>
      </c>
      <c r="E4" s="458">
        <f>huishoudens!E8</f>
        <v>1902.6352017601919</v>
      </c>
      <c r="F4" s="458">
        <f>huishoudens!F8</f>
        <v>17368.480054396274</v>
      </c>
      <c r="G4" s="458">
        <f>huishoudens!G8</f>
        <v>0</v>
      </c>
      <c r="H4" s="458">
        <f>huishoudens!H8</f>
        <v>0</v>
      </c>
      <c r="I4" s="458">
        <f>huishoudens!I8</f>
        <v>0</v>
      </c>
      <c r="J4" s="458">
        <f>huishoudens!J8</f>
        <v>0</v>
      </c>
      <c r="K4" s="458">
        <f>huishoudens!K8</f>
        <v>0</v>
      </c>
      <c r="L4" s="458">
        <f>huishoudens!L8</f>
        <v>0</v>
      </c>
      <c r="M4" s="458">
        <f>huishoudens!M8</f>
        <v>0</v>
      </c>
      <c r="N4" s="458">
        <f>huishoudens!N8</f>
        <v>10990.136987940674</v>
      </c>
      <c r="O4" s="458">
        <f>huishoudens!O8</f>
        <v>134.44666666666666</v>
      </c>
      <c r="P4" s="459">
        <f>huishoudens!P8</f>
        <v>724.5333333333333</v>
      </c>
      <c r="Q4" s="460">
        <f>SUM(B4:P4)</f>
        <v>107105.94049673878</v>
      </c>
    </row>
    <row r="5" spans="1:17">
      <c r="A5" s="457" t="s">
        <v>155</v>
      </c>
      <c r="B5" s="458">
        <f ca="1">tertiair!B16</f>
        <v>8696.1942967348805</v>
      </c>
      <c r="C5" s="458">
        <f ca="1">tertiair!C16</f>
        <v>0</v>
      </c>
      <c r="D5" s="458">
        <f ca="1">tertiair!D16</f>
        <v>10348.582295133043</v>
      </c>
      <c r="E5" s="458">
        <f>tertiair!E16</f>
        <v>123.30998815676429</v>
      </c>
      <c r="F5" s="458">
        <f ca="1">tertiair!F16</f>
        <v>1705.9734156872487</v>
      </c>
      <c r="G5" s="458">
        <f>tertiair!G16</f>
        <v>0</v>
      </c>
      <c r="H5" s="458">
        <f>tertiair!H16</f>
        <v>0</v>
      </c>
      <c r="I5" s="458">
        <f>tertiair!I16</f>
        <v>0</v>
      </c>
      <c r="J5" s="458">
        <f>tertiair!J16</f>
        <v>0</v>
      </c>
      <c r="K5" s="458">
        <f>tertiair!K16</f>
        <v>0</v>
      </c>
      <c r="L5" s="458">
        <f ca="1">tertiair!L16</f>
        <v>0</v>
      </c>
      <c r="M5" s="458">
        <f>tertiair!M16</f>
        <v>0</v>
      </c>
      <c r="N5" s="458">
        <f ca="1">tertiair!N16</f>
        <v>625.38433915862106</v>
      </c>
      <c r="O5" s="458">
        <f>tertiair!O16</f>
        <v>1.5633333333333335</v>
      </c>
      <c r="P5" s="459">
        <f>tertiair!P16</f>
        <v>19.066666666666666</v>
      </c>
      <c r="Q5" s="457">
        <f t="shared" ref="Q5:Q14" ca="1" si="0">SUM(B5:P5)</f>
        <v>21520.074334870551</v>
      </c>
    </row>
    <row r="6" spans="1:17">
      <c r="A6" s="457" t="s">
        <v>193</v>
      </c>
      <c r="B6" s="458">
        <f>'openbare verlichting'!B8</f>
        <v>964.62099999999998</v>
      </c>
      <c r="C6" s="458"/>
      <c r="D6" s="458"/>
      <c r="E6" s="458"/>
      <c r="F6" s="458"/>
      <c r="G6" s="458"/>
      <c r="H6" s="458"/>
      <c r="I6" s="458"/>
      <c r="J6" s="458"/>
      <c r="K6" s="458"/>
      <c r="L6" s="458"/>
      <c r="M6" s="458"/>
      <c r="N6" s="458"/>
      <c r="O6" s="458"/>
      <c r="P6" s="459"/>
      <c r="Q6" s="457">
        <f t="shared" si="0"/>
        <v>964.62099999999998</v>
      </c>
    </row>
    <row r="7" spans="1:17">
      <c r="A7" s="457" t="s">
        <v>111</v>
      </c>
      <c r="B7" s="458">
        <f>landbouw!B8</f>
        <v>1116.5253724922479</v>
      </c>
      <c r="C7" s="458">
        <f>landbouw!C8</f>
        <v>5133.375</v>
      </c>
      <c r="D7" s="458">
        <f>landbouw!D8</f>
        <v>39.133348792524345</v>
      </c>
      <c r="E7" s="458">
        <f>landbouw!E8</f>
        <v>14.069658070533762</v>
      </c>
      <c r="F7" s="458">
        <f>landbouw!F8</f>
        <v>1000.4172414172026</v>
      </c>
      <c r="G7" s="458">
        <f>landbouw!G8</f>
        <v>0</v>
      </c>
      <c r="H7" s="458">
        <f>landbouw!H8</f>
        <v>0</v>
      </c>
      <c r="I7" s="458">
        <f>landbouw!I8</f>
        <v>0</v>
      </c>
      <c r="J7" s="458">
        <f>landbouw!J8</f>
        <v>167.91272381034949</v>
      </c>
      <c r="K7" s="458">
        <f>landbouw!K8</f>
        <v>0</v>
      </c>
      <c r="L7" s="458">
        <f>landbouw!L8</f>
        <v>0</v>
      </c>
      <c r="M7" s="458">
        <f>landbouw!M8</f>
        <v>0</v>
      </c>
      <c r="N7" s="458">
        <f>landbouw!N8</f>
        <v>0</v>
      </c>
      <c r="O7" s="458">
        <f>landbouw!O8</f>
        <v>0</v>
      </c>
      <c r="P7" s="459">
        <f>landbouw!P8</f>
        <v>0</v>
      </c>
      <c r="Q7" s="457">
        <f t="shared" si="0"/>
        <v>7471.433344582857</v>
      </c>
    </row>
    <row r="8" spans="1:17">
      <c r="A8" s="457" t="s">
        <v>655</v>
      </c>
      <c r="B8" s="458">
        <f>industrie!B18</f>
        <v>6297.3009602543534</v>
      </c>
      <c r="C8" s="458">
        <f>industrie!C18</f>
        <v>0</v>
      </c>
      <c r="D8" s="458">
        <f>industrie!D18</f>
        <v>5473.8338260514111</v>
      </c>
      <c r="E8" s="458">
        <f>industrie!E18</f>
        <v>722.59570881518937</v>
      </c>
      <c r="F8" s="458">
        <f>industrie!F18</f>
        <v>2561.723162124898</v>
      </c>
      <c r="G8" s="458">
        <f>industrie!G18</f>
        <v>0</v>
      </c>
      <c r="H8" s="458">
        <f>industrie!H18</f>
        <v>0</v>
      </c>
      <c r="I8" s="458">
        <f>industrie!I18</f>
        <v>0</v>
      </c>
      <c r="J8" s="458">
        <f>industrie!J18</f>
        <v>10.979782934592581</v>
      </c>
      <c r="K8" s="458">
        <f>industrie!K18</f>
        <v>0</v>
      </c>
      <c r="L8" s="458">
        <f>industrie!L18</f>
        <v>0</v>
      </c>
      <c r="M8" s="458">
        <f>industrie!M18</f>
        <v>0</v>
      </c>
      <c r="N8" s="458">
        <f>industrie!N18</f>
        <v>422.28185729410188</v>
      </c>
      <c r="O8" s="458">
        <f>industrie!O18</f>
        <v>0</v>
      </c>
      <c r="P8" s="459">
        <f>industrie!P18</f>
        <v>0</v>
      </c>
      <c r="Q8" s="457">
        <f t="shared" si="0"/>
        <v>15488.715297474546</v>
      </c>
    </row>
    <row r="9" spans="1:17" s="463" customFormat="1">
      <c r="A9" s="461" t="s">
        <v>573</v>
      </c>
      <c r="B9" s="462">
        <f>transport!B14</f>
        <v>2.7510367627207502</v>
      </c>
      <c r="C9" s="462">
        <f>transport!C14</f>
        <v>0</v>
      </c>
      <c r="D9" s="462">
        <f>transport!D14</f>
        <v>5.035063459259792</v>
      </c>
      <c r="E9" s="462">
        <f>transport!E14</f>
        <v>175.78949980472694</v>
      </c>
      <c r="F9" s="462">
        <f>transport!F14</f>
        <v>0</v>
      </c>
      <c r="G9" s="462">
        <f>transport!G14</f>
        <v>50568.305422380967</v>
      </c>
      <c r="H9" s="462">
        <f>transport!H14</f>
        <v>9104.1755006695676</v>
      </c>
      <c r="I9" s="462">
        <f>transport!I14</f>
        <v>0</v>
      </c>
      <c r="J9" s="462">
        <f>transport!J14</f>
        <v>0</v>
      </c>
      <c r="K9" s="462">
        <f>transport!K14</f>
        <v>0</v>
      </c>
      <c r="L9" s="462">
        <f>transport!L14</f>
        <v>0</v>
      </c>
      <c r="M9" s="462">
        <f>transport!M14</f>
        <v>2698.2220538818869</v>
      </c>
      <c r="N9" s="462">
        <f>transport!N14</f>
        <v>0</v>
      </c>
      <c r="O9" s="462">
        <f>transport!O14</f>
        <v>0</v>
      </c>
      <c r="P9" s="462">
        <f>transport!P14</f>
        <v>0</v>
      </c>
      <c r="Q9" s="461">
        <f>SUM(B9:P9)</f>
        <v>62554.278576959128</v>
      </c>
    </row>
    <row r="10" spans="1:17">
      <c r="A10" s="457" t="s">
        <v>563</v>
      </c>
      <c r="B10" s="458">
        <f>transport!B54</f>
        <v>0</v>
      </c>
      <c r="C10" s="458">
        <f>transport!C54</f>
        <v>0</v>
      </c>
      <c r="D10" s="458">
        <f>transport!D54</f>
        <v>0</v>
      </c>
      <c r="E10" s="458">
        <f>transport!E54</f>
        <v>0</v>
      </c>
      <c r="F10" s="458">
        <f>transport!F54</f>
        <v>0</v>
      </c>
      <c r="G10" s="458">
        <f>transport!G54</f>
        <v>622.36028227495547</v>
      </c>
      <c r="H10" s="458">
        <f>transport!H54</f>
        <v>0</v>
      </c>
      <c r="I10" s="458">
        <f>transport!I54</f>
        <v>0</v>
      </c>
      <c r="J10" s="458">
        <f>transport!J54</f>
        <v>0</v>
      </c>
      <c r="K10" s="458">
        <f>transport!K54</f>
        <v>0</v>
      </c>
      <c r="L10" s="458">
        <f>transport!L54</f>
        <v>0</v>
      </c>
      <c r="M10" s="458">
        <f>transport!M54</f>
        <v>27.70177103785544</v>
      </c>
      <c r="N10" s="458">
        <f>transport!N54</f>
        <v>0</v>
      </c>
      <c r="O10" s="458">
        <f>transport!O54</f>
        <v>0</v>
      </c>
      <c r="P10" s="459">
        <f>transport!P54</f>
        <v>0</v>
      </c>
      <c r="Q10" s="457">
        <f t="shared" si="0"/>
        <v>650.06205331281092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646.48276228942802</v>
      </c>
      <c r="C14" s="465"/>
      <c r="D14" s="465">
        <f>'SEAP template'!E25</f>
        <v>948.21257508318797</v>
      </c>
      <c r="E14" s="465"/>
      <c r="F14" s="465"/>
      <c r="G14" s="465"/>
      <c r="H14" s="465"/>
      <c r="I14" s="465"/>
      <c r="J14" s="465"/>
      <c r="K14" s="465"/>
      <c r="L14" s="465"/>
      <c r="M14" s="465"/>
      <c r="N14" s="465"/>
      <c r="O14" s="465"/>
      <c r="P14" s="466"/>
      <c r="Q14" s="457">
        <f t="shared" si="0"/>
        <v>1594.695337372616</v>
      </c>
    </row>
    <row r="15" spans="1:17" s="470" customFormat="1">
      <c r="A15" s="467" t="s">
        <v>567</v>
      </c>
      <c r="B15" s="468">
        <f ca="1">SUM(B4:B14)</f>
        <v>45891.087221196467</v>
      </c>
      <c r="C15" s="468">
        <f t="shared" ref="C15:Q15" ca="1" si="1">SUM(C4:C14)</f>
        <v>5133.375</v>
      </c>
      <c r="D15" s="468">
        <f t="shared" ca="1" si="1"/>
        <v>64633.293568498222</v>
      </c>
      <c r="E15" s="468">
        <f t="shared" si="1"/>
        <v>2938.400056607406</v>
      </c>
      <c r="F15" s="468">
        <f t="shared" ca="1" si="1"/>
        <v>22636.593873625621</v>
      </c>
      <c r="G15" s="468">
        <f t="shared" si="1"/>
        <v>51190.665704655919</v>
      </c>
      <c r="H15" s="468">
        <f t="shared" si="1"/>
        <v>9104.1755006695676</v>
      </c>
      <c r="I15" s="468">
        <f t="shared" si="1"/>
        <v>0</v>
      </c>
      <c r="J15" s="468">
        <f t="shared" si="1"/>
        <v>178.89250674494207</v>
      </c>
      <c r="K15" s="468">
        <f t="shared" si="1"/>
        <v>0</v>
      </c>
      <c r="L15" s="468">
        <f t="shared" ca="1" si="1"/>
        <v>0</v>
      </c>
      <c r="M15" s="468">
        <f t="shared" si="1"/>
        <v>2725.9238249197424</v>
      </c>
      <c r="N15" s="468">
        <f t="shared" ca="1" si="1"/>
        <v>12037.803184393397</v>
      </c>
      <c r="O15" s="468">
        <f t="shared" si="1"/>
        <v>136.01</v>
      </c>
      <c r="P15" s="468">
        <f t="shared" si="1"/>
        <v>743.6</v>
      </c>
      <c r="Q15" s="468">
        <f t="shared" ca="1" si="1"/>
        <v>217349.82044131131</v>
      </c>
    </row>
    <row r="17" spans="1:17">
      <c r="A17" s="471" t="s">
        <v>568</v>
      </c>
      <c r="B17" s="777">
        <f ca="1">huishoudens!B10</f>
        <v>0.1906232941449468</v>
      </c>
      <c r="C17" s="777">
        <f ca="1">huishoudens!C10</f>
        <v>7.8529411764705889E-2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5369.3266987957822</v>
      </c>
      <c r="C22" s="458">
        <f t="shared" ref="C22:C32" ca="1" si="3">C4*$C$17</f>
        <v>0</v>
      </c>
      <c r="D22" s="458">
        <f t="shared" ref="D22:D32" si="4">D4*$D$17</f>
        <v>9659.3362849157165</v>
      </c>
      <c r="E22" s="458">
        <f t="shared" ref="E22:E32" si="5">E4*$E$17</f>
        <v>431.89819079956357</v>
      </c>
      <c r="F22" s="458">
        <f t="shared" ref="F22:F32" si="6">F4*$F$17</f>
        <v>4637.3841745238051</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20097.945349034868</v>
      </c>
    </row>
    <row r="23" spans="1:17">
      <c r="A23" s="457" t="s">
        <v>155</v>
      </c>
      <c r="B23" s="458">
        <f t="shared" ca="1" si="2"/>
        <v>1657.697203368102</v>
      </c>
      <c r="C23" s="458">
        <f t="shared" ca="1" si="3"/>
        <v>0</v>
      </c>
      <c r="D23" s="458">
        <f t="shared" ca="1" si="4"/>
        <v>2090.4136236168747</v>
      </c>
      <c r="E23" s="458">
        <f t="shared" si="5"/>
        <v>27.991367311585496</v>
      </c>
      <c r="F23" s="458">
        <f t="shared" ca="1" si="6"/>
        <v>455.49490198849543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4231.5970962850579</v>
      </c>
    </row>
    <row r="24" spans="1:17">
      <c r="A24" s="457" t="s">
        <v>193</v>
      </c>
      <c r="B24" s="458">
        <f t="shared" ca="1" si="2"/>
        <v>183.87923262139273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183.87923262139273</v>
      </c>
    </row>
    <row r="25" spans="1:17">
      <c r="A25" s="457" t="s">
        <v>111</v>
      </c>
      <c r="B25" s="458">
        <f t="shared" ca="1" si="2"/>
        <v>212.83574450088608</v>
      </c>
      <c r="C25" s="458">
        <f t="shared" ca="1" si="3"/>
        <v>403.12091911764708</v>
      </c>
      <c r="D25" s="458">
        <f t="shared" si="4"/>
        <v>7.904936456089918</v>
      </c>
      <c r="E25" s="458">
        <f t="shared" si="5"/>
        <v>3.1938123820111644</v>
      </c>
      <c r="F25" s="458">
        <f t="shared" si="6"/>
        <v>267.11140345839311</v>
      </c>
      <c r="G25" s="458">
        <f t="shared" si="7"/>
        <v>0</v>
      </c>
      <c r="H25" s="458">
        <f t="shared" si="8"/>
        <v>0</v>
      </c>
      <c r="I25" s="458">
        <f t="shared" si="9"/>
        <v>0</v>
      </c>
      <c r="J25" s="458">
        <f t="shared" si="10"/>
        <v>59.441104228863715</v>
      </c>
      <c r="K25" s="458">
        <f t="shared" si="11"/>
        <v>0</v>
      </c>
      <c r="L25" s="458">
        <f t="shared" si="12"/>
        <v>0</v>
      </c>
      <c r="M25" s="458">
        <f t="shared" si="13"/>
        <v>0</v>
      </c>
      <c r="N25" s="458">
        <f t="shared" si="14"/>
        <v>0</v>
      </c>
      <c r="O25" s="458">
        <f t="shared" si="15"/>
        <v>0</v>
      </c>
      <c r="P25" s="459">
        <f t="shared" si="16"/>
        <v>0</v>
      </c>
      <c r="Q25" s="457">
        <f t="shared" ca="1" si="17"/>
        <v>953.60792014389119</v>
      </c>
    </row>
    <row r="26" spans="1:17">
      <c r="A26" s="457" t="s">
        <v>655</v>
      </c>
      <c r="B26" s="458">
        <f t="shared" ca="1" si="2"/>
        <v>1200.4122532658216</v>
      </c>
      <c r="C26" s="458">
        <f t="shared" ca="1" si="3"/>
        <v>0</v>
      </c>
      <c r="D26" s="458">
        <f t="shared" si="4"/>
        <v>1105.7144328623851</v>
      </c>
      <c r="E26" s="458">
        <f t="shared" si="5"/>
        <v>164.02922590104799</v>
      </c>
      <c r="F26" s="458">
        <f t="shared" si="6"/>
        <v>683.98008428734784</v>
      </c>
      <c r="G26" s="458">
        <f t="shared" si="7"/>
        <v>0</v>
      </c>
      <c r="H26" s="458">
        <f t="shared" si="8"/>
        <v>0</v>
      </c>
      <c r="I26" s="458">
        <f t="shared" si="9"/>
        <v>0</v>
      </c>
      <c r="J26" s="458">
        <f t="shared" si="10"/>
        <v>3.8868431588457737</v>
      </c>
      <c r="K26" s="458">
        <f t="shared" si="11"/>
        <v>0</v>
      </c>
      <c r="L26" s="458">
        <f t="shared" si="12"/>
        <v>0</v>
      </c>
      <c r="M26" s="458">
        <f t="shared" si="13"/>
        <v>0</v>
      </c>
      <c r="N26" s="458">
        <f t="shared" si="14"/>
        <v>0</v>
      </c>
      <c r="O26" s="458">
        <f t="shared" si="15"/>
        <v>0</v>
      </c>
      <c r="P26" s="459">
        <f t="shared" si="16"/>
        <v>0</v>
      </c>
      <c r="Q26" s="457">
        <f t="shared" ca="1" si="17"/>
        <v>3158.0228394754481</v>
      </c>
    </row>
    <row r="27" spans="1:17" s="463" customFormat="1">
      <c r="A27" s="461" t="s">
        <v>573</v>
      </c>
      <c r="B27" s="771">
        <f t="shared" ca="1" si="2"/>
        <v>0.52441169002367982</v>
      </c>
      <c r="C27" s="462">
        <f t="shared" ca="1" si="3"/>
        <v>0</v>
      </c>
      <c r="D27" s="462">
        <f t="shared" si="4"/>
        <v>1.0170828187704781</v>
      </c>
      <c r="E27" s="462">
        <f t="shared" si="5"/>
        <v>39.904216455673016</v>
      </c>
      <c r="F27" s="462">
        <f t="shared" si="6"/>
        <v>0</v>
      </c>
      <c r="G27" s="462">
        <f t="shared" si="7"/>
        <v>13501.73754777572</v>
      </c>
      <c r="H27" s="462">
        <f t="shared" si="8"/>
        <v>2266.9396996667224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15810.122958406908</v>
      </c>
    </row>
    <row r="28" spans="1:17">
      <c r="A28" s="457" t="s">
        <v>563</v>
      </c>
      <c r="B28" s="458">
        <f t="shared" ca="1" si="2"/>
        <v>0</v>
      </c>
      <c r="C28" s="458">
        <f t="shared" ca="1" si="3"/>
        <v>0</v>
      </c>
      <c r="D28" s="458">
        <f t="shared" si="4"/>
        <v>0</v>
      </c>
      <c r="E28" s="458">
        <f t="shared" si="5"/>
        <v>0</v>
      </c>
      <c r="F28" s="458">
        <f t="shared" si="6"/>
        <v>0</v>
      </c>
      <c r="G28" s="458">
        <f t="shared" si="7"/>
        <v>166.17019536741313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166.17019536741313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123.23467375553535</v>
      </c>
      <c r="C32" s="458">
        <f t="shared" ca="1" si="3"/>
        <v>0</v>
      </c>
      <c r="D32" s="458">
        <f t="shared" si="4"/>
        <v>191.538940166804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314.77361392233934</v>
      </c>
    </row>
    <row r="33" spans="1:17" s="470" customFormat="1">
      <c r="A33" s="467" t="s">
        <v>567</v>
      </c>
      <c r="B33" s="468">
        <f ca="1">SUM(B22:B32)</f>
        <v>8747.9102179975416</v>
      </c>
      <c r="C33" s="468">
        <f t="shared" ref="C33:Q33" ca="1" si="18">SUM(C22:C32)</f>
        <v>403.12091911764708</v>
      </c>
      <c r="D33" s="468">
        <f t="shared" ca="1" si="18"/>
        <v>13055.925300836641</v>
      </c>
      <c r="E33" s="468">
        <f t="shared" si="18"/>
        <v>667.01681284988126</v>
      </c>
      <c r="F33" s="468">
        <f t="shared" ca="1" si="18"/>
        <v>6043.9705642580411</v>
      </c>
      <c r="G33" s="468">
        <f t="shared" si="18"/>
        <v>13667.907743143132</v>
      </c>
      <c r="H33" s="468">
        <f t="shared" si="18"/>
        <v>2266.9396996667224</v>
      </c>
      <c r="I33" s="468">
        <f t="shared" si="18"/>
        <v>0</v>
      </c>
      <c r="J33" s="468">
        <f t="shared" si="18"/>
        <v>63.327947387709486</v>
      </c>
      <c r="K33" s="468">
        <f t="shared" si="18"/>
        <v>0</v>
      </c>
      <c r="L33" s="468">
        <f t="shared" ca="1" si="18"/>
        <v>0</v>
      </c>
      <c r="M33" s="468">
        <f t="shared" si="18"/>
        <v>0</v>
      </c>
      <c r="N33" s="468">
        <f t="shared" ca="1" si="18"/>
        <v>0</v>
      </c>
      <c r="O33" s="468">
        <f t="shared" si="18"/>
        <v>0</v>
      </c>
      <c r="P33" s="468">
        <f t="shared" si="18"/>
        <v>0</v>
      </c>
      <c r="Q33" s="468">
        <f t="shared" ca="1" si="18"/>
        <v>44916.119205257324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3366.1844514444792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3422.25</v>
      </c>
      <c r="C8" s="1034">
        <f>'SEAP template'!C76</f>
        <v>1140.75</v>
      </c>
      <c r="D8" s="1034">
        <f>'SEAP template'!D76</f>
        <v>0</v>
      </c>
      <c r="E8" s="1034">
        <f>'SEAP template'!E76</f>
        <v>0</v>
      </c>
      <c r="F8" s="1034">
        <f>'SEAP template'!F76</f>
        <v>1342.0588235294117</v>
      </c>
      <c r="G8" s="1034">
        <f>'SEAP template'!G76</f>
        <v>0</v>
      </c>
      <c r="H8" s="1034">
        <f>'SEAP template'!H76</f>
        <v>0</v>
      </c>
      <c r="I8" s="1034">
        <f>'SEAP template'!I76</f>
        <v>4026.1764705882351</v>
      </c>
      <c r="J8" s="1034">
        <f>'SEAP template'!J76</f>
        <v>0</v>
      </c>
      <c r="K8" s="1034">
        <f>'SEAP template'!K76</f>
        <v>0</v>
      </c>
      <c r="L8" s="1034">
        <f>'SEAP template'!L76</f>
        <v>0</v>
      </c>
      <c r="M8" s="1034">
        <f>'SEAP template'!M76</f>
        <v>0</v>
      </c>
      <c r="N8" s="1034">
        <f>'SEAP template'!N76</f>
        <v>0</v>
      </c>
      <c r="O8" s="1034">
        <f>'SEAP template'!O76</f>
        <v>0</v>
      </c>
      <c r="P8" s="1035">
        <f>'SEAP template'!Q76</f>
        <v>358.32970588235293</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6788.4344514444792</v>
      </c>
      <c r="C10" s="1038">
        <f>SUM(C4:C9)</f>
        <v>1140.75</v>
      </c>
      <c r="D10" s="1038">
        <f t="shared" ref="D10:H10" si="0">SUM(D8:D9)</f>
        <v>0</v>
      </c>
      <c r="E10" s="1038">
        <f t="shared" si="0"/>
        <v>0</v>
      </c>
      <c r="F10" s="1038">
        <f t="shared" si="0"/>
        <v>1342.0588235294117</v>
      </c>
      <c r="G10" s="1038">
        <f t="shared" si="0"/>
        <v>0</v>
      </c>
      <c r="H10" s="1038">
        <f t="shared" si="0"/>
        <v>0</v>
      </c>
      <c r="I10" s="1038">
        <f>SUM(I8:I9)</f>
        <v>4026.1764705882351</v>
      </c>
      <c r="J10" s="1038">
        <f>SUM(J8:J9)</f>
        <v>0</v>
      </c>
      <c r="K10" s="1038">
        <f t="shared" ref="K10:L10" si="1">SUM(K8:K9)</f>
        <v>0</v>
      </c>
      <c r="L10" s="1038">
        <f t="shared" si="1"/>
        <v>0</v>
      </c>
      <c r="M10" s="1038">
        <f>SUM(M8:M9)</f>
        <v>0</v>
      </c>
      <c r="N10" s="1038">
        <f>SUM(N8:N9)</f>
        <v>0</v>
      </c>
      <c r="O10" s="1038">
        <f>SUM(O8:O9)</f>
        <v>0</v>
      </c>
      <c r="P10" s="1038">
        <f>SUM(P8:P9)</f>
        <v>358.32970588235293</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0.1906232941449468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3850.03125</v>
      </c>
      <c r="C17" s="1040">
        <f>'SEAP template'!C87</f>
        <v>1283.34375</v>
      </c>
      <c r="D17" s="1035">
        <f>'SEAP template'!D87</f>
        <v>0</v>
      </c>
      <c r="E17" s="1035">
        <f>'SEAP template'!E87</f>
        <v>0</v>
      </c>
      <c r="F17" s="1035">
        <f>'SEAP template'!F87</f>
        <v>1509.8161764705883</v>
      </c>
      <c r="G17" s="1035">
        <f>'SEAP template'!G87</f>
        <v>0</v>
      </c>
      <c r="H17" s="1035">
        <f>'SEAP template'!H87</f>
        <v>0</v>
      </c>
      <c r="I17" s="1035">
        <f>'SEAP template'!I87</f>
        <v>4529.4485294117649</v>
      </c>
      <c r="J17" s="1035">
        <f>'SEAP template'!J87</f>
        <v>0</v>
      </c>
      <c r="K17" s="1035">
        <f>'SEAP template'!K87</f>
        <v>0</v>
      </c>
      <c r="L17" s="1035">
        <f>'SEAP template'!L87</f>
        <v>0</v>
      </c>
      <c r="M17" s="1035">
        <f>'SEAP template'!M87</f>
        <v>0</v>
      </c>
      <c r="N17" s="1035">
        <f>'SEAP template'!N87</f>
        <v>0</v>
      </c>
      <c r="O17" s="1035">
        <f>'SEAP template'!O87</f>
        <v>0</v>
      </c>
      <c r="P17" s="1035">
        <f>'SEAP template'!Q87</f>
        <v>403.12091911764708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3850.03125</v>
      </c>
      <c r="C20" s="1038">
        <f>SUM(C17:C19)</f>
        <v>1283.34375</v>
      </c>
      <c r="D20" s="1038">
        <f t="shared" ref="D20:H20" si="2">SUM(D17:D19)</f>
        <v>0</v>
      </c>
      <c r="E20" s="1038">
        <f t="shared" si="2"/>
        <v>0</v>
      </c>
      <c r="F20" s="1038">
        <f t="shared" si="2"/>
        <v>1509.8161764705883</v>
      </c>
      <c r="G20" s="1038">
        <f t="shared" si="2"/>
        <v>0</v>
      </c>
      <c r="H20" s="1038">
        <f t="shared" si="2"/>
        <v>0</v>
      </c>
      <c r="I20" s="1038">
        <f>SUM(I17:I19)</f>
        <v>4529.4485294117649</v>
      </c>
      <c r="J20" s="1038">
        <f>SUM(J17:J19)</f>
        <v>0</v>
      </c>
      <c r="K20" s="1038">
        <f t="shared" ref="K20:L20" si="3">SUM(K17:K19)</f>
        <v>0</v>
      </c>
      <c r="L20" s="1038">
        <f t="shared" si="3"/>
        <v>0</v>
      </c>
      <c r="M20" s="1038">
        <f>SUM(M17:M19)</f>
        <v>0</v>
      </c>
      <c r="N20" s="1038">
        <f>SUM(N17:N19)</f>
        <v>0</v>
      </c>
      <c r="O20" s="1038">
        <f>SUM(O17:O19)</f>
        <v>0</v>
      </c>
      <c r="P20" s="1038">
        <f>SUM(P17:P19)</f>
        <v>403.12091911764708</v>
      </c>
    </row>
    <row r="22" spans="1:16">
      <c r="A22" s="471" t="s">
        <v>879</v>
      </c>
      <c r="B22" s="777" t="s">
        <v>873</v>
      </c>
      <c r="C22" s="777">
        <f ca="1">'EF ele_warmte'!B22</f>
        <v>7.8529411764705889E-2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0.1906232941449468</v>
      </c>
      <c r="C17" s="508">
        <f ca="1">'EF ele_warmte'!B22</f>
        <v>7.8529411764705889E-2</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2020-06-20T16:16:16Z</dcterms:modified>
</cp:coreProperties>
</file>