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C45" i="18"/>
  <c r="B20" i="18"/>
  <c r="F20" i="18"/>
  <c r="O18" i="18"/>
  <c r="H20" i="18"/>
  <c r="G20" i="18"/>
  <c r="K20" i="18"/>
  <c r="B10" i="18"/>
  <c r="O19" i="18"/>
  <c r="O9" i="18"/>
  <c r="D49" i="18"/>
  <c r="H49" i="18"/>
  <c r="E48" i="18"/>
  <c r="E8" i="18" s="1"/>
  <c r="E10" i="18" s="1"/>
  <c r="E49" i="18"/>
  <c r="E17" i="18" s="1"/>
  <c r="E20" i="18" s="1"/>
  <c r="N6" i="17"/>
  <c r="I17" i="18" l="1"/>
  <c r="I20" i="18" s="1"/>
  <c r="I48" i="18"/>
  <c r="H8" i="18" s="1"/>
  <c r="H10" i="18" s="1"/>
  <c r="G48" i="18"/>
  <c r="F48" i="18"/>
  <c r="H48" i="18"/>
  <c r="D48" i="18"/>
  <c r="C48" i="18"/>
  <c r="B48" i="18"/>
  <c r="C8" i="18" s="1"/>
  <c r="C10" i="18" s="1"/>
  <c r="J17" i="18"/>
  <c r="J20" i="18" s="1"/>
  <c r="L6" i="17"/>
  <c r="F6" i="17"/>
  <c r="D6" i="17"/>
  <c r="C6" i="17"/>
  <c r="N16" i="16"/>
  <c r="L16" i="16"/>
  <c r="F16" i="16"/>
  <c r="D16" i="16"/>
  <c r="C16" i="16"/>
  <c r="B16" i="16"/>
  <c r="B13" i="15"/>
  <c r="J8" i="18" l="1"/>
  <c r="J10" i="18" s="1"/>
  <c r="I8" i="18"/>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7" i="48"/>
  <c r="C24" i="14"/>
  <c r="C26" i="14" s="1"/>
  <c r="E11" i="14"/>
  <c r="D4" i="48"/>
  <c r="D22" i="48" s="1"/>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E5" i="48"/>
  <c r="J20" i="15"/>
  <c r="K4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E23" i="48"/>
  <c r="E33" i="48" s="1"/>
  <c r="E15" i="48"/>
  <c r="J33" i="48"/>
  <c r="Q5" i="48"/>
  <c r="H63" i="14"/>
  <c r="F13" i="14"/>
  <c r="F16" i="14" s="1"/>
  <c r="F27" i="14" s="1"/>
  <c r="F63" i="14" s="1"/>
  <c r="E8" i="48"/>
  <c r="E26" i="48" s="1"/>
  <c r="J22" i="16"/>
  <c r="K43" i="14" s="1"/>
  <c r="K46" i="14" s="1"/>
  <c r="K61" i="14" s="1"/>
  <c r="J8" i="48"/>
  <c r="J26" i="48" s="1"/>
  <c r="K13" i="14"/>
  <c r="K16" i="14" s="1"/>
  <c r="K27" i="14"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<sst xmlns="http://schemas.openxmlformats.org/spreadsheetml/2006/main" count="2456" uniqueCount="927">
  <si>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</si>
  <si>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</si>
  <si>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</si>
  <si>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</si>
  <si>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</si>
  <si>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</si>
  <si>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</si>
  <si>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</si>
  <si>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</si>
  <si>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</si>
  <si>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</si>
  <si>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</si>
  <si>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</si>
  <si>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</si>
  <si>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</si>
  <si>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</si>
  <si>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</si>
  <si>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</si>
  <si>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</si>
  <si>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</si>
  <si>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</si>
  <si>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</si>
  <si>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</si>
  <si>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</si>
  <si>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</si>
  <si>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</si>
  <si>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</si>
  <si>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</si>
  <si>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</si>
  <si>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</si>
  <si>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</si>
  <si>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</si>
  <si>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</si>
  <si>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</si>
  <si>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</si>
  <si>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</si>
  <si>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</si>
  <si>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</si>
  <si>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</si>
  <si>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</si>
  <si>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</si>
  <si>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</si>
  <si>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</si>
  <si>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</si>
  <si>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</si>
  <si>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</si>
  <si>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</si>
  <si>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</si>
  <si>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</si>
  <si>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</si>
  <si>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</si>
  <si>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</si>
  <si>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</si>
  <si>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</si>
  <si>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</si>
  <si>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</si>
  <si>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</si>
  <si>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</si>
  <si>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</si>
  <si>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</si>
  <si>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</si>
  <si>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</si>
  <si>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</si>
  <si>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</si>
  <si>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</si>
  <si>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</si>
  <si>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</si>
  <si>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</si>
  <si>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</si>
  <si>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</si>
  <si>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</si>
  <si>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</si>
  <si>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</si>
  <si>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</si>
  <si>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</si>
  <si>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</si>
  <si>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</si>
  <si>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</si>
  <si>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</si>
  <si>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</si>
  <si>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</si>
  <si>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</si>
  <si>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</si>
  <si>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</si>
  <si>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</si>
  <si>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</si>
  <si>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</si>
  <si>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</si>
  <si>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</si>
  <si>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</si>
  <si>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</si>
  <si>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</si>
  <si>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</si>
  <si>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</si>
  <si>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</si>
  <si>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</si>
  <si>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</si>
  <si>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</si>
  <si>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</si>
  <si>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</si>
  <si>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</si>
  <si>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</si>
  <si>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</si>
  <si>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</si>
  <si>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</si>
  <si>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</si>
  <si>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</si>
  <si>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</si>
  <si>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</si>
  <si>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</si>
  <si>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</si>
  <si>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</si>
  <si>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</si>
  <si>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</si>
  <si>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</si>
  <si>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</si>
  <si>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</si>
  <si>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</si>
  <si>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</si>
  <si>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</si>
  <si>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</si>
  <si>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</si>
  <si>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</si>
  <si>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</si>
  <si>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</si>
  <si>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</si>
  <si>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</si>
  <si>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</si>
  <si>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</si>
  <si>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</si>
  <si>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</si>
  <si>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</si>
  <si>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</si>
  <si>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</si>
  <si>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</si>
  <si>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</si>
  <si>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</si>
  <si>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</si>
  <si>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</si>
  <si>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</si>
  <si>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</si>
  <si>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</si>
  <si>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</si>
  <si>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</si>
  <si>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</si>
  <si>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</si>
  <si>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</si>
  <si>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</si>
  <si>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</si>
  <si>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</si>
  <si>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</si>
  <si>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</si>
  <si>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</si>
  <si>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</si>
  <si>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</si>
  <si>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</si>
  <si>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</si>
  <si>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</si>
  <si>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</si>
  <si>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</si>
  <si>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</si>
  <si>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</si>
  <si>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</si>
  <si>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</si>
  <si>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</si>
  <si>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</si>
  <si>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</si>
  <si>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</si>
  <si>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</si>
  <si>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</si>
  <si>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</si>
  <si>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</si>
  <si>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</si>
  <si>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</si>
  <si>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</si>
  <si>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</si>
  <si>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</si>
  <si>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</si>
  <si>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</si>
  <si>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</si>
  <si>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</si>
  <si>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</si>
  <si>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</si>
  <si>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</si>
  <si>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</si>
  <si>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</si>
  <si>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</si>
  <si>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</si>
  <si>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</si>
  <si>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</si>
  <si>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</si>
  <si>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</si>
  <si>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</si>
  <si>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</si>
  <si>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</si>
  <si>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</si>
  <si>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</si>
  <si>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</si>
  <si>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</si>
  <si>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</si>
  <si>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</si>
  <si>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</si>
  <si>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</si>
  <si>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</si>
  <si>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</si>
  <si>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</si>
  <si>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</si>
  <si>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</si>
  <si>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</si>
  <si>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</si>
  <si>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</si>
  <si>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</si>
  <si>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</si>
  <si>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</si>
  <si>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</si>
  <si>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</si>
  <si>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</si>
  <si>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</si>
  <si>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</si>
  <si>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</si>
  <si>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</si>
  <si>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</si>
  <si>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</si>
  <si>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</si>
  <si>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</si>
  <si>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</si>
  <si>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</si>
  <si>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</si>
  <si>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</si>
  <si>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</si>
  <si>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</si>
  <si>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</si>
  <si>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</si>
  <si>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</si>
  <si>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</si>
  <si>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</si>
  <si>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</si>
  <si>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</si>
  <si>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</si>
  <si>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</si>
  <si>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</si>
  <si>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</si>
  <si>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</si>
  <si>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</si>
  <si>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</si>
  <si>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</si>
  <si>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</si>
  <si>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</si>
  <si>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</si>
  <si>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</si>
  <si>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</si>
  <si>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</si>
  <si>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</si>
  <si>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</si>
  <si>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</si>
  <si>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</si>
  <si>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</si>
  <si>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</si>
  <si>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</si>
  <si>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</si>
  <si>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</si>
  <si>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</si>
  <si>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</si>
  <si>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</si>
  <si>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</si>
  <si>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</si>
  <si>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</si>
  <si>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</si>
  <si>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</si>
  <si>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</si>
  <si>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</si>
  <si>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</si>
  <si>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</si>
  <si>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</si>
  <si>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</si>
  <si>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</si>
  <si>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</si>
  <si>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</si>
  <si>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</si>
  <si>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</si>
  <si>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</si>
  <si>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</si>
  <si>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</si>
  <si>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</si>
  <si>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</si>
  <si>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</si>
  <si>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</si>
  <si>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</si>
  <si>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</si>
  <si>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</si>
  <si>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</si>
  <si>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</si>
  <si>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</si>
  <si>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</si>
  <si>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</si>
  <si>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</si>
  <si>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</si>
  <si>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</si>
  <si>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</si>
  <si>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</si>
  <si>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</si>
  <si>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</si>
  <si>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</si>
  <si>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</si>
  <si>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</si>
  <si>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</si>
  <si>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</si>
  <si>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</si>
  <si>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</si>
  <si>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</si>
  <si>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</si>
  <si>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</si>
  <si>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</si>
  <si>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</si>
  <si>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</si>
  <si>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</si>
  <si>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</si>
  <si>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</si>
  <si>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</si>
  <si>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</si>
  <si>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</si>
  <si>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</si>
  <si>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</si>
  <si>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</si>
  <si>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</si>
  <si>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</si>
  <si>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</si>
  <si>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</si>
  <si>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</si>
  <si>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</si>
  <si>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</si>
  <si>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</si>
  <si>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</si>
  <si>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</si>
  <si>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</si>
  <si>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</si>
  <si>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</si>
  <si>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</si>
  <si>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</si>
  <si>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</si>
  <si>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</si>
  <si>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</si>
  <si>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</si>
  <si>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</si>
  <si>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</si>
  <si>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</si>
  <si>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</si>
  <si>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</si>
  <si>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</si>
  <si>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</si>
  <si>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</si>
  <si>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</si>
  <si>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</si>
  <si>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</si>
  <si>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</si>
  <si>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</si>
  <si>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</si>
  <si>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</si>
  <si>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</si>
  <si>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</si>
  <si>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</si>
  <si>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</si>
  <si>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</si>
  <si>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</si>
  <si>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</si>
  <si>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</si>
  <si>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</si>
  <si>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</si>
  <si>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</si>
  <si>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</si>
  <si>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</si>
  <si>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</si>
  <si>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</si>
  <si>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</si>
  <si>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</si>
  <si>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</si>
  <si>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</si>
  <si>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</si>
  <si>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</si>
  <si>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</si>
  <si>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</si>
  <si>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</si>
  <si>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</si>
  <si>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</si>
  <si>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</si>
  <si>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</si>
  <si>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</si>
  <si>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</si>
  <si>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</si>
  <si>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</si>
  <si>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</si>
  <si>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</si>
  <si>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</si>
  <si>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</si>
  <si>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</si>
  <si>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</si>
  <si>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</si>
  <si>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</si>
  <si>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</si>
  <si>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</si>
  <si>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</si>
  <si>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</si>
  <si>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</si>
  <si>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</si>
  <si>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</si>
  <si>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</si>
  <si>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</si>
  <si>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</si>
  <si>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</si>
  <si>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</si>
  <si>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</si>
  <si>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</si>
  <si>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</si>
  <si>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</si>
  <si>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</si>
  <si>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</si>
  <si>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</si>
  <si>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</si>
  <si>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</si>
  <si>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</si>
  <si>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</si>
  <si>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</si>
  <si>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</si>
  <si>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</si>
  <si>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</si>
  <si>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</si>
  <si>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</si>
  <si>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</si>
  <si>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</si>
  <si>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</si>
  <si>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</si>
  <si>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</si>
  <si>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</si>
  <si>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</si>
  <si>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</si>
  <si>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</si>
  <si>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</si>
  <si>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</si>
  <si>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</si>
  <si>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</si>
  <si>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</si>
  <si>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</si>
  <si>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</si>
  <si>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</si>
  <si>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</si>
  <si>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</si>
  <si>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</si>
  <si>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</si>
  <si>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</si>
  <si>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</si>
  <si>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</si>
  <si>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</si>
  <si>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</si>
  <si>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</si>
  <si>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</si>
  <si>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</si>
  <si>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</si>
  <si>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</si>
  <si>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</si>
  <si>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</si>
  <si>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</si>
  <si>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</si>
  <si>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</si>
  <si>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</si>
  <si>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</si>
  <si>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</si>
  <si>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</si>
  <si>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</si>
  <si>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</si>
  <si>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</si>
  <si>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</si>
  <si>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</si>
  <si>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</si>
  <si>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</si>
  <si>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</si>
  <si>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</si>
  <si>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</si>
  <si>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</si>
  <si>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</si>
  <si>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</si>
  <si>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</si>
  <si>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</si>
  <si>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</si>
  <si>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</si>
  <si>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</si>
  <si>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</si>
  <si>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</si>
  <si>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</si>
  <si>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</si>
  <si>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</si>
  <si>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</si>
  <si>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</si>
  <si>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</si>
  <si>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</si>
  <si>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</si>
  <si>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</si>
  <si>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</si>
  <si>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</si>
  <si>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</si>
  <si>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</si>
  <si>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</si>
  <si>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</si>
  <si>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</si>
  <si>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</si>
  <si>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</si>
  <si>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</si>
  <si>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</si>
  <si>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</si>
  <si>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</si>
  <si>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</si>
  <si>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</si>
  <si>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</si>
  <si>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</si>
  <si>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</si>
  <si>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</si>
  <si>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</si>
  <si>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</si>
  <si>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</si>
  <si>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</si>
  <si>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</si>
  <si>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</si>
  <si>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</si>
  <si>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</si>
  <si>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</si>
  <si>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</si>
  <si>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</si>
  <si>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</si>
  <si>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</si>
  <si>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</si>
  <si>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</si>
  <si>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</si>
  <si>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</si>
  <si>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</si>
  <si>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</si>
  <si>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</si>
  <si>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</si>
  <si>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</si>
  <si>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</si>
  <si>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</si>
  <si>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</si>
  <si>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</si>
  <si>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</si>
  <si>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</si>
  <si>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</si>
  <si>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</si>
  <si>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</si>
  <si>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</si>
  <si>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</si>
  <si>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</si>
  <si>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</si>
  <si>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</si>
  <si>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</si>
  <si>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</si>
  <si>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</si>
  <si>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</si>
  <si>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</si>
  <si>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</si>
  <si>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</si>
  <si>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</si>
  <si>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</si>
  <si>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</si>
  <si>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</si>
  <si>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</si>
  <si>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</si>
  <si>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</si>
  <si>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</si>
  <si>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</si>
  <si>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</si>
  <si>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</si>
  <si>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</si>
  <si>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</si>
  <si>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</si>
  <si>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</si>
  <si>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</si>
  <si>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</si>
  <si>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</si>
  <si>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</si>
  <si>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</si>
  <si>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</si>
  <si>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</si>
  <si>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</si>
  <si>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</si>
  <si>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</si>
  <si>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</si>
  <si>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</si>
  <si>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</si>
  <si>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</si>
  <si>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</si>
  <si>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</si>
  <si>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</si>
  <si>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</si>
  <si>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</si>
  <si>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</si>
  <si>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</si>
  <si>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</si>
  <si>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</si>
  <si>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</si>
  <si>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</si>
  <si>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</si>
  <si>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</si>
  <si>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</si>
  <si>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</si>
  <si>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</si>
  <si>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</si>
  <si>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</si>
  <si>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</si>
  <si>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</si>
  <si>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</si>
  <si>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</si>
  <si>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</si>
  <si>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</si>
  <si>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</si>
  <si>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</si>
  <si>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</si>
  <si>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</si>
  <si>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</si>
  <si>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</si>
  <si>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</si>
  <si>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</si>
  <si>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</si>
  <si>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</si>
  <si>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</si>
  <si>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</si>
  <si>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</si>
  <si>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</si>
  <si>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</si>
  <si>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</si>
  <si>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</si>
  <si>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</si>
  <si>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</si>
  <si>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</si>
  <si>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</si>
  <si>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</si>
  <si>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</si>
  <si>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</si>
  <si>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</si>
  <si>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</si>
  <si>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</si>
  <si>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</si>
  <si>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</si>
  <si>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</si>
  <si>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</si>
  <si>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</si>
  <si>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</si>
  <si>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</si>
  <si>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</si>
  <si>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</si>
  <si>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</si>
  <si>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</si>
  <si>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</si>
  <si>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</si>
  <si>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</si>
  <si>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</si>
  <si>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</si>
  <si>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</si>
  <si>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</si>
  <si>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</si>
  <si>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</si>
  <si>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</si>
  <si>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</si>
  <si>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</si>
  <si>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</si>
  <si>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</si>
  <si>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</si>
  <si>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</si>
  <si>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</si>
  <si>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</si>
  <si>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</si>
  <si>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</si>
  <si>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</si>
  <si>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</si>
  <si>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</si>
  <si>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</si>
  <si>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</si>
  <si>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</si>
  <si>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</si>
  <si>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</si>
  <si>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</si>
  <si>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</si>
  <si>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</si>
  <si>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</si>
  <si>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</si>
  <si>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</si>
  <si>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</si>
  <si>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</si>
  <si>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</si>
  <si>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</si>
  <si>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</si>
  <si>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</si>
  <si>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</si>
  <si>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</si>
  <si>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</si>
  <si>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</si>
  <si>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</si>
  <si>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</si>
  <si>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</si>
  <si>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</si>
  <si>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</si>
  <si>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</si>
  <si>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</si>
  <si>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</si>
  <si>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</si>
  <si>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</si>
  <si>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</si>
  <si>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</si>
  <si>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</si>
  <si>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</si>
  <si>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</si>
  <si>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</si>
  <si>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</si>
  <si>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</si>
  <si>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</si>
  <si>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</si>
  <si>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</si>
  <si>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</si>
  <si>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</si>
  <si>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</si>
  <si>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</si>
  <si>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</si>
  <si>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</si>
  <si>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</si>
  <si>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</si>
  <si>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</si>
  <si>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</si>
  <si>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</si>
  <si>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</si>
  <si>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</si>
  <si>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</si>
  <si>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</si>
  <si>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</si>
  <si>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</si>
  <si>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</si>
  <si>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</si>
  <si>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</si>
  <si>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</si>
  <si>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</si>
  <si>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</si>
  <si>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</si>
  <si>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</si>
  <si>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</si>
  <si>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</si>
  <si>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</si>
  <si>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</si>
  <si>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</si>
  <si>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</si>
  <si>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</si>
  <si>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</si>
  <si>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</si>
  <si>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</si>
  <si>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</si>
  <si>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</si>
  <si>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</si>
  <si>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</si>
  <si>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</si>
  <si>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</si>
  <si>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</si>
  <si>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</si>
  <si>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</si>
  <si>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</si>
  <si>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</si>
  <si>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</si>
  <si>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</si>
  <si>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</si>
  <si>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</si>
  <si>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</si>
  <si>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</si>
  <si>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</si>
  <si>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</si>
  <si>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</si>
  <si>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</si>
  <si>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</si>
  <si>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</si>
  <si>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</si>
  <si>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</si>
  <si>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</si>
  <si>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</si>
  <si>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</si>
  <si>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</si>
  <si>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</si>
  <si>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</si>
  <si>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</si>
  <si>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</si>
  <si>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</si>
  <si>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</si>
  <si>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</si>
  <si>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</si>
  <si>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</si>
  <si>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</si>
  <si>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</si>
  <si>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</si>
  <si>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</si>
  <si>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</si>
  <si>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</si>
  <si>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</si>
  <si>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</si>
  <si>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</si>
  <si>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</si>
  <si>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</si>
  <si>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</si>
  <si>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</si>
  <si>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</si>
  <si>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</si>
  <si>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</si>
  <si>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</si>
  <si>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</si>
  <si>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</si>
  <si>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</si>
  <si>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</si>
  <si>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</si>
  <si>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</si>
  <si>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</si>
  <si>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</si>
  <si>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</si>
  <si>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</si>
  <si>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</si>
  <si>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</si>
  <si>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</si>
  <si>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</si>
  <si>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</si>
  <si>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</si>
  <si>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</si>
  <si>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</si>
  <si>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</si>
  <si>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</si>
  <si>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</si>
  <si>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</si>
  <si>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</si>
  <si>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</si>
  <si>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</si>
  <si>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</si>
  <si>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</si>
  <si>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</si>
  <si>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</si>
  <si>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</si>
  <si>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</si>
  <si>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</si>
  <si>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</si>
  <si>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</si>
  <si>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</si>
  <si>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</si>
  <si>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</si>
  <si>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</si>
  <si>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</si>
  <si>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</si>
  <si>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</si>
  <si>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</si>
  <si>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</si>
  <si>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</si>
  <si>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</si>
  <si>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</si>
  <si>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</si>
  <si>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</si>
  <si>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</si>
  <si>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</si>
  <si>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</si>
  <si>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</si>
  <si>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</si>
  <si>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</si>
  <si>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</si>
  <si>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</si>
  <si>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</si>
  <si>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</si>
  <si>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</si>
  <si>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</si>
  <si>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</si>
  <si>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</si>
  <si>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</si>
  <si>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</si>
  <si>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</si>
  <si>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</si>
  <si>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</si>
  <si>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</si>
  <si>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</si>
  <si>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</si>
  <si>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</si>
  <si>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</si>
  <si>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</si>
  <si>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</si>
  <si>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</si>
  <si>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</si>
  <si>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</si>
  <si>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</si>
  <si>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</si>
  <si>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</si>
  <si>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</si>
  <si>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</si>
  <si>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</si>
  <si>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</si>
  <si>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</si>
  <si>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</si>
  <si>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</si>
  <si>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</si>
  <si>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</si>
  <si>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</si>
  <si>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</si>
  <si>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</si>
  <si>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</si>
  <si>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</si>
  <si>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</si>
  <si>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</si>
  <si>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</si>
  <si>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</si>
  <si>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</si>
  <si>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</si>
  <si>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</si>
  <si>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</si>
  <si>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</si>
  <si>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</si>
  <si>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</si>
  <si>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</si>
  <si>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</si>
  <si>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</si>
  <si>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</si>
  <si>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23052</t>
  </si>
  <si>
    <t>MERCHTEM</t>
  </si>
  <si>
    <t>Cultuurgrond (ha)</t>
  </si>
  <si>
    <t>Paarden&amp;pony's 200 - 600 kg</t>
  </si>
  <si>
    <t>Paarden&amp;pony's &lt; 200 kg</t>
  </si>
  <si>
    <t>Fluvius</t>
  </si>
  <si>
    <t>referentietaak LNE (2017); Jaarverslag De Lijn</t>
  </si>
  <si>
    <t>Vanderstraeten LV</t>
  </si>
  <si>
    <t>Koeweidestraat 25 , 1785 Merchtem</t>
  </si>
  <si>
    <t>WKK-0516 Vanderstraeten</t>
  </si>
  <si>
    <t>interne verbrandingsmotor</t>
  </si>
  <si>
    <t>WKK interne verbrandinsgmotor (gas)</t>
  </si>
  <si>
    <t>Koeweidestraat 25 A, 1785 Merchtem</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</si>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</sst>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129427.1688790397</c:v>
                </c:pt>
                <c:pt idx="1">
                  <c:v>40457.717949127036</c:v>
                </c:pt>
                <c:pt idx="2">
                  <c:v>854.00900000000001</c:v>
                </c:pt>
                <c:pt idx="3">
                  <c:v>13045.491107264541</c:v>
                </c:pt>
                <c:pt idx="4">
                  <c:v>9039.3003025446487</c:v>
                </c:pt>
                <c:pt idx="5">
                  <c:v>76934.58187644514</c:v>
                </c:pt>
                <c:pt idx="6">
                  <c:v>1600.4919521210059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129427.1688790397</c:v>
                </c:pt>
                <c:pt idx="1">
                  <c:v>40457.717949127036</c:v>
                </c:pt>
                <c:pt idx="2">
                  <c:v>854.00900000000001</c:v>
                </c:pt>
                <c:pt idx="3">
                  <c:v>13045.491107264541</c:v>
                </c:pt>
                <c:pt idx="4">
                  <c:v>9039.3003025446487</c:v>
                </c:pt>
                <c:pt idx="5">
                  <c:v>76934.58187644514</c:v>
                </c:pt>
                <c:pt idx="6">
                  <c:v>1600.4919521210059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26941.56435576373</c:v>
                </c:pt>
                <c:pt idx="2">
                  <c:v>8143.7779953987438</c:v>
                </c:pt>
                <c:pt idx="3">
                  <c:v>176.6471731669933</c:v>
                </c:pt>
                <c:pt idx="4">
                  <c:v>3320.6145109862218</c:v>
                </c:pt>
                <c:pt idx="5">
                  <c:v>1893.3735808910328</c:v>
                </c:pt>
                <c:pt idx="6">
                  <c:v>19398.296742695027</c:v>
                </c:pt>
                <c:pt idx="7">
                  <c:v>409.12103546512111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26941.56435576373</c:v>
                </c:pt>
                <c:pt idx="2">
                  <c:v>8143.7779953987438</c:v>
                </c:pt>
                <c:pt idx="3">
                  <c:v>176.6471731669933</c:v>
                </c:pt>
                <c:pt idx="4">
                  <c:v>3320.6145109862218</c:v>
                </c:pt>
                <c:pt idx="5">
                  <c:v>1893.3735808910328</c:v>
                </c:pt>
                <c:pt idx="6">
                  <c:v>19398.296742695027</c:v>
                </c:pt>
                <c:pt idx="7">
                  <c:v>409.12103546512111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23052</v>
      </c>
      <c r="B6" s="395"/>
      <c r="C6" s="396"/>
    </row>
    <row r="7" spans="1:7" s="393" customFormat="1" ht="15.75" customHeight="1">
      <c r="A7" s="397" t="str">
        <f>txtMunicipality</f>
        <v>MERCHTEM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0.20684462712570159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0.20684462712570159</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6634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2239</v>
      </c>
      <c r="C14" s="332"/>
      <c r="D14" s="332"/>
      <c r="E14" s="332"/>
      <c r="F14" s="332"/>
    </row>
    <row r="15" spans="1:6">
      <c r="A15" s="1306" t="s">
        <v>183</v>
      </c>
      <c r="B15" s="1307">
        <v>27</v>
      </c>
      <c r="C15" s="332"/>
      <c r="D15" s="332"/>
      <c r="E15" s="332"/>
      <c r="F15" s="332"/>
    </row>
    <row r="16" spans="1:6">
      <c r="A16" s="1306" t="s">
        <v>6</v>
      </c>
      <c r="B16" s="1307">
        <v>1150</v>
      </c>
      <c r="C16" s="332"/>
      <c r="D16" s="332"/>
      <c r="E16" s="332"/>
      <c r="F16" s="332"/>
    </row>
    <row r="17" spans="1:6">
      <c r="A17" s="1306" t="s">
        <v>7</v>
      </c>
      <c r="B17" s="1307">
        <v>552</v>
      </c>
      <c r="C17" s="332"/>
      <c r="D17" s="332"/>
      <c r="E17" s="332"/>
      <c r="F17" s="332"/>
    </row>
    <row r="18" spans="1:6">
      <c r="A18" s="1306" t="s">
        <v>8</v>
      </c>
      <c r="B18" s="1307">
        <v>1030</v>
      </c>
      <c r="C18" s="332"/>
      <c r="D18" s="332"/>
      <c r="E18" s="332"/>
      <c r="F18" s="332"/>
    </row>
    <row r="19" spans="1:6">
      <c r="A19" s="1306" t="s">
        <v>9</v>
      </c>
      <c r="B19" s="1307">
        <v>841</v>
      </c>
      <c r="C19" s="332"/>
      <c r="D19" s="332"/>
      <c r="E19" s="332"/>
      <c r="F19" s="332"/>
    </row>
    <row r="20" spans="1:6">
      <c r="A20" s="1306" t="s">
        <v>10</v>
      </c>
      <c r="B20" s="1307">
        <v>633</v>
      </c>
      <c r="C20" s="332"/>
      <c r="D20" s="332"/>
      <c r="E20" s="332"/>
      <c r="F20" s="332"/>
    </row>
    <row r="21" spans="1:6">
      <c r="A21" s="1306" t="s">
        <v>11</v>
      </c>
      <c r="B21" s="1307">
        <v>308</v>
      </c>
      <c r="C21" s="332"/>
      <c r="D21" s="332"/>
      <c r="E21" s="332"/>
      <c r="F21" s="332"/>
    </row>
    <row r="22" spans="1:6">
      <c r="A22" s="1306" t="s">
        <v>12</v>
      </c>
      <c r="B22" s="1307">
        <v>2057</v>
      </c>
      <c r="C22" s="332"/>
      <c r="D22" s="332"/>
      <c r="E22" s="332"/>
      <c r="F22" s="332"/>
    </row>
    <row r="23" spans="1:6">
      <c r="A23" s="1306" t="s">
        <v>13</v>
      </c>
      <c r="B23" s="1307">
        <v>15</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207</v>
      </c>
      <c r="C26" s="332"/>
      <c r="D26" s="332"/>
      <c r="E26" s="332"/>
      <c r="F26" s="332"/>
    </row>
    <row r="27" spans="1:6">
      <c r="A27" s="1306" t="s">
        <v>17</v>
      </c>
      <c r="B27" s="1307">
        <v>6</v>
      </c>
      <c r="C27" s="332"/>
      <c r="D27" s="332"/>
      <c r="E27" s="332"/>
      <c r="F27" s="332"/>
    </row>
    <row r="28" spans="1:6" s="43" customFormat="1">
      <c r="A28" s="1308" t="s">
        <v>18</v>
      </c>
      <c r="B28" s="1309">
        <v>160058</v>
      </c>
      <c r="C28" s="338"/>
      <c r="D28" s="338"/>
      <c r="E28" s="338"/>
      <c r="F28" s="338"/>
    </row>
    <row r="29" spans="1:6">
      <c r="A29" s="1308" t="s">
        <v>916</v>
      </c>
      <c r="B29" s="1309">
        <v>77</v>
      </c>
      <c r="C29" s="338"/>
      <c r="D29" s="338"/>
      <c r="E29" s="338"/>
      <c r="F29" s="338"/>
    </row>
    <row r="30" spans="1:6">
      <c r="A30" s="1301" t="s">
        <v>917</v>
      </c>
      <c r="B30" s="1310">
        <v>36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4</v>
      </c>
      <c r="F36" s="1307">
        <v>2744</v>
      </c>
    </row>
    <row r="37" spans="1:6">
      <c r="A37" s="1306" t="s">
        <v>24</v>
      </c>
      <c r="B37" s="1306" t="s">
        <v>27</v>
      </c>
      <c r="C37" s="1307">
        <v>0</v>
      </c>
      <c r="D37" s="1307">
        <v>0</v>
      </c>
      <c r="E37" s="1307">
        <v>0</v>
      </c>
      <c r="F37" s="1307">
        <v>0</v>
      </c>
    </row>
    <row r="38" spans="1:6">
      <c r="A38" s="1306" t="s">
        <v>24</v>
      </c>
      <c r="B38" s="1306" t="s">
        <v>28</v>
      </c>
      <c r="C38" s="1307">
        <v>2</v>
      </c>
      <c r="D38" s="1307">
        <v>12862.427452219799</v>
      </c>
      <c r="E38" s="1307">
        <v>3</v>
      </c>
      <c r="F38" s="1307">
        <v>15952.7032864752</v>
      </c>
    </row>
    <row r="39" spans="1:6">
      <c r="A39" s="1306" t="s">
        <v>29</v>
      </c>
      <c r="B39" s="1306" t="s">
        <v>30</v>
      </c>
      <c r="C39" s="1307">
        <v>3212</v>
      </c>
      <c r="D39" s="1307">
        <v>56759484.218996301</v>
      </c>
      <c r="E39" s="1307">
        <v>6537</v>
      </c>
      <c r="F39" s="1307">
        <v>30227577.7272599</v>
      </c>
    </row>
    <row r="40" spans="1:6">
      <c r="A40" s="1306" t="s">
        <v>29</v>
      </c>
      <c r="B40" s="1306" t="s">
        <v>28</v>
      </c>
      <c r="C40" s="1307">
        <v>0</v>
      </c>
      <c r="D40" s="1307">
        <v>0</v>
      </c>
      <c r="E40" s="1307">
        <v>0</v>
      </c>
      <c r="F40" s="1307">
        <v>0</v>
      </c>
    </row>
    <row r="41" spans="1:6">
      <c r="A41" s="1306" t="s">
        <v>31</v>
      </c>
      <c r="B41" s="1306" t="s">
        <v>32</v>
      </c>
      <c r="C41" s="1307">
        <v>29</v>
      </c>
      <c r="D41" s="1307">
        <v>731096.16528565204</v>
      </c>
      <c r="E41" s="1307">
        <v>114</v>
      </c>
      <c r="F41" s="1307">
        <v>709100.69620192004</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33620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3</v>
      </c>
      <c r="D47" s="1307">
        <v>128082.82633641901</v>
      </c>
      <c r="E47" s="1307">
        <v>4</v>
      </c>
      <c r="F47" s="1307">
        <v>461241.14367428003</v>
      </c>
    </row>
    <row r="48" spans="1:6">
      <c r="A48" s="1306" t="s">
        <v>31</v>
      </c>
      <c r="B48" s="1306" t="s">
        <v>28</v>
      </c>
      <c r="C48" s="1307">
        <v>19</v>
      </c>
      <c r="D48" s="1307">
        <v>1078690.63682346</v>
      </c>
      <c r="E48" s="1307">
        <v>37</v>
      </c>
      <c r="F48" s="1307">
        <v>2054463.2353016499</v>
      </c>
    </row>
    <row r="49" spans="1:6">
      <c r="A49" s="1306" t="s">
        <v>31</v>
      </c>
      <c r="B49" s="1306" t="s">
        <v>39</v>
      </c>
      <c r="C49" s="1307">
        <v>0</v>
      </c>
      <c r="D49" s="1307">
        <v>0</v>
      </c>
      <c r="E49" s="1307">
        <v>0</v>
      </c>
      <c r="F49" s="1307">
        <v>0</v>
      </c>
    </row>
    <row r="50" spans="1:6">
      <c r="A50" s="1306" t="s">
        <v>31</v>
      </c>
      <c r="B50" s="1306" t="s">
        <v>40</v>
      </c>
      <c r="C50" s="1307">
        <v>11</v>
      </c>
      <c r="D50" s="1307">
        <v>822871.11277923395</v>
      </c>
      <c r="E50" s="1307">
        <v>15</v>
      </c>
      <c r="F50" s="1307">
        <v>604736.09852583904</v>
      </c>
    </row>
    <row r="51" spans="1:6">
      <c r="A51" s="1306" t="s">
        <v>41</v>
      </c>
      <c r="B51" s="1306" t="s">
        <v>42</v>
      </c>
      <c r="C51" s="1307">
        <v>3</v>
      </c>
      <c r="D51" s="1307">
        <v>64314.954399974798</v>
      </c>
      <c r="E51" s="1307">
        <v>108</v>
      </c>
      <c r="F51" s="1307">
        <v>2554877.3091849098</v>
      </c>
    </row>
    <row r="52" spans="1:6">
      <c r="A52" s="1306" t="s">
        <v>41</v>
      </c>
      <c r="B52" s="1306" t="s">
        <v>28</v>
      </c>
      <c r="C52" s="1307">
        <v>7</v>
      </c>
      <c r="D52" s="1307">
        <v>178737.883627826</v>
      </c>
      <c r="E52" s="1307">
        <v>9</v>
      </c>
      <c r="F52" s="1307">
        <v>211919.80069901701</v>
      </c>
    </row>
    <row r="53" spans="1:6">
      <c r="A53" s="1306" t="s">
        <v>43</v>
      </c>
      <c r="B53" s="1306" t="s">
        <v>44</v>
      </c>
      <c r="C53" s="1307">
        <v>84</v>
      </c>
      <c r="D53" s="1307">
        <v>1668009.36619518</v>
      </c>
      <c r="E53" s="1307">
        <v>238</v>
      </c>
      <c r="F53" s="1307">
        <v>1006956.18031198</v>
      </c>
    </row>
    <row r="54" spans="1:6">
      <c r="A54" s="1306" t="s">
        <v>45</v>
      </c>
      <c r="B54" s="1306" t="s">
        <v>46</v>
      </c>
      <c r="C54" s="1307">
        <v>0</v>
      </c>
      <c r="D54" s="1307">
        <v>0</v>
      </c>
      <c r="E54" s="1307">
        <v>1</v>
      </c>
      <c r="F54" s="1307">
        <v>854009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39</v>
      </c>
      <c r="D57" s="1307">
        <v>1879973.4811875401</v>
      </c>
      <c r="E57" s="1307">
        <v>75</v>
      </c>
      <c r="F57" s="1307">
        <v>1850388.87314987</v>
      </c>
    </row>
    <row r="58" spans="1:6">
      <c r="A58" s="1306" t="s">
        <v>48</v>
      </c>
      <c r="B58" s="1306" t="s">
        <v>50</v>
      </c>
      <c r="C58" s="1307">
        <v>13</v>
      </c>
      <c r="D58" s="1307">
        <v>337910.34382829</v>
      </c>
      <c r="E58" s="1307">
        <v>39</v>
      </c>
      <c r="F58" s="1307">
        <v>314190.238700243</v>
      </c>
    </row>
    <row r="59" spans="1:6">
      <c r="A59" s="1306" t="s">
        <v>48</v>
      </c>
      <c r="B59" s="1306" t="s">
        <v>51</v>
      </c>
      <c r="C59" s="1307">
        <v>76</v>
      </c>
      <c r="D59" s="1307">
        <v>4690435.1656547198</v>
      </c>
      <c r="E59" s="1307">
        <v>230</v>
      </c>
      <c r="F59" s="1307">
        <v>5863909.3851480102</v>
      </c>
    </row>
    <row r="60" spans="1:6">
      <c r="A60" s="1306" t="s">
        <v>48</v>
      </c>
      <c r="B60" s="1306" t="s">
        <v>52</v>
      </c>
      <c r="C60" s="1307">
        <v>37</v>
      </c>
      <c r="D60" s="1307">
        <v>1800720.6294370401</v>
      </c>
      <c r="E60" s="1307">
        <v>77</v>
      </c>
      <c r="F60" s="1307">
        <v>1375770.7169367999</v>
      </c>
    </row>
    <row r="61" spans="1:6">
      <c r="A61" s="1306" t="s">
        <v>48</v>
      </c>
      <c r="B61" s="1306" t="s">
        <v>53</v>
      </c>
      <c r="C61" s="1307">
        <v>100</v>
      </c>
      <c r="D61" s="1307">
        <v>6637138.4199178396</v>
      </c>
      <c r="E61" s="1307">
        <v>288</v>
      </c>
      <c r="F61" s="1307">
        <v>3882119.4149281401</v>
      </c>
    </row>
    <row r="62" spans="1:6">
      <c r="A62" s="1306" t="s">
        <v>48</v>
      </c>
      <c r="B62" s="1306" t="s">
        <v>54</v>
      </c>
      <c r="C62" s="1307">
        <v>7</v>
      </c>
      <c r="D62" s="1307">
        <v>1140339.70267474</v>
      </c>
      <c r="E62" s="1307">
        <v>7</v>
      </c>
      <c r="F62" s="1307">
        <v>215311.20256137601</v>
      </c>
    </row>
    <row r="63" spans="1:6">
      <c r="A63" s="1306" t="s">
        <v>48</v>
      </c>
      <c r="B63" s="1306" t="s">
        <v>28</v>
      </c>
      <c r="C63" s="1307">
        <v>88</v>
      </c>
      <c r="D63" s="1307">
        <v>6050545.0311461696</v>
      </c>
      <c r="E63" s="1307">
        <v>88</v>
      </c>
      <c r="F63" s="1307">
        <v>1847756.48837225</v>
      </c>
    </row>
    <row r="64" spans="1:6">
      <c r="A64" s="1306" t="s">
        <v>55</v>
      </c>
      <c r="B64" s="1306" t="s">
        <v>56</v>
      </c>
      <c r="C64" s="1307">
        <v>0</v>
      </c>
      <c r="D64" s="1307">
        <v>0</v>
      </c>
      <c r="E64" s="1307">
        <v>0</v>
      </c>
      <c r="F64" s="1307">
        <v>0</v>
      </c>
    </row>
    <row r="65" spans="1:6">
      <c r="A65" s="1306" t="s">
        <v>55</v>
      </c>
      <c r="B65" s="1306" t="s">
        <v>28</v>
      </c>
      <c r="C65" s="1307">
        <v>1</v>
      </c>
      <c r="D65" s="1307">
        <v>22036.8455061276</v>
      </c>
      <c r="E65" s="1307">
        <v>2</v>
      </c>
      <c r="F65" s="1307">
        <v>10049.658309926799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8</v>
      </c>
      <c r="D68" s="1310">
        <v>177731.78235591899</v>
      </c>
      <c r="E68" s="1310">
        <v>18</v>
      </c>
      <c r="F68" s="1310">
        <v>109284.30894960499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32015670</v>
      </c>
      <c r="E73" s="456"/>
      <c r="F73" s="332"/>
    </row>
    <row r="74" spans="1:6">
      <c r="A74" s="1306" t="s">
        <v>63</v>
      </c>
      <c r="B74" s="1306" t="s">
        <v>724</v>
      </c>
      <c r="C74" s="1320" t="s">
        <v>725</v>
      </c>
      <c r="D74" s="1321">
        <v>883216.48078114912</v>
      </c>
      <c r="E74" s="456"/>
      <c r="F74" s="332"/>
    </row>
    <row r="75" spans="1:6">
      <c r="A75" s="1306" t="s">
        <v>64</v>
      </c>
      <c r="B75" s="1306" t="s">
        <v>722</v>
      </c>
      <c r="C75" s="1320" t="s">
        <v>726</v>
      </c>
      <c r="D75" s="1321">
        <v>51576693</v>
      </c>
      <c r="E75" s="456"/>
      <c r="F75" s="332"/>
    </row>
    <row r="76" spans="1:6">
      <c r="A76" s="1306" t="s">
        <v>64</v>
      </c>
      <c r="B76" s="1306" t="s">
        <v>724</v>
      </c>
      <c r="C76" s="1320" t="s">
        <v>727</v>
      </c>
      <c r="D76" s="1321">
        <v>1860694.4807811491</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423501.0384377017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2612.9097186998729</v>
      </c>
      <c r="C91" s="332"/>
      <c r="D91" s="332"/>
      <c r="E91" s="332"/>
      <c r="F91" s="332"/>
    </row>
    <row r="92" spans="1:6">
      <c r="A92" s="1301" t="s">
        <v>68</v>
      </c>
      <c r="B92" s="1302">
        <v>974.16313642939679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1490</v>
      </c>
      <c r="C97" s="332"/>
      <c r="D97" s="332"/>
      <c r="E97" s="332"/>
      <c r="F97" s="332"/>
    </row>
    <row r="98" spans="1:6">
      <c r="A98" s="1306" t="s">
        <v>71</v>
      </c>
      <c r="B98" s="1307">
        <v>2</v>
      </c>
      <c r="C98" s="332"/>
      <c r="D98" s="332"/>
      <c r="E98" s="332"/>
      <c r="F98" s="332"/>
    </row>
    <row r="99" spans="1:6">
      <c r="A99" s="1306" t="s">
        <v>72</v>
      </c>
      <c r="B99" s="1307">
        <v>41</v>
      </c>
      <c r="C99" s="332"/>
      <c r="D99" s="332"/>
      <c r="E99" s="332"/>
      <c r="F99" s="332"/>
    </row>
    <row r="100" spans="1:6">
      <c r="A100" s="1306" t="s">
        <v>73</v>
      </c>
      <c r="B100" s="1307">
        <v>697</v>
      </c>
      <c r="C100" s="332"/>
      <c r="D100" s="332"/>
      <c r="E100" s="332"/>
      <c r="F100" s="332"/>
    </row>
    <row r="101" spans="1:6">
      <c r="A101" s="1306" t="s">
        <v>74</v>
      </c>
      <c r="B101" s="1307">
        <v>39</v>
      </c>
      <c r="C101" s="332"/>
      <c r="D101" s="332"/>
      <c r="E101" s="332"/>
      <c r="F101" s="332"/>
    </row>
    <row r="102" spans="1:6">
      <c r="A102" s="1306" t="s">
        <v>75</v>
      </c>
      <c r="B102" s="1307">
        <v>62</v>
      </c>
      <c r="C102" s="332"/>
      <c r="D102" s="332"/>
      <c r="E102" s="332"/>
      <c r="F102" s="332"/>
    </row>
    <row r="103" spans="1:6">
      <c r="A103" s="1306" t="s">
        <v>76</v>
      </c>
      <c r="B103" s="1307">
        <v>137</v>
      </c>
      <c r="C103" s="332"/>
      <c r="D103" s="332"/>
      <c r="E103" s="332"/>
      <c r="F103" s="332"/>
    </row>
    <row r="104" spans="1:6">
      <c r="A104" s="1306" t="s">
        <v>77</v>
      </c>
      <c r="B104" s="1307">
        <v>3027</v>
      </c>
      <c r="C104" s="332"/>
      <c r="D104" s="332"/>
      <c r="E104" s="332"/>
      <c r="F104" s="332"/>
    </row>
    <row r="105" spans="1:6">
      <c r="A105" s="1301" t="s">
        <v>78</v>
      </c>
      <c r="B105" s="1310">
        <v>11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2</v>
      </c>
      <c r="C121" s="1307">
        <v>0</v>
      </c>
      <c r="D121" s="332"/>
      <c r="E121" s="332"/>
      <c r="F121" s="332"/>
    </row>
    <row r="122" spans="1:6">
      <c r="A122" s="1306" t="s">
        <v>86</v>
      </c>
      <c r="B122" s="1307">
        <v>0</v>
      </c>
      <c r="C122" s="1307">
        <v>0</v>
      </c>
      <c r="D122" s="332"/>
      <c r="E122" s="332"/>
      <c r="F122" s="332"/>
    </row>
    <row r="123" spans="1:6">
      <c r="A123" s="1306" t="s">
        <v>87</v>
      </c>
      <c r="B123" s="1307">
        <v>17</v>
      </c>
      <c r="C123" s="1307">
        <v>9</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69</v>
      </c>
      <c r="C129" s="332"/>
      <c r="D129" s="332"/>
      <c r="E129" s="332"/>
      <c r="F129" s="332"/>
    </row>
    <row r="130" spans="1:6">
      <c r="A130" s="1306" t="s">
        <v>294</v>
      </c>
      <c r="B130" s="1307">
        <v>2</v>
      </c>
      <c r="C130" s="332"/>
      <c r="D130" s="332"/>
      <c r="E130" s="332"/>
      <c r="F130" s="332"/>
    </row>
    <row r="131" spans="1:6">
      <c r="A131" s="1306" t="s">
        <v>295</v>
      </c>
      <c r="B131" s="1307">
        <v>1</v>
      </c>
      <c r="C131" s="332"/>
      <c r="D131" s="332"/>
      <c r="E131" s="332"/>
      <c r="F131" s="332"/>
    </row>
    <row r="132" spans="1:6">
      <c r="A132" s="1301" t="s">
        <v>296</v>
      </c>
      <c r="B132" s="1302">
        <v>18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56684.465899195704</v>
      </c>
      <c r="C3" s="43" t="s">
        <v>169</v>
      </c>
      <c r="D3" s="43"/>
      <c r="E3" s="156"/>
      <c r="F3" s="43"/>
      <c r="G3" s="43"/>
      <c r="H3" s="43"/>
      <c r="I3" s="43"/>
      <c r="J3" s="43"/>
      <c r="K3" s="96"/>
    </row>
    <row r="4" spans="1:11">
      <c r="A4" s="363" t="s">
        <v>170</v>
      </c>
      <c r="B4" s="49">
        <f>IF(ISERROR('SEAP template'!B78+'SEAP template'!C78),0,'SEAP template'!B78+'SEAP template'!C78)</f>
        <v>3630.7228551292696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0.20684462712570159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62.357142857142847</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854.00900000000001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854.00900000000001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0.20684462712570159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176.6471731669933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30227.577727259901</v>
      </c>
      <c r="C5" s="17">
        <f>IF(ISERROR('Eigen informatie GS &amp; warmtenet'!B57),0,'Eigen informatie GS &amp; warmtenet'!B57)</f>
        <v>0</v>
      </c>
      <c r="D5" s="30">
        <f>(SUM(HH_hh_gas_kWh,HH_rest_gas_kWh)/1000)*0.902</f>
        <v>51197.054765534667</v>
      </c>
      <c r="E5" s="17">
        <f>B46*B57</f>
        <v>2310.8903155061125</v>
      </c>
      <c r="F5" s="17">
        <f>B51*B62</f>
        <v>34765.201539775306</v>
      </c>
      <c r="G5" s="18"/>
      <c r="H5" s="17"/>
      <c r="I5" s="17"/>
      <c r="J5" s="17">
        <f>B50*B61+C50*C61</f>
        <v>0</v>
      </c>
      <c r="K5" s="17"/>
      <c r="L5" s="17"/>
      <c r="M5" s="17"/>
      <c r="N5" s="17">
        <f>B48*B59+C48*C59</f>
        <v>7524.2614789305253</v>
      </c>
      <c r="O5" s="17">
        <f>B69*B70*B71</f>
        <v>121.94000000000001</v>
      </c>
      <c r="P5" s="17">
        <f>B77*B78*B79/1000-B77*B78*B79/1000/B80</f>
        <v>667.33333333333337</v>
      </c>
    </row>
    <row r="6" spans="1:16">
      <c r="A6" s="16" t="s">
        <v>633</v>
      </c>
      <c r="B6" s="779">
        <f>kWh_PV_kleiner_dan_10kW</f>
        <v>2612.9097186998729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32840.48744595977</v>
      </c>
      <c r="C8" s="21">
        <f>C5</f>
        <v>0</v>
      </c>
      <c r="D8" s="21">
        <f>D5</f>
        <v>51197.054765534667</v>
      </c>
      <c r="E8" s="21">
        <f>E5</f>
        <v>2310.8903155061125</v>
      </c>
      <c r="F8" s="21">
        <f>F5</f>
        <v>34765.201539775306</v>
      </c>
      <c r="G8" s="21"/>
      <c r="H8" s="21"/>
      <c r="I8" s="21"/>
      <c r="J8" s="21">
        <f>J5</f>
        <v>0</v>
      </c>
      <c r="K8" s="21"/>
      <c r="L8" s="21">
        <f>L5</f>
        <v>0</v>
      </c>
      <c r="M8" s="21">
        <f>M5</f>
        <v>0</v>
      </c>
      <c r="N8" s="21">
        <f>N5</f>
        <v>7524.2614789305253</v>
      </c>
      <c r="O8" s="21">
        <f>O5</f>
        <v>121.94000000000001</v>
      </c>
      <c r="P8" s="21">
        <f>P5</f>
        <v>667.33333333333337</v>
      </c>
    </row>
    <row r="9" spans="1:16">
      <c r="B9" s="19"/>
      <c r="C9" s="19"/>
      <c r="D9" s="261"/>
      <c r="E9" s="19"/>
      <c r="F9" s="19"/>
      <c r="G9" s="19"/>
      <c r="H9" s="19"/>
      <c r="I9" s="19"/>
      <c r="J9" s="19"/>
      <c r="K9" s="19"/>
      <c r="L9" s="19"/>
      <c r="M9" s="19"/>
      <c r="N9" s="19"/>
      <c r="O9" s="19"/>
      <c r="P9" s="19"/>
    </row>
    <row r="10" spans="1:16">
      <c r="A10" s="24" t="s">
        <v>213</v>
      </c>
      <c r="B10" s="25">
        <f ca="1">'EF ele_warmte'!B12</f>
        <v>0.20684462712570159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6792.8783803858332</v>
      </c>
      <c r="C12" s="23">
        <f ca="1">C10*C8</f>
        <v>0</v>
      </c>
      <c r="D12" s="23">
        <f>D8*D10</f>
        <v>10341.805062638003</v>
      </c>
      <c r="E12" s="23">
        <f>E10*E8</f>
        <v>524.57210161988758</v>
      </c>
      <c r="F12" s="23">
        <f>F10*F8</f>
        <v>9282.3088111200068</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1490</v>
      </c>
      <c r="C18" s="168" t="s">
        <v>110</v>
      </c>
      <c r="D18" s="230"/>
      <c r="E18" s="15"/>
    </row>
    <row r="19" spans="1:7">
      <c r="A19" s="173" t="s">
        <v>71</v>
      </c>
      <c r="B19" s="37">
        <f>aantalw2001_ander</f>
        <v>2</v>
      </c>
      <c r="C19" s="168" t="s">
        <v>110</v>
      </c>
      <c r="D19" s="231"/>
      <c r="E19" s="15"/>
    </row>
    <row r="20" spans="1:7">
      <c r="A20" s="173" t="s">
        <v>72</v>
      </c>
      <c r="B20" s="37">
        <f>aantalw2001_propaan</f>
        <v>41</v>
      </c>
      <c r="C20" s="169">
        <f>IF(ISERROR(B20/SUM($B$20,$B$21,$B$22)*100),0,B20/SUM($B$20,$B$21,$B$22)*100)</f>
        <v>5.2767052767052771</v>
      </c>
      <c r="D20" s="231"/>
      <c r="E20" s="15"/>
    </row>
    <row r="21" spans="1:7">
      <c r="A21" s="173" t="s">
        <v>73</v>
      </c>
      <c r="B21" s="37">
        <f>aantalw2001_elektriciteit</f>
        <v>697</v>
      </c>
      <c r="C21" s="169">
        <f>IF(ISERROR(B21/SUM($B$20,$B$21,$B$22)*100),0,B21/SUM($B$20,$B$21,$B$22)*100)</f>
        <v>89.703989703989706</v>
      </c>
      <c r="D21" s="231"/>
      <c r="E21" s="15"/>
    </row>
    <row r="22" spans="1:7">
      <c r="A22" s="173" t="s">
        <v>74</v>
      </c>
      <c r="B22" s="37">
        <f>aantalw2001_hout</f>
        <v>39</v>
      </c>
      <c r="C22" s="169">
        <f>IF(ISERROR(B22/SUM($B$20,$B$21,$B$22)*100),0,B22/SUM($B$20,$B$21,$B$22)*100)</f>
        <v>5.019305019305019</v>
      </c>
      <c r="D22" s="231"/>
      <c r="E22" s="15"/>
    </row>
    <row r="23" spans="1:7">
      <c r="A23" s="173" t="s">
        <v>75</v>
      </c>
      <c r="B23" s="37">
        <f>aantalw2001_niet_gespec</f>
        <v>62</v>
      </c>
      <c r="C23" s="168" t="s">
        <v>110</v>
      </c>
      <c r="D23" s="230"/>
      <c r="E23" s="15"/>
    </row>
    <row r="24" spans="1:7">
      <c r="A24" s="173" t="s">
        <v>76</v>
      </c>
      <c r="B24" s="37">
        <f>aantalw2001_steenkool</f>
        <v>137</v>
      </c>
      <c r="C24" s="168" t="s">
        <v>110</v>
      </c>
      <c r="D24" s="231"/>
      <c r="E24" s="15"/>
    </row>
    <row r="25" spans="1:7">
      <c r="A25" s="173" t="s">
        <v>77</v>
      </c>
      <c r="B25" s="37">
        <f>aantalw2001_stookolie</f>
        <v>3027</v>
      </c>
      <c r="C25" s="168" t="s">
        <v>110</v>
      </c>
      <c r="D25" s="230"/>
      <c r="E25" s="52"/>
    </row>
    <row r="26" spans="1:7">
      <c r="A26" s="173" t="s">
        <v>78</v>
      </c>
      <c r="B26" s="37">
        <f>aantalw2001_WP</f>
        <v>11</v>
      </c>
      <c r="C26" s="168" t="s">
        <v>110</v>
      </c>
      <c r="D26" s="230"/>
      <c r="E26" s="15"/>
    </row>
    <row r="27" spans="1:7" s="15" customFormat="1">
      <c r="A27" s="173"/>
      <c r="B27" s="29"/>
      <c r="C27" s="36"/>
      <c r="D27" s="230"/>
    </row>
    <row r="28" spans="1:7" s="15" customFormat="1">
      <c r="A28" s="232" t="s">
        <v>742</v>
      </c>
      <c r="B28" s="37">
        <f>aantalHuishoudens</f>
        <v>6634</v>
      </c>
      <c r="C28" s="36"/>
      <c r="D28" s="230"/>
    </row>
    <row r="29" spans="1:7" s="15" customFormat="1">
      <c r="A29" s="232" t="s">
        <v>743</v>
      </c>
      <c r="B29" s="37">
        <f>SUM(HH_hh_gas_aantal,HH_rest_gas_aantal)</f>
        <v>3212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3212</v>
      </c>
      <c r="C32" s="169">
        <f>IF(ISERROR(B32/SUM($B$32,$B$34,$B$35,$B$36,$B$38,$B$39)*100),0,B32/SUM($B$32,$B$34,$B$35,$B$36,$B$38,$B$39)*100)</f>
        <v>48.674041521442639</v>
      </c>
      <c r="D32" s="235"/>
      <c r="G32" s="15"/>
    </row>
    <row r="33" spans="1:7">
      <c r="A33" s="173" t="s">
        <v>71</v>
      </c>
      <c r="B33" s="34" t="s">
        <v>110</v>
      </c>
      <c r="C33" s="169"/>
      <c r="D33" s="235"/>
      <c r="G33" s="15"/>
    </row>
    <row r="34" spans="1:7">
      <c r="A34" s="173" t="s">
        <v>72</v>
      </c>
      <c r="B34" s="33">
        <f>IF((($B$28-$B$32-$B$39-$B$77-$B$38)*C20/100)&lt;0,0,($B$28-$B$32-$B$39-$B$77-$B$38)*C20/100)</f>
        <v>100.77451737451739</v>
      </c>
      <c r="C34" s="169">
        <f>IF(ISERROR(B34/SUM($B$32,$B$34,$B$35,$B$36,$B$38,$B$39)*100),0,B34/SUM($B$32,$B$34,$B$35,$B$36,$B$38,$B$39)*100)</f>
        <v>1.5271180084030518</v>
      </c>
      <c r="D34" s="235"/>
      <c r="G34" s="15"/>
    </row>
    <row r="35" spans="1:7">
      <c r="A35" s="173" t="s">
        <v>73</v>
      </c>
      <c r="B35" s="33">
        <f>IF((($B$28-$B$32-$B$39-$B$77-$B$38)*C21/100)&lt;0,0,($B$28-$B$32-$B$39-$B$77-$B$38)*C21/100)</f>
        <v>1713.1667953667952</v>
      </c>
      <c r="C35" s="169">
        <f>IF(ISERROR(B35/SUM($B$32,$B$34,$B$35,$B$36,$B$38,$B$39)*100),0,B35/SUM($B$32,$B$34,$B$35,$B$36,$B$38,$B$39)*100)</f>
        <v>25.961006142851872</v>
      </c>
      <c r="D35" s="235"/>
      <c r="G35" s="15"/>
    </row>
    <row r="36" spans="1:7">
      <c r="A36" s="173" t="s">
        <v>74</v>
      </c>
      <c r="B36" s="33">
        <f>IF((($B$28-$B$32-$B$39-$B$77-$B$38)*C22/100)&lt;0,0,($B$28-$B$32-$B$39-$B$77-$B$38)*C22/100)</f>
        <v>95.858687258687254</v>
      </c>
      <c r="C36" s="169">
        <f>IF(ISERROR(B36/SUM($B$32,$B$34,$B$35,$B$36,$B$38,$B$39)*100),0,B36/SUM($B$32,$B$34,$B$35,$B$36,$B$38,$B$39)*100)</f>
        <v>1.4526244470175369</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1477.2</v>
      </c>
      <c r="C39" s="169">
        <f>IF(ISERROR(B39/SUM($B$32,$B$34,$B$35,$B$36,$B$38,$B$39)*100),0,B39/SUM($B$32,$B$34,$B$35,$B$36,$B$38,$B$39)*100)</f>
        <v>22.385209880284894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3212</v>
      </c>
      <c r="C44" s="34" t="s">
        <v>110</v>
      </c>
      <c r="D44" s="176"/>
    </row>
    <row r="45" spans="1:7">
      <c r="A45" s="173" t="s">
        <v>71</v>
      </c>
      <c r="B45" s="33" t="str">
        <f t="shared" si="0"/>
        <v>-</v>
      </c>
      <c r="C45" s="34" t="s">
        <v>110</v>
      </c>
      <c r="D45" s="176"/>
    </row>
    <row r="46" spans="1:7">
      <c r="A46" s="173" t="s">
        <v>72</v>
      </c>
      <c r="B46" s="33">
        <f t="shared" si="0"/>
        <v>100.77451737451739</v>
      </c>
      <c r="C46" s="34" t="s">
        <v>110</v>
      </c>
      <c r="D46" s="176"/>
    </row>
    <row r="47" spans="1:7">
      <c r="A47" s="173" t="s">
        <v>73</v>
      </c>
      <c r="B47" s="33">
        <f t="shared" si="0"/>
        <v>1713.1667953667952</v>
      </c>
      <c r="C47" s="34" t="s">
        <v>110</v>
      </c>
      <c r="D47" s="176"/>
    </row>
    <row r="48" spans="1:7">
      <c r="A48" s="173" t="s">
        <v>74</v>
      </c>
      <c r="B48" s="33">
        <f t="shared" si="0"/>
        <v>95.858687258687254</v>
      </c>
      <c r="C48" s="33">
        <f>B48*10</f>
        <v>958.58687258687257</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1477.2</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78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15349.446319796689</v>
      </c>
      <c r="C5" s="17">
        <f>IF(ISERROR('Eigen informatie GS &amp; warmtenet'!B58),0,'Eigen informatie GS &amp; warmtenet'!B58)</f>
        <v>0</v>
      </c>
      <c r="D5" s="30">
        <f>SUM(D6:D12)</f>
        <v>20328.4306220094</v>
      </c>
      <c r="E5" s="17">
        <f>SUM(E6:E12)</f>
        <v>208.55660725931241</v>
      </c>
      <c r="F5" s="17">
        <f>SUM(F6:F12)</f>
        <v>3052.9668887665262</v>
      </c>
      <c r="G5" s="18"/>
      <c r="H5" s="17"/>
      <c r="I5" s="17"/>
      <c r="J5" s="17">
        <f>SUM(J6:J12)</f>
        <v>0</v>
      </c>
      <c r="K5" s="17"/>
      <c r="L5" s="17"/>
      <c r="M5" s="17"/>
      <c r="N5" s="17">
        <f>SUM(N6:N12)</f>
        <v>1457.9908446284437</v>
      </c>
      <c r="O5" s="17">
        <f>B38*B39*B40</f>
        <v>3.1266666666666669</v>
      </c>
      <c r="P5" s="17">
        <f>B46*B47*B48/1000-B46*B47*B48/1000/B49</f>
        <v>57.2</v>
      </c>
      <c r="R5" s="32"/>
    </row>
    <row r="6" spans="1:18">
      <c r="A6" s="32" t="s">
        <v>53</v>
      </c>
      <c r="B6" s="37">
        <f>B26</f>
        <v>3882.11941492814</v>
      </c>
      <c r="C6" s="33"/>
      <c r="D6" s="37">
        <f>IF(ISERROR(TER_kantoor_gas_kWh/1000),0,TER_kantoor_gas_kWh/1000)*0.902</f>
        <v>5986.6988547658912</v>
      </c>
      <c r="E6" s="33">
        <f>$C$26*'E Balans VL '!I12/100/3.6*1000000</f>
        <v>15.082855819563404</v>
      </c>
      <c r="F6" s="33">
        <f>$C$26*('E Balans VL '!L12+'E Balans VL '!N12)/100/3.6*1000000</f>
        <v>590.43503854020526</v>
      </c>
      <c r="G6" s="34"/>
      <c r="H6" s="33"/>
      <c r="I6" s="33"/>
      <c r="J6" s="33">
        <f>$C$26*('E Balans VL '!D12+'E Balans VL '!E12)/100/3.6*1000000</f>
        <v>0</v>
      </c>
      <c r="K6" s="33"/>
      <c r="L6" s="33"/>
      <c r="M6" s="33"/>
      <c r="N6" s="33">
        <f>$C$26*'E Balans VL '!Y12/100/3.6*1000000</f>
        <v>2.139512864078148</v>
      </c>
      <c r="O6" s="33"/>
      <c r="P6" s="33"/>
      <c r="R6" s="32"/>
    </row>
    <row r="7" spans="1:18">
      <c r="A7" s="32" t="s">
        <v>52</v>
      </c>
      <c r="B7" s="37">
        <f t="shared" ref="B7:B12" si="0">B27</f>
        <v>1375.7707169368</v>
      </c>
      <c r="C7" s="33"/>
      <c r="D7" s="37">
        <f>IF(ISERROR(TER_horeca_gas_kWh/1000),0,TER_horeca_gas_kWh/1000)*0.902</f>
        <v>1624.2500077522102</v>
      </c>
      <c r="E7" s="33">
        <f>$C$27*'E Balans VL '!I9/100/3.6*1000000</f>
        <v>77.497532305198305</v>
      </c>
      <c r="F7" s="33">
        <f>$C$27*('E Balans VL '!L9+'E Balans VL '!N9)/100/3.6*1000000</f>
        <v>396.68990905316349</v>
      </c>
      <c r="G7" s="34"/>
      <c r="H7" s="33"/>
      <c r="I7" s="33"/>
      <c r="J7" s="33">
        <f>$C$27*('E Balans VL '!D9+'E Balans VL '!E9)/100/3.6*1000000</f>
        <v>0</v>
      </c>
      <c r="K7" s="33"/>
      <c r="L7" s="33"/>
      <c r="M7" s="33"/>
      <c r="N7" s="33">
        <f>$C$27*'E Balans VL '!Y9/100/3.6*1000000</f>
        <v>0.37984314576896117</v>
      </c>
      <c r="O7" s="33"/>
      <c r="P7" s="33"/>
      <c r="R7" s="32"/>
    </row>
    <row r="8" spans="1:18">
      <c r="A8" s="6" t="s">
        <v>51</v>
      </c>
      <c r="B8" s="37">
        <f t="shared" si="0"/>
        <v>5863.9093851480102</v>
      </c>
      <c r="C8" s="33"/>
      <c r="D8" s="37">
        <f>IF(ISERROR(TER_handel_gas_kWh/1000),0,TER_handel_gas_kWh/1000)*0.902</f>
        <v>4230.7725194205568</v>
      </c>
      <c r="E8" s="33">
        <f>$C$28*'E Balans VL '!I13/100/3.6*1000000</f>
        <v>84.518828505531133</v>
      </c>
      <c r="F8" s="33">
        <f>$C$28*('E Balans VL '!L13+'E Balans VL '!N13)/100/3.6*1000000</f>
        <v>1018.6976214347941</v>
      </c>
      <c r="G8" s="34"/>
      <c r="H8" s="33"/>
      <c r="I8" s="33"/>
      <c r="J8" s="33">
        <f>$C$28*('E Balans VL '!D13+'E Balans VL '!E13)/100/3.6*1000000</f>
        <v>0</v>
      </c>
      <c r="K8" s="33"/>
      <c r="L8" s="33"/>
      <c r="M8" s="33"/>
      <c r="N8" s="33">
        <f>$C$28*'E Balans VL '!Y13/100/3.6*1000000</f>
        <v>17.568925301743636</v>
      </c>
      <c r="O8" s="33"/>
      <c r="P8" s="33"/>
      <c r="R8" s="32"/>
    </row>
    <row r="9" spans="1:18">
      <c r="A9" s="32" t="s">
        <v>50</v>
      </c>
      <c r="B9" s="37">
        <f t="shared" si="0"/>
        <v>314.19023870024301</v>
      </c>
      <c r="C9" s="33"/>
      <c r="D9" s="37">
        <f>IF(ISERROR(TER_gezond_gas_kWh/1000),0,TER_gezond_gas_kWh/1000)*0.902</f>
        <v>304.7951301331176</v>
      </c>
      <c r="E9" s="33">
        <f>$C$29*'E Balans VL '!I10/100/3.6*1000000</f>
        <v>0.33563661005112061</v>
      </c>
      <c r="F9" s="33">
        <f>$C$29*('E Balans VL '!L10+'E Balans VL '!N10)/100/3.6*1000000</f>
        <v>51.253976531677218</v>
      </c>
      <c r="G9" s="34"/>
      <c r="H9" s="33"/>
      <c r="I9" s="33"/>
      <c r="J9" s="33">
        <f>$C$29*('E Balans VL '!D10+'E Balans VL '!E10)/100/3.6*1000000</f>
        <v>0</v>
      </c>
      <c r="K9" s="33"/>
      <c r="L9" s="33"/>
      <c r="M9" s="33"/>
      <c r="N9" s="33">
        <f>$C$29*'E Balans VL '!Y10/100/3.6*1000000</f>
        <v>3.2344092340453581</v>
      </c>
      <c r="O9" s="33"/>
      <c r="P9" s="33"/>
      <c r="R9" s="32"/>
    </row>
    <row r="10" spans="1:18">
      <c r="A10" s="32" t="s">
        <v>49</v>
      </c>
      <c r="B10" s="37">
        <f t="shared" si="0"/>
        <v>1850.3888731498701</v>
      </c>
      <c r="C10" s="33"/>
      <c r="D10" s="37">
        <f>IF(ISERROR(TER_ander_gas_kWh/1000),0,TER_ander_gas_kWh/1000)*0.902</f>
        <v>1695.7360800311612</v>
      </c>
      <c r="E10" s="33">
        <f>$C$30*'E Balans VL '!I14/100/3.6*1000000</f>
        <v>8.5096569625744714</v>
      </c>
      <c r="F10" s="33">
        <f>$C$30*('E Balans VL '!L14+'E Balans VL '!N14)/100/3.6*1000000</f>
        <v>554.61991179395773</v>
      </c>
      <c r="G10" s="34"/>
      <c r="H10" s="33"/>
      <c r="I10" s="33"/>
      <c r="J10" s="33">
        <f>$C$30*('E Balans VL '!D14+'E Balans VL '!E14)/100/3.6*1000000</f>
        <v>0</v>
      </c>
      <c r="K10" s="33"/>
      <c r="L10" s="33"/>
      <c r="M10" s="33"/>
      <c r="N10" s="33">
        <f>$C$30*'E Balans VL '!Y14/100/3.6*1000000</f>
        <v>1287.9928013041931</v>
      </c>
      <c r="O10" s="33"/>
      <c r="P10" s="33"/>
      <c r="R10" s="32"/>
    </row>
    <row r="11" spans="1:18">
      <c r="A11" s="32" t="s">
        <v>54</v>
      </c>
      <c r="B11" s="37">
        <f t="shared" si="0"/>
        <v>215.31120256137601</v>
      </c>
      <c r="C11" s="33"/>
      <c r="D11" s="37">
        <f>IF(ISERROR(TER_onderwijs_gas_kWh/1000),0,TER_onderwijs_gas_kWh/1000)*0.902</f>
        <v>1028.5864118126156</v>
      </c>
      <c r="E11" s="33">
        <f>$C$31*'E Balans VL '!I11/100/3.6*1000000</f>
        <v>0.19972945568886294</v>
      </c>
      <c r="F11" s="33">
        <f>$C$31*('E Balans VL '!L11+'E Balans VL '!N11)/100/3.6*1000000</f>
        <v>75.633876887604131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1847.75648837225</v>
      </c>
      <c r="C12" s="33"/>
      <c r="D12" s="37">
        <f>IF(ISERROR(TER_rest_gas_kWh/1000),0,TER_rest_gas_kWh/1000)*0.902</f>
        <v>5457.5916180938457</v>
      </c>
      <c r="E12" s="33">
        <f>$C$32*'E Balans VL '!I8/100/3.6*1000000</f>
        <v>22.412367600705089</v>
      </c>
      <c r="F12" s="33">
        <f>$C$32*('E Balans VL '!L8+'E Balans VL '!N8)/100/3.6*1000000</f>
        <v>365.63655452512427</v>
      </c>
      <c r="G12" s="34"/>
      <c r="H12" s="33"/>
      <c r="I12" s="33"/>
      <c r="J12" s="33">
        <f>$C$32*('E Balans VL '!D8+'E Balans VL '!E8)/100/3.6*1000000</f>
        <v>0</v>
      </c>
      <c r="K12" s="33"/>
      <c r="L12" s="33"/>
      <c r="M12" s="33"/>
      <c r="N12" s="33">
        <f>$C$32*'E Balans VL '!Y8/100/3.6*1000000</f>
        <v>146.67535277861455</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15349.446319796689</v>
      </c>
      <c r="C16" s="21">
        <f t="shared" ca="1" si="1"/>
        <v>0</v>
      </c>
      <c r="D16" s="21">
        <f t="shared" ca="1" si="1"/>
        <v>20328.4306220094</v>
      </c>
      <c r="E16" s="21">
        <f t="shared" si="1"/>
        <v>208.55660725931241</v>
      </c>
      <c r="F16" s="21">
        <f t="shared" ca="1" si="1"/>
        <v>3052.9668887665262</v>
      </c>
      <c r="G16" s="21">
        <f t="shared" si="1"/>
        <v>0</v>
      </c>
      <c r="H16" s="21">
        <f t="shared" si="1"/>
        <v>0</v>
      </c>
      <c r="I16" s="21">
        <f t="shared" si="1"/>
        <v>0</v>
      </c>
      <c r="J16" s="21">
        <f t="shared" si="1"/>
        <v>0</v>
      </c>
      <c r="K16" s="21">
        <f t="shared" si="1"/>
        <v>0</v>
      </c>
      <c r="L16" s="21">
        <f t="shared" ca="1" si="1"/>
        <v>0</v>
      </c>
      <c r="M16" s="21">
        <f t="shared" si="1"/>
        <v>0</v>
      </c>
      <c r="N16" s="21">
        <f t="shared" ca="1" si="1"/>
        <v>1457.9908446284437</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0.20684462712570159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3174.9505006043187</v>
      </c>
      <c r="C20" s="23">
        <f t="shared" ref="C20:P20" ca="1" si="2">C16*C18</f>
        <v>0</v>
      </c>
      <c r="D20" s="23">
        <f t="shared" ca="1" si="2"/>
        <v>4106.3429856458988</v>
      </c>
      <c r="E20" s="23">
        <f t="shared" si="2"/>
        <v>47.342349847863922</v>
      </c>
      <c r="F20" s="23">
        <f t="shared" ca="1" si="2"/>
        <v>815.14215930066257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3882.11941492814</v>
      </c>
      <c r="C26" s="39">
        <f>IF(ISERROR(B26*3.6/1000000/'E Balans VL '!Z12*100),0,B26*3.6/1000000/'E Balans VL '!Z12*100)</f>
        <v>8.2458139325051499E-2</v>
      </c>
      <c r="D26" s="239" t="s">
        <v>689</v>
      </c>
      <c r="F26" s="6"/>
    </row>
    <row r="27" spans="1:18">
      <c r="A27" s="233" t="s">
        <v>52</v>
      </c>
      <c r="B27" s="33">
        <f>IF(ISERROR(TER_horeca_ele_kWh/1000),0,TER_horeca_ele_kWh/1000)</f>
        <v>1375.7707169368</v>
      </c>
      <c r="C27" s="39">
        <f>IF(ISERROR(B27*3.6/1000000/'E Balans VL '!Z9*100),0,B27*3.6/1000000/'E Balans VL '!Z9*100)</f>
        <v>0.10697455179321941</v>
      </c>
      <c r="D27" s="239" t="s">
        <v>689</v>
      </c>
      <c r="F27" s="6"/>
    </row>
    <row r="28" spans="1:18">
      <c r="A28" s="173" t="s">
        <v>51</v>
      </c>
      <c r="B28" s="33">
        <f>IF(ISERROR(TER_handel_ele_kWh/1000),0,TER_handel_ele_kWh/1000)</f>
        <v>5863.9093851480102</v>
      </c>
      <c r="C28" s="39">
        <f>IF(ISERROR(B28*3.6/1000000/'E Balans VL '!Z13*100),0,B28*3.6/1000000/'E Balans VL '!Z13*100)</f>
        <v>0.1677733486400757</v>
      </c>
      <c r="D28" s="239" t="s">
        <v>689</v>
      </c>
      <c r="F28" s="6"/>
    </row>
    <row r="29" spans="1:18">
      <c r="A29" s="233" t="s">
        <v>50</v>
      </c>
      <c r="B29" s="33">
        <f>IF(ISERROR(TER_gezond_ele_kWh/1000),0,TER_gezond_ele_kWh/1000)</f>
        <v>314.19023870024301</v>
      </c>
      <c r="C29" s="39">
        <f>IF(ISERROR(B29*3.6/1000000/'E Balans VL '!Z10*100),0,B29*3.6/1000000/'E Balans VL '!Z10*100)</f>
        <v>3.4254036923862946E-2</v>
      </c>
      <c r="D29" s="239" t="s">
        <v>689</v>
      </c>
      <c r="F29" s="6"/>
    </row>
    <row r="30" spans="1:18">
      <c r="A30" s="233" t="s">
        <v>49</v>
      </c>
      <c r="B30" s="33">
        <f>IF(ISERROR(TER_ander_ele_kWh/1000),0,TER_ander_ele_kWh/1000)</f>
        <v>1850.3888731498701</v>
      </c>
      <c r="C30" s="39">
        <f>IF(ISERROR(B30*3.6/1000000/'E Balans VL '!Z14*100),0,B30*3.6/1000000/'E Balans VL '!Z14*100)</f>
        <v>0.13540726022945251</v>
      </c>
      <c r="D30" s="239" t="s">
        <v>689</v>
      </c>
      <c r="F30" s="6"/>
    </row>
    <row r="31" spans="1:18">
      <c r="A31" s="233" t="s">
        <v>54</v>
      </c>
      <c r="B31" s="33">
        <f>IF(ISERROR(TER_onderwijs_ele_kWh/1000),0,TER_onderwijs_ele_kWh/1000)</f>
        <v>215.31120256137601</v>
      </c>
      <c r="C31" s="39">
        <f>IF(ISERROR(B31*3.6/1000000/'E Balans VL '!Z11*100),0,B31*3.6/1000000/'E Balans VL '!Z11*100)</f>
        <v>4.3245414920142562E-2</v>
      </c>
      <c r="D31" s="239" t="s">
        <v>689</v>
      </c>
    </row>
    <row r="32" spans="1:18">
      <c r="A32" s="233" t="s">
        <v>259</v>
      </c>
      <c r="B32" s="33">
        <f>IF(ISERROR(TER_rest_ele_kWh/1000),0,TER_rest_ele_kWh/1000)</f>
        <v>1847.75648837225</v>
      </c>
      <c r="C32" s="39">
        <f>IF(ISERROR(B32*3.6/1000000/'E Balans VL '!Z8*100),0,B32*3.6/1000000/'E Balans VL '!Z8*100)</f>
        <v>1.5058094033795752E-2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3863.1611737036892</v>
      </c>
      <c r="C5" s="17">
        <f>IF(ISERROR('Eigen informatie GS &amp; warmtenet'!B59),0,'Eigen informatie GS &amp; warmtenet'!B59)</f>
        <v>0</v>
      </c>
      <c r="D5" s="30">
        <f>SUM(D6:D15)</f>
        <v>2490.188148584738</v>
      </c>
      <c r="E5" s="17">
        <f>SUM(E6:E15)</f>
        <v>361.67255731910757</v>
      </c>
      <c r="F5" s="17">
        <f>SUM(F6:F15)</f>
        <v>1900.0557136807336</v>
      </c>
      <c r="G5" s="18"/>
      <c r="H5" s="17"/>
      <c r="I5" s="17"/>
      <c r="J5" s="17">
        <f>SUM(J6:J15)</f>
        <v>5.2737183940548062</v>
      </c>
      <c r="K5" s="17"/>
      <c r="L5" s="17"/>
      <c r="M5" s="17"/>
      <c r="N5" s="17">
        <f>SUM(N6:N15)</f>
        <v>418.9489908623259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33.619999999999997</v>
      </c>
      <c r="C8" s="33"/>
      <c r="D8" s="37">
        <f>IF( ISERROR(IND_metaal_Gas_kWH/1000),0,IND_metaal_Gas_kWH/1000)*0.902</f>
        <v>0</v>
      </c>
      <c r="E8" s="33">
        <f>C30*'E Balans VL '!I18/100/3.6*1000000</f>
        <v>0.96569259399870211</v>
      </c>
      <c r="F8" s="33">
        <f>C30*'E Balans VL '!L18/100/3.6*1000000+C30*'E Balans VL '!N18/100/3.6*1000000</f>
        <v>8.6228833944754903</v>
      </c>
      <c r="G8" s="34"/>
      <c r="H8" s="33"/>
      <c r="I8" s="33"/>
      <c r="J8" s="40">
        <f>C30*'E Balans VL '!D18/100/3.6*1000000+C30*'E Balans VL '!E18/100/3.6*1000000</f>
        <v>0</v>
      </c>
      <c r="K8" s="33"/>
      <c r="L8" s="33"/>
      <c r="M8" s="33"/>
      <c r="N8" s="33">
        <f>C30*'E Balans VL '!Y18/100/3.6*1000000</f>
        <v>0.91285162814307885</v>
      </c>
      <c r="O8" s="33"/>
      <c r="P8" s="33"/>
      <c r="R8" s="32"/>
    </row>
    <row r="9" spans="1:18">
      <c r="A9" s="6" t="s">
        <v>32</v>
      </c>
      <c r="B9" s="37">
        <f t="shared" si="0"/>
        <v>709.10069620192007</v>
      </c>
      <c r="C9" s="33"/>
      <c r="D9" s="37">
        <f>IF( ISERROR(IND_andere_gas_kWh/1000),0,IND_andere_gas_kWh/1000)*0.902</f>
        <v>659.44874108765816</v>
      </c>
      <c r="E9" s="33">
        <f>C31*'E Balans VL '!I19/100/3.6*1000000</f>
        <v>191.93612377436213</v>
      </c>
      <c r="F9" s="33">
        <f>C31*'E Balans VL '!L19/100/3.6*1000000+C31*'E Balans VL '!N19/100/3.6*1000000</f>
        <v>472.33610219895394</v>
      </c>
      <c r="G9" s="34"/>
      <c r="H9" s="33"/>
      <c r="I9" s="33"/>
      <c r="J9" s="40">
        <f>C31*'E Balans VL '!D19/100/3.6*1000000+C31*'E Balans VL '!E19/100/3.6*1000000</f>
        <v>0</v>
      </c>
      <c r="K9" s="33"/>
      <c r="L9" s="33"/>
      <c r="M9" s="33"/>
      <c r="N9" s="33">
        <f>C31*'E Balans VL '!Y19/100/3.6*1000000</f>
        <v>59.949766608157368</v>
      </c>
      <c r="O9" s="33"/>
      <c r="P9" s="33"/>
      <c r="R9" s="32"/>
    </row>
    <row r="10" spans="1:18">
      <c r="A10" s="6" t="s">
        <v>40</v>
      </c>
      <c r="B10" s="37">
        <f t="shared" si="0"/>
        <v>604.736098525839</v>
      </c>
      <c r="C10" s="33"/>
      <c r="D10" s="37">
        <f>IF( ISERROR(IND_voed_gas_kWh/1000),0,IND_voed_gas_kWh/1000)*0.902</f>
        <v>742.22974372686906</v>
      </c>
      <c r="E10" s="33">
        <f>C32*'E Balans VL '!I20/100/3.6*1000000</f>
        <v>49.323665540801152</v>
      </c>
      <c r="F10" s="33">
        <f>C32*'E Balans VL '!L20/100/3.6*1000000+C32*'E Balans VL '!N20/100/3.6*1000000</f>
        <v>901.71638936835473</v>
      </c>
      <c r="G10" s="34"/>
      <c r="H10" s="33"/>
      <c r="I10" s="33"/>
      <c r="J10" s="40">
        <f>C32*'E Balans VL '!D20/100/3.6*1000000+C32*'E Balans VL '!E20/100/3.6*1000000</f>
        <v>7.9999245323466497E-3</v>
      </c>
      <c r="K10" s="33"/>
      <c r="L10" s="33"/>
      <c r="M10" s="33"/>
      <c r="N10" s="33">
        <f>C32*'E Balans VL '!Y20/100/3.6*1000000</f>
        <v>177.65012691089552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461.24114367428001</v>
      </c>
      <c r="C13" s="33"/>
      <c r="D13" s="37">
        <f>IF( ISERROR(IND_papier_gas_kWh/1000),0,IND_papier_gas_kWh/1000)*0.902</f>
        <v>115.53070935544994</v>
      </c>
      <c r="E13" s="33">
        <f>C35*'E Balans VL '!I23/100/3.6*1000000</f>
        <v>4.8323412588040178</v>
      </c>
      <c r="F13" s="33">
        <f>C35*'E Balans VL '!L23/100/3.6*1000000+C35*'E Balans VL '!N23/100/3.6*1000000</f>
        <v>34.41789589413775</v>
      </c>
      <c r="G13" s="34"/>
      <c r="H13" s="33"/>
      <c r="I13" s="33"/>
      <c r="J13" s="40">
        <f>C35*'E Balans VL '!D23/100/3.6*1000000+C35*'E Balans VL '!E23/100/3.6*1000000</f>
        <v>0</v>
      </c>
      <c r="K13" s="33"/>
      <c r="L13" s="33"/>
      <c r="M13" s="33"/>
      <c r="N13" s="33">
        <f>C35*'E Balans VL '!Y23/100/3.6*1000000</f>
        <v>85.089017829828208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2054.46323530165</v>
      </c>
      <c r="C15" s="33"/>
      <c r="D15" s="37">
        <f>IF( ISERROR(IND_rest_gas_kWh/1000),0,IND_rest_gas_kWh/1000)*0.902</f>
        <v>972.97895441476089</v>
      </c>
      <c r="E15" s="33">
        <f>C37*'E Balans VL '!I15/100/3.6*1000000</f>
        <v>114.61473415114158</v>
      </c>
      <c r="F15" s="33">
        <f>C37*'E Balans VL '!L15/100/3.6*1000000+C37*'E Balans VL '!N15/100/3.6*1000000</f>
        <v>482.9624428248116</v>
      </c>
      <c r="G15" s="34"/>
      <c r="H15" s="33"/>
      <c r="I15" s="33"/>
      <c r="J15" s="40">
        <f>C37*'E Balans VL '!D15/100/3.6*1000000+C37*'E Balans VL '!E15/100/3.6*1000000</f>
        <v>5.2657184695224597</v>
      </c>
      <c r="K15" s="33"/>
      <c r="L15" s="33"/>
      <c r="M15" s="33"/>
      <c r="N15" s="33">
        <f>C37*'E Balans VL '!Y15/100/3.6*1000000</f>
        <v>95.347227885301706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3863.1611737036892</v>
      </c>
      <c r="C18" s="21">
        <f>C5+C16</f>
        <v>0</v>
      </c>
      <c r="D18" s="21">
        <f>MAX((D5+D16),0)</f>
        <v>2490.188148584738</v>
      </c>
      <c r="E18" s="21">
        <f>MAX((E5+E16),0)</f>
        <v>361.67255731910757</v>
      </c>
      <c r="F18" s="21">
        <f>MAX((F5+F16),0)</f>
        <v>1900.0557136807336</v>
      </c>
      <c r="G18" s="21"/>
      <c r="H18" s="21"/>
      <c r="I18" s="21"/>
      <c r="J18" s="21">
        <f>MAX((J5+J16),0)</f>
        <v>5.2737183940548062</v>
      </c>
      <c r="K18" s="21"/>
      <c r="L18" s="21">
        <f>MAX((L5+L16),0)</f>
        <v>0</v>
      </c>
      <c r="M18" s="21"/>
      <c r="N18" s="21">
        <f>MAX((N5+N16),0)</f>
        <v>418.9489908623259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0.20684462712570159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799.07413250122727</v>
      </c>
      <c r="C22" s="23">
        <f ca="1">C18*C20</f>
        <v>0</v>
      </c>
      <c r="D22" s="23">
        <f>D18*D20</f>
        <v>503.01800601411708</v>
      </c>
      <c r="E22" s="23">
        <f>E18*E20</f>
        <v>82.099670511437424</v>
      </c>
      <c r="F22" s="23">
        <f>F18*F20</f>
        <v>507.31487555275589</v>
      </c>
      <c r="G22" s="23"/>
      <c r="H22" s="23"/>
      <c r="I22" s="23"/>
      <c r="J22" s="23">
        <f>J18*J20</f>
        <v>1.8668963114954014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33.619999999999997</v>
      </c>
      <c r="C30" s="39">
        <f>IF(ISERROR(B30*3.6/1000000/'E Balans VL '!Z18*100),0,B30*3.6/1000000/'E Balans VL '!Z18*100)</f>
        <v>3.3081221772822697E-3</v>
      </c>
      <c r="D30" s="239" t="s">
        <v>689</v>
      </c>
    </row>
    <row r="31" spans="1:18">
      <c r="A31" s="6" t="s">
        <v>32</v>
      </c>
      <c r="B31" s="37">
        <f>IF( ISERROR(IND_ander_ele_kWh/1000),0,IND_ander_ele_kWh/1000)</f>
        <v>709.10069620192007</v>
      </c>
      <c r="C31" s="39">
        <f>IF(ISERROR(B31*3.6/1000000/'E Balans VL '!Z19*100),0,B31*3.6/1000000/'E Balans VL '!Z19*100)</f>
        <v>3.088076967554022E-2</v>
      </c>
      <c r="D31" s="239" t="s">
        <v>689</v>
      </c>
    </row>
    <row r="32" spans="1:18">
      <c r="A32" s="173" t="s">
        <v>40</v>
      </c>
      <c r="B32" s="37">
        <f>IF( ISERROR(IND_voed_ele_kWh/1000),0,IND_voed_ele_kWh/1000)</f>
        <v>604.736098525839</v>
      </c>
      <c r="C32" s="39">
        <f>IF(ISERROR(B32*3.6/1000000/'E Balans VL '!Z20*100),0,B32*3.6/1000000/'E Balans VL '!Z20*100)</f>
        <v>0.11473995345197929</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461.24114367428001</v>
      </c>
      <c r="C35" s="39">
        <f>IF(ISERROR(B35*3.6/1000000/'E Balans VL '!Z22*100),0,B35*3.6/1000000/'E Balans VL '!Z22*100)</f>
        <v>6.4855136439802064E-2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2054.46323530165</v>
      </c>
      <c r="C37" s="39">
        <f>IF(ISERROR(B37*3.6/1000000/'E Balans VL '!Z15*100),0,B37*3.6/1000000/'E Balans VL '!Z15*100)</f>
        <v>1.5832162628997143E-2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2766.7971098839266</v>
      </c>
      <c r="C5" s="17">
        <f>'Eigen informatie GS &amp; warmtenet'!B60</f>
        <v>0</v>
      </c>
      <c r="D5" s="30">
        <f>IF(ISERROR(SUM(LB_lb_gas_kWh,LB_rest_gas_kWh)/1000),0,SUM(LB_lb_gas_kWh,LB_rest_gas_kWh)/1000)*0.902</f>
        <v>219.23365990107632</v>
      </c>
      <c r="E5" s="17">
        <f>B17*'E Balans VL '!I25/3.6*1000000/100</f>
        <v>34.865207943922613</v>
      </c>
      <c r="F5" s="17">
        <f>B17*('E Balans VL '!L25/3.6*1000000+'E Balans VL '!N25/3.6*1000000)/100</f>
        <v>9546.1431531914368</v>
      </c>
      <c r="G5" s="18"/>
      <c r="H5" s="17"/>
      <c r="I5" s="17"/>
      <c r="J5" s="17">
        <f>('E Balans VL '!D25+'E Balans VL '!E25)/3.6*1000000*landbouw!B17/100</f>
        <v>416.09483348703617</v>
      </c>
      <c r="K5" s="17"/>
      <c r="L5" s="17">
        <f>L6*(-1)</f>
        <v>0</v>
      </c>
      <c r="M5" s="17"/>
      <c r="N5" s="17">
        <f>N6*(-1)</f>
        <v>124.71428571428569</v>
      </c>
      <c r="O5" s="17"/>
      <c r="P5" s="17"/>
      <c r="R5" s="32"/>
    </row>
    <row r="6" spans="1:18">
      <c r="A6" s="16" t="s">
        <v>496</v>
      </c>
      <c r="B6" s="17" t="s">
        <v>210</v>
      </c>
      <c r="C6" s="17">
        <f>'lokale energieproductie'!O39+'lokale energieproductie'!O32</f>
        <v>62.357142857142847</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2766.7971098839266</v>
      </c>
      <c r="C8" s="21">
        <f>C5+C6</f>
        <v>62.357142857142847</v>
      </c>
      <c r="D8" s="21">
        <f>MAX((D5+D6),0)</f>
        <v>219.23365990107632</v>
      </c>
      <c r="E8" s="21">
        <f>MAX((E5+E6),0)</f>
        <v>34.865207943922613</v>
      </c>
      <c r="F8" s="21">
        <f>MAX((F5+F6),0)</f>
        <v>9546.1431531914368</v>
      </c>
      <c r="G8" s="21"/>
      <c r="H8" s="21"/>
      <c r="I8" s="21"/>
      <c r="J8" s="21">
        <f>MAX((J5+J6),0)</f>
        <v>416.09483348703617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0.20684462712570159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572.29711652640958</v>
      </c>
      <c r="C12" s="23">
        <f ca="1">C8*C10</f>
        <v>0</v>
      </c>
      <c r="D12" s="23">
        <f>D8*D10</f>
        <v>44.285199300017418</v>
      </c>
      <c r="E12" s="23">
        <f>E8*E10</f>
        <v>7.9144022032704333</v>
      </c>
      <c r="F12" s="23">
        <f>F8*F10</f>
        <v>2548.8202219021136</v>
      </c>
      <c r="G12" s="23"/>
      <c r="H12" s="23"/>
      <c r="I12" s="23"/>
      <c r="J12" s="23">
        <f>J8*J10</f>
        <v>147.29757105441081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0.38588099244579604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326.61063102135836</v>
      </c>
      <c r="C26" s="249">
        <f>B26*'GWP N2O_CH4'!B5</f>
        <v>6858.8232514485253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69.871883747047193</v>
      </c>
      <c r="C27" s="249">
        <f>B27*'GWP N2O_CH4'!B5</f>
        <v>1467.3095586879911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4.1217810294499184</v>
      </c>
      <c r="C28" s="249">
        <f>B28*'GWP N2O_CH4'!B4</f>
        <v>1277.7521191294747</v>
      </c>
      <c r="D28" s="50"/>
    </row>
    <row r="29" spans="1:4">
      <c r="A29" s="41" t="s">
        <v>276</v>
      </c>
      <c r="B29" s="249">
        <f>B34*'ha_N2O bodem landbouw'!B4</f>
        <v>13.336881484564135</v>
      </c>
      <c r="C29" s="249">
        <f>B29*'GWP N2O_CH4'!B4</f>
        <v>4134.4332602148816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3.3300860408563928E-3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1.299121034275635E-5</v>
      </c>
      <c r="C5" s="444" t="s">
        <v>210</v>
      </c>
      <c r="D5" s="429">
        <f>SUM(D6:D11)</f>
        <v>2.7532473985241278E-5</v>
      </c>
      <c r="E5" s="429">
        <f>SUM(E6:E11)</f>
        <v>9.4680857687952564E-4</v>
      </c>
      <c r="F5" s="442" t="s">
        <v>210</v>
      </c>
      <c r="G5" s="429">
        <f>SUM(G6:G11)</f>
        <v>0.21478558212520957</v>
      </c>
      <c r="H5" s="429">
        <f>SUM(H6:H11)</f>
        <v>4.9248769387611302E-2</v>
      </c>
      <c r="I5" s="444" t="s">
        <v>210</v>
      </c>
      <c r="J5" s="444" t="s">
        <v>210</v>
      </c>
      <c r="K5" s="444" t="s">
        <v>210</v>
      </c>
      <c r="L5" s="444" t="s">
        <v>210</v>
      </c>
      <c r="M5" s="429">
        <f>SUM(M6:M11)</f>
        <v>1.1942810981174131E-2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4.9756016974215005E-6</v>
      </c>
      <c r="C6" s="883"/>
      <c r="D6" s="883">
        <f>vkm_GW_PW*SUMIFS(TableVerdeelsleutelVkm[CNG],TableVerdeelsleutelVkm[Voertuigtype],"Lichte voertuigen")*SUMIFS(TableECFTransport[EnergieConsumptieFactor (PJ per km)],TableECFTransport[Index],CONCATENATE($A6,"_CNG_CNG"))</f>
        <v>7.3736935141778094E-6</v>
      </c>
      <c r="E6" s="883">
        <f>vkm_GW_PW*SUMIFS(TableVerdeelsleutelVkm[LPG],TableVerdeelsleutelVkm[Voertuigtype],"Lichte voertuigen")*SUMIFS(TableECFTransport[EnergieConsumptieFactor (PJ per km)],TableECFTransport[Index],CONCATENATE($A6,"_LPG_LPG"))</f>
        <v>2.6409875792193896E-4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5.3150669514264531E-2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1.3578098234147535E-2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3.0187725786992334E-3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8.3624655709831318E-3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1.9429641221049795E-7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3.7757837325778438E-4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8.0156086453348498E-6</v>
      </c>
      <c r="C8" s="883"/>
      <c r="D8" s="432">
        <f>vkm_NGW_PW*SUMIFS(TableVerdeelsleutelVkm[CNG],TableVerdeelsleutelVkm[Voertuigtype],"Lichte voertuigen")*SUMIFS(TableECFTransport[EnergieConsumptieFactor (PJ per km)],TableECFTransport[Index],CONCATENATE($A8,"_CNG_CNG"))</f>
        <v>2.0158780471063468E-5</v>
      </c>
      <c r="E8" s="432">
        <f>vkm_NGW_PW*SUMIFS(TableVerdeelsleutelVkm[LPG],TableVerdeelsleutelVkm[Voertuigtype],"Lichte voertuigen")*SUMIFS(TableECFTransport[EnergieConsumptieFactor (PJ per km)],TableECFTransport[Index],CONCATENATE($A8,"_LPG_LPG"))</f>
        <v>6.8270981895758663E-4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0.13051641130236205</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3.5669864020655993E-2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7.5189856618401683E-3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2.2756035737599857E-2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6.1283639556034393E-7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1.0274743673769455E-3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3.6086695396545418</v>
      </c>
      <c r="C14" s="21"/>
      <c r="D14" s="21">
        <f t="shared" ref="D14:M14" si="0">((D5)*10^9/3600)+D12</f>
        <v>7.6479094403448</v>
      </c>
      <c r="E14" s="21">
        <f t="shared" si="0"/>
        <v>263.00238246653493</v>
      </c>
      <c r="F14" s="21"/>
      <c r="G14" s="21">
        <f t="shared" si="0"/>
        <v>59662.661701447105</v>
      </c>
      <c r="H14" s="21">
        <f t="shared" si="0"/>
        <v>13680.213718780917</v>
      </c>
      <c r="I14" s="21"/>
      <c r="J14" s="21"/>
      <c r="K14" s="21"/>
      <c r="L14" s="21"/>
      <c r="M14" s="21">
        <f t="shared" si="0"/>
        <v>3317.4474947705921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0.20684462712570159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0.74643390534972087</v>
      </c>
      <c r="C18" s="23"/>
      <c r="D18" s="23">
        <f t="shared" ref="D18:M18" si="1">D14*D16</f>
        <v>1.5448777069496498</v>
      </c>
      <c r="E18" s="23">
        <f t="shared" si="1"/>
        <v>59.701540819903428</v>
      </c>
      <c r="F18" s="23"/>
      <c r="G18" s="23">
        <f t="shared" si="1"/>
        <v>15929.930674286377</v>
      </c>
      <c r="H18" s="23">
        <f t="shared" si="1"/>
        <v>3406.3732159764481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5.5162386804285986E-3</v>
      </c>
      <c r="H50" s="321">
        <f t="shared" si="2"/>
        <v>0</v>
      </c>
      <c r="I50" s="321">
        <f t="shared" si="2"/>
        <v>0</v>
      </c>
      <c r="J50" s="321">
        <f t="shared" si="2"/>
        <v>0</v>
      </c>
      <c r="K50" s="321">
        <f t="shared" si="2"/>
        <v>0</v>
      </c>
      <c r="L50" s="321">
        <f t="shared" si="2"/>
        <v>0</v>
      </c>
      <c r="M50" s="321">
        <f t="shared" si="2"/>
        <v>2.4553234720702248E-4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5.5162386804285986E-3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2.4553234720702248E-4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1532.2885223412775</v>
      </c>
      <c r="H54" s="21">
        <f t="shared" si="3"/>
        <v>0</v>
      </c>
      <c r="I54" s="21">
        <f t="shared" si="3"/>
        <v>0</v>
      </c>
      <c r="J54" s="21">
        <f t="shared" si="3"/>
        <v>0</v>
      </c>
      <c r="K54" s="21">
        <f t="shared" si="3"/>
        <v>0</v>
      </c>
      <c r="L54" s="21">
        <f t="shared" si="3"/>
        <v>0</v>
      </c>
      <c r="M54" s="21">
        <f t="shared" si="3"/>
        <v>68.203429779728467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0.20684462712570159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409.12103546512111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16203.455319796689</v>
      </c>
      <c r="D10" s="686">
        <f ca="1">tertiair!C16</f>
        <v>0</v>
      </c>
      <c r="E10" s="686">
        <f ca="1">tertiair!D16</f>
        <v>20328.4306220094</v>
      </c>
      <c r="F10" s="686">
        <f>tertiair!E16</f>
        <v>208.55660725931241</v>
      </c>
      <c r="G10" s="686">
        <f ca="1">tertiair!F16</f>
        <v>3052.9668887665262</v>
      </c>
      <c r="H10" s="686">
        <f>tertiair!G16</f>
        <v>0</v>
      </c>
      <c r="I10" s="686">
        <f>tertiair!H16</f>
        <v>0</v>
      </c>
      <c r="J10" s="686">
        <f>tertiair!I16</f>
        <v>0</v>
      </c>
      <c r="K10" s="686">
        <f>tertiair!J16</f>
        <v>0</v>
      </c>
      <c r="L10" s="686">
        <f>tertiair!K16</f>
        <v>0</v>
      </c>
      <c r="M10" s="686">
        <f ca="1">tertiair!L16</f>
        <v>0</v>
      </c>
      <c r="N10" s="686">
        <f>tertiair!M16</f>
        <v>0</v>
      </c>
      <c r="O10" s="686">
        <f ca="1">tertiair!N16</f>
        <v>1457.9908446284437</v>
      </c>
      <c r="P10" s="686">
        <f>tertiair!O16</f>
        <v>3.1266666666666669</v>
      </c>
      <c r="Q10" s="687">
        <f>tertiair!P16</f>
        <v>57.2</v>
      </c>
      <c r="R10" s="689">
        <f ca="1">SUM(C10:Q10)</f>
        <v>41311.726949127034</v>
      </c>
      <c r="S10" s="67"/>
    </row>
    <row r="11" spans="1:19" s="454" customFormat="1">
      <c r="A11" s="801" t="s">
        <v>224</v>
      </c>
      <c r="B11" s="806"/>
      <c r="C11" s="686">
        <f>huishoudens!B8</f>
        <v>32840.48744595977</v>
      </c>
      <c r="D11" s="686">
        <f>huishoudens!C8</f>
        <v>0</v>
      </c>
      <c r="E11" s="686">
        <f>huishoudens!D8</f>
        <v>51197.054765534667</v>
      </c>
      <c r="F11" s="686">
        <f>huishoudens!E8</f>
        <v>2310.8903155061125</v>
      </c>
      <c r="G11" s="686">
        <f>huishoudens!F8</f>
        <v>34765.201539775306</v>
      </c>
      <c r="H11" s="686">
        <f>huishoudens!G8</f>
        <v>0</v>
      </c>
      <c r="I11" s="686">
        <f>huishoudens!H8</f>
        <v>0</v>
      </c>
      <c r="J11" s="686">
        <f>huishoudens!I8</f>
        <v>0</v>
      </c>
      <c r="K11" s="686">
        <f>huishoudens!J8</f>
        <v>0</v>
      </c>
      <c r="L11" s="686">
        <f>huishoudens!K8</f>
        <v>0</v>
      </c>
      <c r="M11" s="686">
        <f>huishoudens!L8</f>
        <v>0</v>
      </c>
      <c r="N11" s="686">
        <f>huishoudens!M8</f>
        <v>0</v>
      </c>
      <c r="O11" s="686">
        <f>huishoudens!N8</f>
        <v>7524.2614789305253</v>
      </c>
      <c r="P11" s="686">
        <f>huishoudens!O8</f>
        <v>121.94000000000001</v>
      </c>
      <c r="Q11" s="687">
        <f>huishoudens!P8</f>
        <v>667.33333333333337</v>
      </c>
      <c r="R11" s="689">
        <f>SUM(C11:Q11)</f>
        <v>129427.1688790397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3863.1611737036892</v>
      </c>
      <c r="D13" s="686">
        <f>industrie!C18</f>
        <v>0</v>
      </c>
      <c r="E13" s="686">
        <f>industrie!D18</f>
        <v>2490.188148584738</v>
      </c>
      <c r="F13" s="686">
        <f>industrie!E18</f>
        <v>361.67255731910757</v>
      </c>
      <c r="G13" s="686">
        <f>industrie!F18</f>
        <v>1900.0557136807336</v>
      </c>
      <c r="H13" s="686">
        <f>industrie!G18</f>
        <v>0</v>
      </c>
      <c r="I13" s="686">
        <f>industrie!H18</f>
        <v>0</v>
      </c>
      <c r="J13" s="686">
        <f>industrie!I18</f>
        <v>0</v>
      </c>
      <c r="K13" s="686">
        <f>industrie!J18</f>
        <v>5.2737183940548062</v>
      </c>
      <c r="L13" s="686">
        <f>industrie!K18</f>
        <v>0</v>
      </c>
      <c r="M13" s="686">
        <f>industrie!L18</f>
        <v>0</v>
      </c>
      <c r="N13" s="686">
        <f>industrie!M18</f>
        <v>0</v>
      </c>
      <c r="O13" s="686">
        <f>industrie!N18</f>
        <v>418.9489908623259</v>
      </c>
      <c r="P13" s="686">
        <f>industrie!O18</f>
        <v>0</v>
      </c>
      <c r="Q13" s="687">
        <f>industrie!P18</f>
        <v>0</v>
      </c>
      <c r="R13" s="689">
        <f>SUM(C13:Q13)</f>
        <v>9039.3003025446487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52907.103939460147</v>
      </c>
      <c r="D16" s="721">
        <f t="shared" ref="D16:R16" ca="1" si="0">SUM(D9:D15)</f>
        <v>0</v>
      </c>
      <c r="E16" s="721">
        <f t="shared" ca="1" si="0"/>
        <v>74015.673536128801</v>
      </c>
      <c r="F16" s="721">
        <f t="shared" si="0"/>
        <v>2881.1194800845324</v>
      </c>
      <c r="G16" s="721">
        <f t="shared" ca="1" si="0"/>
        <v>39718.224142222563</v>
      </c>
      <c r="H16" s="721">
        <f t="shared" si="0"/>
        <v>0</v>
      </c>
      <c r="I16" s="721">
        <f t="shared" si="0"/>
        <v>0</v>
      </c>
      <c r="J16" s="721">
        <f t="shared" si="0"/>
        <v>0</v>
      </c>
      <c r="K16" s="721">
        <f t="shared" si="0"/>
        <v>5.2737183940548062</v>
      </c>
      <c r="L16" s="721">
        <f t="shared" si="0"/>
        <v>0</v>
      </c>
      <c r="M16" s="721">
        <f t="shared" ca="1" si="0"/>
        <v>0</v>
      </c>
      <c r="N16" s="721">
        <f t="shared" si="0"/>
        <v>0</v>
      </c>
      <c r="O16" s="721">
        <f t="shared" ca="1" si="0"/>
        <v>9401.2013144212942</v>
      </c>
      <c r="P16" s="721">
        <f t="shared" si="0"/>
        <v>125.06666666666668</v>
      </c>
      <c r="Q16" s="721">
        <f t="shared" si="0"/>
        <v>724.53333333333342</v>
      </c>
      <c r="R16" s="721">
        <f t="shared" ca="1" si="0"/>
        <v>179778.19613071138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1532.2885223412775</v>
      </c>
      <c r="I19" s="686">
        <f>transport!H54</f>
        <v>0</v>
      </c>
      <c r="J19" s="686">
        <f>transport!I54</f>
        <v>0</v>
      </c>
      <c r="K19" s="686">
        <f>transport!J54</f>
        <v>0</v>
      </c>
      <c r="L19" s="686">
        <f>transport!K54</f>
        <v>0</v>
      </c>
      <c r="M19" s="686">
        <f>transport!L54</f>
        <v>0</v>
      </c>
      <c r="N19" s="686">
        <f>transport!M54</f>
        <v>68.203429779728467</v>
      </c>
      <c r="O19" s="686">
        <f>transport!N54</f>
        <v>0</v>
      </c>
      <c r="P19" s="686">
        <f>transport!O54</f>
        <v>0</v>
      </c>
      <c r="Q19" s="687">
        <f>transport!P54</f>
        <v>0</v>
      </c>
      <c r="R19" s="689">
        <f>SUM(C19:Q19)</f>
        <v>1600.4919521210059</v>
      </c>
      <c r="S19" s="67"/>
    </row>
    <row r="20" spans="1:19" s="454" customFormat="1">
      <c r="A20" s="801" t="s">
        <v>306</v>
      </c>
      <c r="B20" s="806"/>
      <c r="C20" s="686">
        <f>transport!B14</f>
        <v>3.6086695396545418</v>
      </c>
      <c r="D20" s="686">
        <f>transport!C14</f>
        <v>0</v>
      </c>
      <c r="E20" s="686">
        <f>transport!D14</f>
        <v>7.6479094403448</v>
      </c>
      <c r="F20" s="686">
        <f>transport!E14</f>
        <v>263.00238246653493</v>
      </c>
      <c r="G20" s="686">
        <f>transport!F14</f>
        <v>0</v>
      </c>
      <c r="H20" s="686">
        <f>transport!G14</f>
        <v>59662.661701447105</v>
      </c>
      <c r="I20" s="686">
        <f>transport!H14</f>
        <v>13680.213718780917</v>
      </c>
      <c r="J20" s="686">
        <f>transport!I14</f>
        <v>0</v>
      </c>
      <c r="K20" s="686">
        <f>transport!J14</f>
        <v>0</v>
      </c>
      <c r="L20" s="686">
        <f>transport!K14</f>
        <v>0</v>
      </c>
      <c r="M20" s="686">
        <f>transport!L14</f>
        <v>0</v>
      </c>
      <c r="N20" s="686">
        <f>transport!M14</f>
        <v>3317.4474947705921</v>
      </c>
      <c r="O20" s="686">
        <f>transport!N14</f>
        <v>0</v>
      </c>
      <c r="P20" s="686">
        <f>transport!O14</f>
        <v>0</v>
      </c>
      <c r="Q20" s="687">
        <f>transport!P14</f>
        <v>0</v>
      </c>
      <c r="R20" s="689">
        <f>SUM(C20:Q20)</f>
        <v>76934.58187644514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3.6086695396545418</v>
      </c>
      <c r="D22" s="804">
        <f t="shared" ref="D22:R22" si="1">SUM(D18:D21)</f>
        <v>0</v>
      </c>
      <c r="E22" s="804">
        <f t="shared" si="1"/>
        <v>7.6479094403448</v>
      </c>
      <c r="F22" s="804">
        <f t="shared" si="1"/>
        <v>263.00238246653493</v>
      </c>
      <c r="G22" s="804">
        <f t="shared" si="1"/>
        <v>0</v>
      </c>
      <c r="H22" s="804">
        <f t="shared" si="1"/>
        <v>61194.950223788379</v>
      </c>
      <c r="I22" s="804">
        <f t="shared" si="1"/>
        <v>13680.213718780917</v>
      </c>
      <c r="J22" s="804">
        <f t="shared" si="1"/>
        <v>0</v>
      </c>
      <c r="K22" s="804">
        <f t="shared" si="1"/>
        <v>0</v>
      </c>
      <c r="L22" s="804">
        <f t="shared" si="1"/>
        <v>0</v>
      </c>
      <c r="M22" s="804">
        <f t="shared" si="1"/>
        <v>0</v>
      </c>
      <c r="N22" s="804">
        <f t="shared" si="1"/>
        <v>3385.6509245503207</v>
      </c>
      <c r="O22" s="804">
        <f t="shared" si="1"/>
        <v>0</v>
      </c>
      <c r="P22" s="804">
        <f t="shared" si="1"/>
        <v>0</v>
      </c>
      <c r="Q22" s="804">
        <f t="shared" si="1"/>
        <v>0</v>
      </c>
      <c r="R22" s="804">
        <f t="shared" si="1"/>
        <v>78535.07382856615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2766.7971098839266</v>
      </c>
      <c r="D24" s="686">
        <f>+landbouw!C8</f>
        <v>62.357142857142847</v>
      </c>
      <c r="E24" s="686">
        <f>+landbouw!D8</f>
        <v>219.23365990107632</v>
      </c>
      <c r="F24" s="686">
        <f>+landbouw!E8</f>
        <v>34.865207943922613</v>
      </c>
      <c r="G24" s="686">
        <f>+landbouw!F8</f>
        <v>9546.1431531914368</v>
      </c>
      <c r="H24" s="686">
        <f>+landbouw!G8</f>
        <v>0</v>
      </c>
      <c r="I24" s="686">
        <f>+landbouw!H8</f>
        <v>0</v>
      </c>
      <c r="J24" s="686">
        <f>+landbouw!I8</f>
        <v>0</v>
      </c>
      <c r="K24" s="686">
        <f>+landbouw!J8</f>
        <v>416.09483348703617</v>
      </c>
      <c r="L24" s="686">
        <f>+landbouw!K8</f>
        <v>0</v>
      </c>
      <c r="M24" s="686">
        <f>+landbouw!L8</f>
        <v>0</v>
      </c>
      <c r="N24" s="686">
        <f>+landbouw!M8</f>
        <v>0</v>
      </c>
      <c r="O24" s="686">
        <f>+landbouw!N8</f>
        <v>0</v>
      </c>
      <c r="P24" s="686">
        <f>+landbouw!O8</f>
        <v>0</v>
      </c>
      <c r="Q24" s="687">
        <f>+landbouw!P8</f>
        <v>0</v>
      </c>
      <c r="R24" s="689">
        <f>SUM(C24:Q24)</f>
        <v>13045.491107264541</v>
      </c>
      <c r="S24" s="67"/>
    </row>
    <row r="25" spans="1:19" s="454" customFormat="1" ht="15" thickBot="1">
      <c r="A25" s="823" t="s">
        <v>856</v>
      </c>
      <c r="B25" s="991"/>
      <c r="C25" s="992">
        <f>IF(Onbekend_ele_kWh="---",0,Onbekend_ele_kWh)/1000+IF(REST_rest_ele_kWh="---",0,REST_rest_ele_kWh)/1000</f>
        <v>1006.95618031198</v>
      </c>
      <c r="D25" s="992"/>
      <c r="E25" s="992">
        <f>IF(onbekend_gas_kWh="---",0,onbekend_gas_kWh)/1000+IF(REST_rest_gas_kWh="---",0,REST_rest_gas_kWh)/1000</f>
        <v>1668.0093661951801</v>
      </c>
      <c r="F25" s="992"/>
      <c r="G25" s="992"/>
      <c r="H25" s="992"/>
      <c r="I25" s="992"/>
      <c r="J25" s="992"/>
      <c r="K25" s="992"/>
      <c r="L25" s="992"/>
      <c r="M25" s="992"/>
      <c r="N25" s="992"/>
      <c r="O25" s="992"/>
      <c r="P25" s="992"/>
      <c r="Q25" s="993"/>
      <c r="R25" s="689">
        <f>SUM(C25:Q25)</f>
        <v>2674.9655465071601</v>
      </c>
      <c r="S25" s="67"/>
    </row>
    <row r="26" spans="1:19" s="454" customFormat="1" ht="15.75" thickBot="1">
      <c r="A26" s="694" t="s">
        <v>857</v>
      </c>
      <c r="B26" s="809"/>
      <c r="C26" s="804">
        <f>SUM(C24:C25)</f>
        <v>3773.7532901959066</v>
      </c>
      <c r="D26" s="804">
        <f t="shared" ref="D26:R26" si="2">SUM(D24:D25)</f>
        <v>62.357142857142847</v>
      </c>
      <c r="E26" s="804">
        <f t="shared" si="2"/>
        <v>1887.2430260962565</v>
      </c>
      <c r="F26" s="804">
        <f t="shared" si="2"/>
        <v>34.865207943922613</v>
      </c>
      <c r="G26" s="804">
        <f t="shared" si="2"/>
        <v>9546.1431531914368</v>
      </c>
      <c r="H26" s="804">
        <f t="shared" si="2"/>
        <v>0</v>
      </c>
      <c r="I26" s="804">
        <f t="shared" si="2"/>
        <v>0</v>
      </c>
      <c r="J26" s="804">
        <f t="shared" si="2"/>
        <v>0</v>
      </c>
      <c r="K26" s="804">
        <f t="shared" si="2"/>
        <v>416.09483348703617</v>
      </c>
      <c r="L26" s="804">
        <f t="shared" si="2"/>
        <v>0</v>
      </c>
      <c r="M26" s="804">
        <f t="shared" si="2"/>
        <v>0</v>
      </c>
      <c r="N26" s="804">
        <f t="shared" si="2"/>
        <v>0</v>
      </c>
      <c r="O26" s="804">
        <f t="shared" si="2"/>
        <v>0</v>
      </c>
      <c r="P26" s="804">
        <f t="shared" si="2"/>
        <v>0</v>
      </c>
      <c r="Q26" s="804">
        <f t="shared" si="2"/>
        <v>0</v>
      </c>
      <c r="R26" s="804">
        <f t="shared" si="2"/>
        <v>15720.4566537717</v>
      </c>
      <c r="S26" s="67"/>
    </row>
    <row r="27" spans="1:19" s="454" customFormat="1" ht="17.25" thickTop="1" thickBot="1">
      <c r="A27" s="695" t="s">
        <v>115</v>
      </c>
      <c r="B27" s="796"/>
      <c r="C27" s="696">
        <f ca="1">C22+C16+C26</f>
        <v>56684.465899195704</v>
      </c>
      <c r="D27" s="696">
        <f t="shared" ref="D27:R27" ca="1" si="3">D22+D16+D26</f>
        <v>62.357142857142847</v>
      </c>
      <c r="E27" s="696">
        <f t="shared" ca="1" si="3"/>
        <v>75910.564471665406</v>
      </c>
      <c r="F27" s="696">
        <f t="shared" si="3"/>
        <v>3178.9870704949899</v>
      </c>
      <c r="G27" s="696">
        <f t="shared" ca="1" si="3"/>
        <v>49264.367295413998</v>
      </c>
      <c r="H27" s="696">
        <f t="shared" si="3"/>
        <v>61194.950223788379</v>
      </c>
      <c r="I27" s="696">
        <f t="shared" si="3"/>
        <v>13680.213718780917</v>
      </c>
      <c r="J27" s="696">
        <f t="shared" si="3"/>
        <v>0</v>
      </c>
      <c r="K27" s="696">
        <f t="shared" si="3"/>
        <v>421.36855188109098</v>
      </c>
      <c r="L27" s="696">
        <f t="shared" si="3"/>
        <v>0</v>
      </c>
      <c r="M27" s="696">
        <f t="shared" ca="1" si="3"/>
        <v>0</v>
      </c>
      <c r="N27" s="696">
        <f t="shared" si="3"/>
        <v>3385.6509245503207</v>
      </c>
      <c r="O27" s="696">
        <f t="shared" ca="1" si="3"/>
        <v>9401.2013144212942</v>
      </c>
      <c r="P27" s="696">
        <f t="shared" si="3"/>
        <v>125.06666666666668</v>
      </c>
      <c r="Q27" s="696">
        <f t="shared" si="3"/>
        <v>724.53333333333342</v>
      </c>
      <c r="R27" s="696">
        <f t="shared" ca="1" si="3"/>
        <v>274033.72661304922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3351.5976737713117</v>
      </c>
      <c r="D40" s="686">
        <f ca="1">tertiair!C20</f>
        <v>0</v>
      </c>
      <c r="E40" s="686">
        <f ca="1">tertiair!D20</f>
        <v>4106.3429856458988</v>
      </c>
      <c r="F40" s="686">
        <f>tertiair!E20</f>
        <v>47.342349847863922</v>
      </c>
      <c r="G40" s="686">
        <f ca="1">tertiair!F20</f>
        <v>815.14215930066257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8320.4251685657364</v>
      </c>
    </row>
    <row r="41" spans="1:18">
      <c r="A41" s="814" t="s">
        <v>224</v>
      </c>
      <c r="B41" s="821"/>
      <c r="C41" s="686">
        <f ca="1">huishoudens!B12</f>
        <v>6792.8783803858332</v>
      </c>
      <c r="D41" s="686">
        <f ca="1">huishoudens!C12</f>
        <v>0</v>
      </c>
      <c r="E41" s="686">
        <f>huishoudens!D12</f>
        <v>10341.805062638003</v>
      </c>
      <c r="F41" s="686">
        <f>huishoudens!E12</f>
        <v>524.57210161988758</v>
      </c>
      <c r="G41" s="686">
        <f>huishoudens!F12</f>
        <v>9282.3088111200068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26941.56435576373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799.07413250122727</v>
      </c>
      <c r="D43" s="686">
        <f ca="1">industrie!C22</f>
        <v>0</v>
      </c>
      <c r="E43" s="686">
        <f>industrie!D22</f>
        <v>503.01800601411708</v>
      </c>
      <c r="F43" s="686">
        <f>industrie!E22</f>
        <v>82.099670511437424</v>
      </c>
      <c r="G43" s="686">
        <f>industrie!F22</f>
        <v>507.31487555275589</v>
      </c>
      <c r="H43" s="686">
        <f>industrie!G22</f>
        <v>0</v>
      </c>
      <c r="I43" s="686">
        <f>industrie!H22</f>
        <v>0</v>
      </c>
      <c r="J43" s="686">
        <f>industrie!I22</f>
        <v>0</v>
      </c>
      <c r="K43" s="686">
        <f>industrie!J22</f>
        <v>1.8668963114954014</v>
      </c>
      <c r="L43" s="686">
        <f>industrie!K22</f>
        <v>0</v>
      </c>
      <c r="M43" s="686">
        <f>industrie!L22</f>
        <v>0</v>
      </c>
      <c r="N43" s="686">
        <f>industrie!M22</f>
        <v>0</v>
      </c>
      <c r="O43" s="686">
        <f>industrie!N22</f>
        <v>0</v>
      </c>
      <c r="P43" s="686">
        <f>industrie!O22</f>
        <v>0</v>
      </c>
      <c r="Q43" s="763">
        <f>industrie!P22</f>
        <v>0</v>
      </c>
      <c r="R43" s="841">
        <f t="shared" ca="1" si="4"/>
        <v>1893.3735808910328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10943.550186658373</v>
      </c>
      <c r="D46" s="721">
        <f t="shared" ref="D46:Q46" ca="1" si="5">SUM(D39:D45)</f>
        <v>0</v>
      </c>
      <c r="E46" s="721">
        <f t="shared" ca="1" si="5"/>
        <v>14951.166054298019</v>
      </c>
      <c r="F46" s="721">
        <f t="shared" si="5"/>
        <v>654.01412197918899</v>
      </c>
      <c r="G46" s="721">
        <f t="shared" ca="1" si="5"/>
        <v>10604.765845973425</v>
      </c>
      <c r="H46" s="721">
        <f t="shared" si="5"/>
        <v>0</v>
      </c>
      <c r="I46" s="721">
        <f t="shared" si="5"/>
        <v>0</v>
      </c>
      <c r="J46" s="721">
        <f t="shared" si="5"/>
        <v>0</v>
      </c>
      <c r="K46" s="721">
        <f t="shared" si="5"/>
        <v>1.8668963114954014</v>
      </c>
      <c r="L46" s="721">
        <f t="shared" si="5"/>
        <v>0</v>
      </c>
      <c r="M46" s="721">
        <f t="shared" ca="1" si="5"/>
        <v>0</v>
      </c>
      <c r="N46" s="721">
        <f t="shared" si="5"/>
        <v>0</v>
      </c>
      <c r="O46" s="721">
        <f t="shared" ca="1" si="5"/>
        <v>0</v>
      </c>
      <c r="P46" s="721">
        <f t="shared" si="5"/>
        <v>0</v>
      </c>
      <c r="Q46" s="721">
        <f t="shared" si="5"/>
        <v>0</v>
      </c>
      <c r="R46" s="721">
        <f ca="1">SUM(R39:R45)</f>
        <v>37155.363105220502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409.12103546512111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409.12103546512111</v>
      </c>
    </row>
    <row r="50" spans="1:18">
      <c r="A50" s="817" t="s">
        <v>306</v>
      </c>
      <c r="B50" s="827"/>
      <c r="C50" s="692">
        <f ca="1">transport!B18</f>
        <v>0.74643390534972087</v>
      </c>
      <c r="D50" s="692">
        <f>transport!C18</f>
        <v>0</v>
      </c>
      <c r="E50" s="692">
        <f>transport!D18</f>
        <v>1.5448777069496498</v>
      </c>
      <c r="F50" s="692">
        <f>transport!E18</f>
        <v>59.701540819903428</v>
      </c>
      <c r="G50" s="692">
        <f>transport!F18</f>
        <v>0</v>
      </c>
      <c r="H50" s="692">
        <f>transport!G18</f>
        <v>15929.930674286377</v>
      </c>
      <c r="I50" s="692">
        <f>transport!H18</f>
        <v>3406.3732159764481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19398.296742695027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0.74643390534972087</v>
      </c>
      <c r="D52" s="721">
        <f t="shared" ref="D52:Q52" ca="1" si="6">SUM(D48:D51)</f>
        <v>0</v>
      </c>
      <c r="E52" s="721">
        <f t="shared" si="6"/>
        <v>1.5448777069496498</v>
      </c>
      <c r="F52" s="721">
        <f t="shared" si="6"/>
        <v>59.701540819903428</v>
      </c>
      <c r="G52" s="721">
        <f t="shared" si="6"/>
        <v>0</v>
      </c>
      <c r="H52" s="721">
        <f t="shared" si="6"/>
        <v>16339.051709751498</v>
      </c>
      <c r="I52" s="721">
        <f t="shared" si="6"/>
        <v>3406.3732159764481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19807.417778160147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572.29711652640958</v>
      </c>
      <c r="D54" s="692">
        <f ca="1">+landbouw!C12</f>
        <v>0</v>
      </c>
      <c r="E54" s="692">
        <f>+landbouw!D12</f>
        <v>44.285199300017418</v>
      </c>
      <c r="F54" s="692">
        <f>+landbouw!E12</f>
        <v>7.9144022032704333</v>
      </c>
      <c r="G54" s="692">
        <f>+landbouw!F12</f>
        <v>2548.8202219021136</v>
      </c>
      <c r="H54" s="692">
        <f>+landbouw!G12</f>
        <v>0</v>
      </c>
      <c r="I54" s="692">
        <f>+landbouw!H12</f>
        <v>0</v>
      </c>
      <c r="J54" s="692">
        <f>+landbouw!I12</f>
        <v>0</v>
      </c>
      <c r="K54" s="692">
        <f>+landbouw!J12</f>
        <v>147.29757105441081</v>
      </c>
      <c r="L54" s="692">
        <f>+landbouw!K12</f>
        <v>0</v>
      </c>
      <c r="M54" s="692">
        <f>+landbouw!L12</f>
        <v>0</v>
      </c>
      <c r="N54" s="692">
        <f>+landbouw!M12</f>
        <v>0</v>
      </c>
      <c r="O54" s="692">
        <f>+landbouw!N12</f>
        <v>0</v>
      </c>
      <c r="P54" s="692">
        <f>+landbouw!O12</f>
        <v>0</v>
      </c>
      <c r="Q54" s="693">
        <f>+landbouw!P12</f>
        <v>0</v>
      </c>
      <c r="R54" s="720">
        <f ca="1">SUM(C54:Q54)</f>
        <v>3320.6145109862218</v>
      </c>
    </row>
    <row r="55" spans="1:18" ht="15" thickBot="1">
      <c r="A55" s="817" t="s">
        <v>856</v>
      </c>
      <c r="B55" s="827"/>
      <c r="C55" s="692">
        <f ca="1">C25*'EF ele_warmte'!B12</f>
        <v>208.28347564855224</v>
      </c>
      <c r="D55" s="692"/>
      <c r="E55" s="692">
        <f>E25*EF_CO2_aardgas</f>
        <v>336.93789197142638</v>
      </c>
      <c r="F55" s="692"/>
      <c r="G55" s="692"/>
      <c r="H55" s="692"/>
      <c r="I55" s="692"/>
      <c r="J55" s="692"/>
      <c r="K55" s="692"/>
      <c r="L55" s="692"/>
      <c r="M55" s="692"/>
      <c r="N55" s="692"/>
      <c r="O55" s="692"/>
      <c r="P55" s="692"/>
      <c r="Q55" s="693"/>
      <c r="R55" s="720">
        <f ca="1">SUM(C55:Q55)</f>
        <v>545.22136761997865</v>
      </c>
    </row>
    <row r="56" spans="1:18" ht="15.75" thickBot="1">
      <c r="A56" s="815" t="s">
        <v>857</v>
      </c>
      <c r="B56" s="828"/>
      <c r="C56" s="721">
        <f ca="1">SUM(C54:C55)</f>
        <v>780.58059217496179</v>
      </c>
      <c r="D56" s="721">
        <f t="shared" ref="D56:Q56" ca="1" si="7">SUM(D54:D55)</f>
        <v>0</v>
      </c>
      <c r="E56" s="721">
        <f t="shared" si="7"/>
        <v>381.22309127144382</v>
      </c>
      <c r="F56" s="721">
        <f t="shared" si="7"/>
        <v>7.9144022032704333</v>
      </c>
      <c r="G56" s="721">
        <f t="shared" si="7"/>
        <v>2548.8202219021136</v>
      </c>
      <c r="H56" s="721">
        <f t="shared" si="7"/>
        <v>0</v>
      </c>
      <c r="I56" s="721">
        <f t="shared" si="7"/>
        <v>0</v>
      </c>
      <c r="J56" s="721">
        <f t="shared" si="7"/>
        <v>0</v>
      </c>
      <c r="K56" s="721">
        <f t="shared" si="7"/>
        <v>147.29757105441081</v>
      </c>
      <c r="L56" s="721">
        <f t="shared" si="7"/>
        <v>0</v>
      </c>
      <c r="M56" s="721">
        <f t="shared" si="7"/>
        <v>0</v>
      </c>
      <c r="N56" s="721">
        <f t="shared" si="7"/>
        <v>0</v>
      </c>
      <c r="O56" s="721">
        <f t="shared" si="7"/>
        <v>0</v>
      </c>
      <c r="P56" s="721">
        <f t="shared" si="7"/>
        <v>0</v>
      </c>
      <c r="Q56" s="722">
        <f t="shared" si="7"/>
        <v>0</v>
      </c>
      <c r="R56" s="723">
        <f ca="1">SUM(R54:R55)</f>
        <v>3865.8358786062004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11724.877212738684</v>
      </c>
      <c r="D61" s="729">
        <f t="shared" ref="D61:Q61" ca="1" si="8">D46+D52+D56</f>
        <v>0</v>
      </c>
      <c r="E61" s="729">
        <f t="shared" ca="1" si="8"/>
        <v>15333.934023276413</v>
      </c>
      <c r="F61" s="729">
        <f t="shared" si="8"/>
        <v>721.63006500236293</v>
      </c>
      <c r="G61" s="729">
        <f t="shared" ca="1" si="8"/>
        <v>13153.586067875538</v>
      </c>
      <c r="H61" s="729">
        <f t="shared" si="8"/>
        <v>16339.051709751498</v>
      </c>
      <c r="I61" s="729">
        <f t="shared" si="8"/>
        <v>3406.3732159764481</v>
      </c>
      <c r="J61" s="729">
        <f t="shared" si="8"/>
        <v>0</v>
      </c>
      <c r="K61" s="729">
        <f t="shared" si="8"/>
        <v>149.16446736590621</v>
      </c>
      <c r="L61" s="729">
        <f t="shared" si="8"/>
        <v>0</v>
      </c>
      <c r="M61" s="729">
        <f t="shared" ca="1" si="8"/>
        <v>0</v>
      </c>
      <c r="N61" s="729">
        <f t="shared" si="8"/>
        <v>0</v>
      </c>
      <c r="O61" s="729">
        <f t="shared" ca="1" si="8"/>
        <v>0</v>
      </c>
      <c r="P61" s="729">
        <f t="shared" si="8"/>
        <v>0</v>
      </c>
      <c r="Q61" s="729">
        <f t="shared" si="8"/>
        <v>0</v>
      </c>
      <c r="R61" s="729">
        <f ca="1">R46+R52+R56</f>
        <v>60828.61676198685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0.20684462712570162</v>
      </c>
      <c r="D63" s="772">
        <f t="shared" ca="1" si="9"/>
        <v>0</v>
      </c>
      <c r="E63" s="998">
        <f t="shared" ca="1" si="9"/>
        <v>0.20200000000000001</v>
      </c>
      <c r="F63" s="772">
        <f t="shared" si="9"/>
        <v>0.22700000000000006</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3587.0728551292696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43.649999999999991</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51.35294117647058</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3630.7228551292696</v>
      </c>
      <c r="C78" s="744">
        <f>SUM(C72:C77)</f>
        <v>0</v>
      </c>
      <c r="D78" s="745">
        <f t="shared" ref="D78:H78" si="10">SUM(D76:D77)</f>
        <v>0</v>
      </c>
      <c r="E78" s="745">
        <f t="shared" si="10"/>
        <v>0</v>
      </c>
      <c r="F78" s="745">
        <f t="shared" si="10"/>
        <v>0</v>
      </c>
      <c r="G78" s="745">
        <f t="shared" si="10"/>
        <v>0</v>
      </c>
      <c r="H78" s="745">
        <f t="shared" si="10"/>
        <v>0</v>
      </c>
      <c r="I78" s="745">
        <f>SUM(I76:I77)</f>
        <v>0</v>
      </c>
      <c r="J78" s="745">
        <f>SUM(J76:J77)</f>
        <v>51.35294117647058</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62.357142857142847</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73.361344537815114</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62.357142857142847</v>
      </c>
      <c r="C90" s="744">
        <f>SUM(C87:C89)</f>
        <v>0</v>
      </c>
      <c r="D90" s="744">
        <f t="shared" ref="D90:H90" si="12">SUM(D87:D89)</f>
        <v>0</v>
      </c>
      <c r="E90" s="744">
        <f t="shared" si="12"/>
        <v>0</v>
      </c>
      <c r="F90" s="744">
        <f t="shared" si="12"/>
        <v>0</v>
      </c>
      <c r="G90" s="744">
        <f t="shared" si="12"/>
        <v>0</v>
      </c>
      <c r="H90" s="744">
        <f t="shared" si="12"/>
        <v>0</v>
      </c>
      <c r="I90" s="744">
        <f>SUM(I87:I89)</f>
        <v>0</v>
      </c>
      <c r="J90" s="744">
        <f>SUM(J87:J89)</f>
        <v>73.361344537815114</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3587.0728551292696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43.649999999999991</v>
      </c>
      <c r="C8" s="556">
        <f>B48</f>
        <v>0</v>
      </c>
      <c r="D8" s="1015"/>
      <c r="E8" s="1015">
        <f>E48</f>
        <v>0</v>
      </c>
      <c r="F8" s="1016"/>
      <c r="G8" s="557"/>
      <c r="H8" s="1015">
        <f>I48</f>
        <v>0</v>
      </c>
      <c r="I8" s="1015">
        <f>G48+F48</f>
        <v>0</v>
      </c>
      <c r="J8" s="1015">
        <f>H48+D48+C48</f>
        <v>51.35294117647058</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3630.7228551292696</v>
      </c>
      <c r="C10" s="569">
        <f t="shared" ref="C10:L10" si="0">SUM(C8:C9)</f>
        <v>0</v>
      </c>
      <c r="D10" s="569">
        <f t="shared" si="0"/>
        <v>0</v>
      </c>
      <c r="E10" s="569">
        <f t="shared" si="0"/>
        <v>0</v>
      </c>
      <c r="F10" s="569">
        <f t="shared" si="0"/>
        <v>0</v>
      </c>
      <c r="G10" s="569">
        <f t="shared" si="0"/>
        <v>0</v>
      </c>
      <c r="H10" s="569">
        <f t="shared" si="0"/>
        <v>0</v>
      </c>
      <c r="I10" s="569">
        <f t="shared" si="0"/>
        <v>0</v>
      </c>
      <c r="J10" s="569">
        <f t="shared" si="0"/>
        <v>51.35294117647058</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62.357142857142847</v>
      </c>
      <c r="C17" s="581">
        <f>B49</f>
        <v>0</v>
      </c>
      <c r="D17" s="582"/>
      <c r="E17" s="582">
        <f>E49</f>
        <v>0</v>
      </c>
      <c r="F17" s="1021"/>
      <c r="G17" s="583"/>
      <c r="H17" s="581">
        <f>I49</f>
        <v>0</v>
      </c>
      <c r="I17" s="582">
        <f>G49+F49</f>
        <v>0</v>
      </c>
      <c r="J17" s="582">
        <f>H49+D49+C49</f>
        <v>73.361344537815114</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62.357142857142847</v>
      </c>
      <c r="C20" s="568">
        <f>SUM(C17:C19)</f>
        <v>0</v>
      </c>
      <c r="D20" s="568">
        <f t="shared" ref="D20:L20" si="1">SUM(D17:D19)</f>
        <v>0</v>
      </c>
      <c r="E20" s="568">
        <f t="shared" si="1"/>
        <v>0</v>
      </c>
      <c r="F20" s="568">
        <f t="shared" si="1"/>
        <v>0</v>
      </c>
      <c r="G20" s="568">
        <f t="shared" si="1"/>
        <v>0</v>
      </c>
      <c r="H20" s="568">
        <f t="shared" si="1"/>
        <v>0</v>
      </c>
      <c r="I20" s="568">
        <f t="shared" si="1"/>
        <v>0</v>
      </c>
      <c r="J20" s="568">
        <f t="shared" si="1"/>
        <v>73.361344537815114</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23052</v>
      </c>
      <c r="C28" s="787">
        <v>1785</v>
      </c>
      <c r="D28" s="640" t="s">
        <v>920</v>
      </c>
      <c r="E28" s="639" t="s">
        <v>921</v>
      </c>
      <c r="F28" s="639" t="s">
        <v>922</v>
      </c>
      <c r="G28" s="639" t="s">
        <v>923</v>
      </c>
      <c r="H28" s="639" t="s">
        <v>924</v>
      </c>
      <c r="I28" s="639" t="s">
        <v>925</v>
      </c>
      <c r="J28" s="786">
        <v>41256</v>
      </c>
      <c r="K28" s="786">
        <v>41256</v>
      </c>
      <c r="L28" s="639" t="s">
        <v>926</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9.6999999999999993</v>
      </c>
      <c r="N29" s="597">
        <f>SUM(N28:N28)</f>
        <v>43.649999999999991</v>
      </c>
      <c r="O29" s="597">
        <f>SUM(O28:O28)</f>
        <v>62.357142857142847</v>
      </c>
      <c r="P29" s="597">
        <f>SUM(P28:P28)</f>
        <v>0</v>
      </c>
      <c r="Q29" s="597">
        <f>SUM(Q28:Q28)</f>
        <v>124.71428571428569</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43.649999999999991</v>
      </c>
      <c r="O32" s="602">
        <f>SUMIF($Z$28:$Z$28,"landbouw",O28:O28)</f>
        <v>62.357142857142847</v>
      </c>
      <c r="P32" s="602">
        <f>SUMIF($Z$28:$Z$28,"landbouw",P28:P28)</f>
        <v>0</v>
      </c>
      <c r="Q32" s="602">
        <f>SUMIF($Z$28:$Z$28,"landbouw",Q28:Q28)</f>
        <v>124.71428571428569</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51.35294117647058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73.361344537815114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32840.48744595977</v>
      </c>
      <c r="C4" s="458">
        <f>huishoudens!C8</f>
        <v>0</v>
      </c>
      <c r="D4" s="458">
        <f>huishoudens!D8</f>
        <v>51197.054765534667</v>
      </c>
      <c r="E4" s="458">
        <f>huishoudens!E8</f>
        <v>2310.8903155061125</v>
      </c>
      <c r="F4" s="458">
        <f>huishoudens!F8</f>
        <v>34765.201539775306</v>
      </c>
      <c r="G4" s="458">
        <f>huishoudens!G8</f>
        <v>0</v>
      </c>
      <c r="H4" s="458">
        <f>huishoudens!H8</f>
        <v>0</v>
      </c>
      <c r="I4" s="458">
        <f>huishoudens!I8</f>
        <v>0</v>
      </c>
      <c r="J4" s="458">
        <f>huishoudens!J8</f>
        <v>0</v>
      </c>
      <c r="K4" s="458">
        <f>huishoudens!K8</f>
        <v>0</v>
      </c>
      <c r="L4" s="458">
        <f>huishoudens!L8</f>
        <v>0</v>
      </c>
      <c r="M4" s="458">
        <f>huishoudens!M8</f>
        <v>0</v>
      </c>
      <c r="N4" s="458">
        <f>huishoudens!N8</f>
        <v>7524.2614789305253</v>
      </c>
      <c r="O4" s="458">
        <f>huishoudens!O8</f>
        <v>121.94000000000001</v>
      </c>
      <c r="P4" s="459">
        <f>huishoudens!P8</f>
        <v>667.33333333333337</v>
      </c>
      <c r="Q4" s="460">
        <f>SUM(B4:P4)</f>
        <v>129427.1688790397</v>
      </c>
    </row>
    <row r="5" spans="1:17">
      <c r="A5" s="457" t="s">
        <v>155</v>
      </c>
      <c r="B5" s="458">
        <f ca="1">tertiair!B16</f>
        <v>15349.446319796689</v>
      </c>
      <c r="C5" s="458">
        <f ca="1">tertiair!C16</f>
        <v>0</v>
      </c>
      <c r="D5" s="458">
        <f ca="1">tertiair!D16</f>
        <v>20328.4306220094</v>
      </c>
      <c r="E5" s="458">
        <f>tertiair!E16</f>
        <v>208.55660725931241</v>
      </c>
      <c r="F5" s="458">
        <f ca="1">tertiair!F16</f>
        <v>3052.9668887665262</v>
      </c>
      <c r="G5" s="458">
        <f>tertiair!G16</f>
        <v>0</v>
      </c>
      <c r="H5" s="458">
        <f>tertiair!H16</f>
        <v>0</v>
      </c>
      <c r="I5" s="458">
        <f>tertiair!I16</f>
        <v>0</v>
      </c>
      <c r="J5" s="458">
        <f>tertiair!J16</f>
        <v>0</v>
      </c>
      <c r="K5" s="458">
        <f>tertiair!K16</f>
        <v>0</v>
      </c>
      <c r="L5" s="458">
        <f ca="1">tertiair!L16</f>
        <v>0</v>
      </c>
      <c r="M5" s="458">
        <f>tertiair!M16</f>
        <v>0</v>
      </c>
      <c r="N5" s="458">
        <f ca="1">tertiair!N16</f>
        <v>1457.9908446284437</v>
      </c>
      <c r="O5" s="458">
        <f>tertiair!O16</f>
        <v>3.1266666666666669</v>
      </c>
      <c r="P5" s="459">
        <f>tertiair!P16</f>
        <v>57.2</v>
      </c>
      <c r="Q5" s="457">
        <f t="shared" ref="Q5:Q14" ca="1" si="0">SUM(B5:P5)</f>
        <v>40457.717949127036</v>
      </c>
    </row>
    <row r="6" spans="1:17">
      <c r="A6" s="457" t="s">
        <v>193</v>
      </c>
      <c r="B6" s="458">
        <f>'openbare verlichting'!B8</f>
        <v>854.00900000000001</v>
      </c>
      <c r="C6" s="458"/>
      <c r="D6" s="458"/>
      <c r="E6" s="458"/>
      <c r="F6" s="458"/>
      <c r="G6" s="458"/>
      <c r="H6" s="458"/>
      <c r="I6" s="458"/>
      <c r="J6" s="458"/>
      <c r="K6" s="458"/>
      <c r="L6" s="458"/>
      <c r="M6" s="458"/>
      <c r="N6" s="458"/>
      <c r="O6" s="458"/>
      <c r="P6" s="459"/>
      <c r="Q6" s="457">
        <f t="shared" si="0"/>
        <v>854.00900000000001</v>
      </c>
    </row>
    <row r="7" spans="1:17">
      <c r="A7" s="457" t="s">
        <v>111</v>
      </c>
      <c r="B7" s="458">
        <f>landbouw!B8</f>
        <v>2766.7971098839266</v>
      </c>
      <c r="C7" s="458">
        <f>landbouw!C8</f>
        <v>62.357142857142847</v>
      </c>
      <c r="D7" s="458">
        <f>landbouw!D8</f>
        <v>219.23365990107632</v>
      </c>
      <c r="E7" s="458">
        <f>landbouw!E8</f>
        <v>34.865207943922613</v>
      </c>
      <c r="F7" s="458">
        <f>landbouw!F8</f>
        <v>9546.1431531914368</v>
      </c>
      <c r="G7" s="458">
        <f>landbouw!G8</f>
        <v>0</v>
      </c>
      <c r="H7" s="458">
        <f>landbouw!H8</f>
        <v>0</v>
      </c>
      <c r="I7" s="458">
        <f>landbouw!I8</f>
        <v>0</v>
      </c>
      <c r="J7" s="458">
        <f>landbouw!J8</f>
        <v>416.09483348703617</v>
      </c>
      <c r="K7" s="458">
        <f>landbouw!K8</f>
        <v>0</v>
      </c>
      <c r="L7" s="458">
        <f>landbouw!L8</f>
        <v>0</v>
      </c>
      <c r="M7" s="458">
        <f>landbouw!M8</f>
        <v>0</v>
      </c>
      <c r="N7" s="458">
        <f>landbouw!N8</f>
        <v>0</v>
      </c>
      <c r="O7" s="458">
        <f>landbouw!O8</f>
        <v>0</v>
      </c>
      <c r="P7" s="459">
        <f>landbouw!P8</f>
        <v>0</v>
      </c>
      <c r="Q7" s="457">
        <f t="shared" si="0"/>
        <v>13045.491107264541</v>
      </c>
    </row>
    <row r="8" spans="1:17">
      <c r="A8" s="457" t="s">
        <v>655</v>
      </c>
      <c r="B8" s="458">
        <f>industrie!B18</f>
        <v>3863.1611737036892</v>
      </c>
      <c r="C8" s="458">
        <f>industrie!C18</f>
        <v>0</v>
      </c>
      <c r="D8" s="458">
        <f>industrie!D18</f>
        <v>2490.188148584738</v>
      </c>
      <c r="E8" s="458">
        <f>industrie!E18</f>
        <v>361.67255731910757</v>
      </c>
      <c r="F8" s="458">
        <f>industrie!F18</f>
        <v>1900.0557136807336</v>
      </c>
      <c r="G8" s="458">
        <f>industrie!G18</f>
        <v>0</v>
      </c>
      <c r="H8" s="458">
        <f>industrie!H18</f>
        <v>0</v>
      </c>
      <c r="I8" s="458">
        <f>industrie!I18</f>
        <v>0</v>
      </c>
      <c r="J8" s="458">
        <f>industrie!J18</f>
        <v>5.2737183940548062</v>
      </c>
      <c r="K8" s="458">
        <f>industrie!K18</f>
        <v>0</v>
      </c>
      <c r="L8" s="458">
        <f>industrie!L18</f>
        <v>0</v>
      </c>
      <c r="M8" s="458">
        <f>industrie!M18</f>
        <v>0</v>
      </c>
      <c r="N8" s="458">
        <f>industrie!N18</f>
        <v>418.9489908623259</v>
      </c>
      <c r="O8" s="458">
        <f>industrie!O18</f>
        <v>0</v>
      </c>
      <c r="P8" s="459">
        <f>industrie!P18</f>
        <v>0</v>
      </c>
      <c r="Q8" s="457">
        <f t="shared" si="0"/>
        <v>9039.3003025446487</v>
      </c>
    </row>
    <row r="9" spans="1:17" s="463" customFormat="1">
      <c r="A9" s="461" t="s">
        <v>573</v>
      </c>
      <c r="B9" s="462">
        <f>transport!B14</f>
        <v>3.6086695396545418</v>
      </c>
      <c r="C9" s="462">
        <f>transport!C14</f>
        <v>0</v>
      </c>
      <c r="D9" s="462">
        <f>transport!D14</f>
        <v>7.6479094403448</v>
      </c>
      <c r="E9" s="462">
        <f>transport!E14</f>
        <v>263.00238246653493</v>
      </c>
      <c r="F9" s="462">
        <f>transport!F14</f>
        <v>0</v>
      </c>
      <c r="G9" s="462">
        <f>transport!G14</f>
        <v>59662.661701447105</v>
      </c>
      <c r="H9" s="462">
        <f>transport!H14</f>
        <v>13680.213718780917</v>
      </c>
      <c r="I9" s="462">
        <f>transport!I14</f>
        <v>0</v>
      </c>
      <c r="J9" s="462">
        <f>transport!J14</f>
        <v>0</v>
      </c>
      <c r="K9" s="462">
        <f>transport!K14</f>
        <v>0</v>
      </c>
      <c r="L9" s="462">
        <f>transport!L14</f>
        <v>0</v>
      </c>
      <c r="M9" s="462">
        <f>transport!M14</f>
        <v>3317.4474947705921</v>
      </c>
      <c r="N9" s="462">
        <f>transport!N14</f>
        <v>0</v>
      </c>
      <c r="O9" s="462">
        <f>transport!O14</f>
        <v>0</v>
      </c>
      <c r="P9" s="462">
        <f>transport!P14</f>
        <v>0</v>
      </c>
      <c r="Q9" s="461">
        <f>SUM(B9:P9)</f>
        <v>76934.58187644514</v>
      </c>
    </row>
    <row r="10" spans="1:17">
      <c r="A10" s="457" t="s">
        <v>563</v>
      </c>
      <c r="B10" s="458">
        <f>transport!B54</f>
        <v>0</v>
      </c>
      <c r="C10" s="458">
        <f>transport!C54</f>
        <v>0</v>
      </c>
      <c r="D10" s="458">
        <f>transport!D54</f>
        <v>0</v>
      </c>
      <c r="E10" s="458">
        <f>transport!E54</f>
        <v>0</v>
      </c>
      <c r="F10" s="458">
        <f>transport!F54</f>
        <v>0</v>
      </c>
      <c r="G10" s="458">
        <f>transport!G54</f>
        <v>1532.2885223412775</v>
      </c>
      <c r="H10" s="458">
        <f>transport!H54</f>
        <v>0</v>
      </c>
      <c r="I10" s="458">
        <f>transport!I54</f>
        <v>0</v>
      </c>
      <c r="J10" s="458">
        <f>transport!J54</f>
        <v>0</v>
      </c>
      <c r="K10" s="458">
        <f>transport!K54</f>
        <v>0</v>
      </c>
      <c r="L10" s="458">
        <f>transport!L54</f>
        <v>0</v>
      </c>
      <c r="M10" s="458">
        <f>transport!M54</f>
        <v>68.203429779728467</v>
      </c>
      <c r="N10" s="458">
        <f>transport!N54</f>
        <v>0</v>
      </c>
      <c r="O10" s="458">
        <f>transport!O54</f>
        <v>0</v>
      </c>
      <c r="P10" s="459">
        <f>transport!P54</f>
        <v>0</v>
      </c>
      <c r="Q10" s="457">
        <f t="shared" si="0"/>
        <v>1600.4919521210059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1006.95618031198</v>
      </c>
      <c r="C14" s="465"/>
      <c r="D14" s="465">
        <f>'SEAP template'!E25</f>
        <v>1668.0093661951801</v>
      </c>
      <c r="E14" s="465"/>
      <c r="F14" s="465"/>
      <c r="G14" s="465"/>
      <c r="H14" s="465"/>
      <c r="I14" s="465"/>
      <c r="J14" s="465"/>
      <c r="K14" s="465"/>
      <c r="L14" s="465"/>
      <c r="M14" s="465"/>
      <c r="N14" s="465"/>
      <c r="O14" s="465"/>
      <c r="P14" s="466"/>
      <c r="Q14" s="457">
        <f t="shared" si="0"/>
        <v>2674.9655465071601</v>
      </c>
    </row>
    <row r="15" spans="1:17" s="470" customFormat="1">
      <c r="A15" s="467" t="s">
        <v>567</v>
      </c>
      <c r="B15" s="468">
        <f ca="1">SUM(B4:B14)</f>
        <v>56684.465899195704</v>
      </c>
      <c r="C15" s="468">
        <f t="shared" ref="C15:Q15" ca="1" si="1">SUM(C4:C14)</f>
        <v>62.357142857142847</v>
      </c>
      <c r="D15" s="468">
        <f t="shared" ca="1" si="1"/>
        <v>75910.564471665406</v>
      </c>
      <c r="E15" s="468">
        <f t="shared" si="1"/>
        <v>3178.9870704949899</v>
      </c>
      <c r="F15" s="468">
        <f t="shared" ca="1" si="1"/>
        <v>49264.367295413998</v>
      </c>
      <c r="G15" s="468">
        <f t="shared" si="1"/>
        <v>61194.950223788379</v>
      </c>
      <c r="H15" s="468">
        <f t="shared" si="1"/>
        <v>13680.213718780917</v>
      </c>
      <c r="I15" s="468">
        <f t="shared" si="1"/>
        <v>0</v>
      </c>
      <c r="J15" s="468">
        <f t="shared" si="1"/>
        <v>421.36855188109098</v>
      </c>
      <c r="K15" s="468">
        <f t="shared" si="1"/>
        <v>0</v>
      </c>
      <c r="L15" s="468">
        <f t="shared" ca="1" si="1"/>
        <v>0</v>
      </c>
      <c r="M15" s="468">
        <f t="shared" si="1"/>
        <v>3385.6509245503207</v>
      </c>
      <c r="N15" s="468">
        <f t="shared" ca="1" si="1"/>
        <v>9401.2013144212942</v>
      </c>
      <c r="O15" s="468">
        <f t="shared" si="1"/>
        <v>125.06666666666668</v>
      </c>
      <c r="P15" s="468">
        <f t="shared" si="1"/>
        <v>724.53333333333342</v>
      </c>
      <c r="Q15" s="468">
        <f t="shared" ca="1" si="1"/>
        <v>274033.72661304922</v>
      </c>
    </row>
    <row r="17" spans="1:17">
      <c r="A17" s="471" t="s">
        <v>568</v>
      </c>
      <c r="B17" s="777">
        <f ca="1">huishoudens!B10</f>
        <v>0.20684462712570159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6792.8783803858332</v>
      </c>
      <c r="C22" s="458">
        <f t="shared" ref="C22:C32" ca="1" si="3">C4*$C$17</f>
        <v>0</v>
      </c>
      <c r="D22" s="458">
        <f t="shared" ref="D22:D32" si="4">D4*$D$17</f>
        <v>10341.805062638003</v>
      </c>
      <c r="E22" s="458">
        <f t="shared" ref="E22:E32" si="5">E4*$E$17</f>
        <v>524.57210161988758</v>
      </c>
      <c r="F22" s="458">
        <f t="shared" ref="F22:F32" si="6">F4*$F$17</f>
        <v>9282.3088111200068</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26941.56435576373</v>
      </c>
    </row>
    <row r="23" spans="1:17">
      <c r="A23" s="457" t="s">
        <v>155</v>
      </c>
      <c r="B23" s="458">
        <f t="shared" ca="1" si="2"/>
        <v>3174.9505006043187</v>
      </c>
      <c r="C23" s="458">
        <f t="shared" ca="1" si="3"/>
        <v>0</v>
      </c>
      <c r="D23" s="458">
        <f t="shared" ca="1" si="4"/>
        <v>4106.3429856458988</v>
      </c>
      <c r="E23" s="458">
        <f t="shared" si="5"/>
        <v>47.342349847863922</v>
      </c>
      <c r="F23" s="458">
        <f t="shared" ca="1" si="6"/>
        <v>815.14215930066257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8143.7779953987438</v>
      </c>
    </row>
    <row r="24" spans="1:17">
      <c r="A24" s="457" t="s">
        <v>193</v>
      </c>
      <c r="B24" s="458">
        <f t="shared" ca="1" si="2"/>
        <v>176.6471731669933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176.6471731669933</v>
      </c>
    </row>
    <row r="25" spans="1:17">
      <c r="A25" s="457" t="s">
        <v>111</v>
      </c>
      <c r="B25" s="458">
        <f t="shared" ca="1" si="2"/>
        <v>572.29711652640958</v>
      </c>
      <c r="C25" s="458">
        <f t="shared" ca="1" si="3"/>
        <v>0</v>
      </c>
      <c r="D25" s="458">
        <f t="shared" si="4"/>
        <v>44.285199300017418</v>
      </c>
      <c r="E25" s="458">
        <f t="shared" si="5"/>
        <v>7.9144022032704333</v>
      </c>
      <c r="F25" s="458">
        <f t="shared" si="6"/>
        <v>2548.8202219021136</v>
      </c>
      <c r="G25" s="458">
        <f t="shared" si="7"/>
        <v>0</v>
      </c>
      <c r="H25" s="458">
        <f t="shared" si="8"/>
        <v>0</v>
      </c>
      <c r="I25" s="458">
        <f t="shared" si="9"/>
        <v>0</v>
      </c>
      <c r="J25" s="458">
        <f t="shared" si="10"/>
        <v>147.29757105441081</v>
      </c>
      <c r="K25" s="458">
        <f t="shared" si="11"/>
        <v>0</v>
      </c>
      <c r="L25" s="458">
        <f t="shared" si="12"/>
        <v>0</v>
      </c>
      <c r="M25" s="458">
        <f t="shared" si="13"/>
        <v>0</v>
      </c>
      <c r="N25" s="458">
        <f t="shared" si="14"/>
        <v>0</v>
      </c>
      <c r="O25" s="458">
        <f t="shared" si="15"/>
        <v>0</v>
      </c>
      <c r="P25" s="459">
        <f t="shared" si="16"/>
        <v>0</v>
      </c>
      <c r="Q25" s="457">
        <f t="shared" ca="1" si="17"/>
        <v>3320.6145109862218</v>
      </c>
    </row>
    <row r="26" spans="1:17">
      <c r="A26" s="457" t="s">
        <v>655</v>
      </c>
      <c r="B26" s="458">
        <f t="shared" ca="1" si="2"/>
        <v>799.07413250122727</v>
      </c>
      <c r="C26" s="458">
        <f t="shared" ca="1" si="3"/>
        <v>0</v>
      </c>
      <c r="D26" s="458">
        <f t="shared" si="4"/>
        <v>503.01800601411708</v>
      </c>
      <c r="E26" s="458">
        <f t="shared" si="5"/>
        <v>82.099670511437424</v>
      </c>
      <c r="F26" s="458">
        <f t="shared" si="6"/>
        <v>507.31487555275589</v>
      </c>
      <c r="G26" s="458">
        <f t="shared" si="7"/>
        <v>0</v>
      </c>
      <c r="H26" s="458">
        <f t="shared" si="8"/>
        <v>0</v>
      </c>
      <c r="I26" s="458">
        <f t="shared" si="9"/>
        <v>0</v>
      </c>
      <c r="J26" s="458">
        <f t="shared" si="10"/>
        <v>1.8668963114954014</v>
      </c>
      <c r="K26" s="458">
        <f t="shared" si="11"/>
        <v>0</v>
      </c>
      <c r="L26" s="458">
        <f t="shared" si="12"/>
        <v>0</v>
      </c>
      <c r="M26" s="458">
        <f t="shared" si="13"/>
        <v>0</v>
      </c>
      <c r="N26" s="458">
        <f t="shared" si="14"/>
        <v>0</v>
      </c>
      <c r="O26" s="458">
        <f t="shared" si="15"/>
        <v>0</v>
      </c>
      <c r="P26" s="459">
        <f t="shared" si="16"/>
        <v>0</v>
      </c>
      <c r="Q26" s="457">
        <f t="shared" ca="1" si="17"/>
        <v>1893.3735808910328</v>
      </c>
    </row>
    <row r="27" spans="1:17" s="463" customFormat="1">
      <c r="A27" s="461" t="s">
        <v>573</v>
      </c>
      <c r="B27" s="771">
        <f t="shared" ca="1" si="2"/>
        <v>0.74643390534972087</v>
      </c>
      <c r="C27" s="462">
        <f t="shared" ca="1" si="3"/>
        <v>0</v>
      </c>
      <c r="D27" s="462">
        <f t="shared" si="4"/>
        <v>1.5448777069496498</v>
      </c>
      <c r="E27" s="462">
        <f t="shared" si="5"/>
        <v>59.701540819903428</v>
      </c>
      <c r="F27" s="462">
        <f t="shared" si="6"/>
        <v>0</v>
      </c>
      <c r="G27" s="462">
        <f t="shared" si="7"/>
        <v>15929.930674286377</v>
      </c>
      <c r="H27" s="462">
        <f t="shared" si="8"/>
        <v>3406.3732159764481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19398.296742695027</v>
      </c>
    </row>
    <row r="28" spans="1:17">
      <c r="A28" s="457" t="s">
        <v>563</v>
      </c>
      <c r="B28" s="458">
        <f t="shared" ca="1" si="2"/>
        <v>0</v>
      </c>
      <c r="C28" s="458">
        <f t="shared" ca="1" si="3"/>
        <v>0</v>
      </c>
      <c r="D28" s="458">
        <f t="shared" si="4"/>
        <v>0</v>
      </c>
      <c r="E28" s="458">
        <f t="shared" si="5"/>
        <v>0</v>
      </c>
      <c r="F28" s="458">
        <f t="shared" si="6"/>
        <v>0</v>
      </c>
      <c r="G28" s="458">
        <f t="shared" si="7"/>
        <v>409.12103546512111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409.12103546512111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208.28347564855224</v>
      </c>
      <c r="C32" s="458">
        <f t="shared" ca="1" si="3"/>
        <v>0</v>
      </c>
      <c r="D32" s="458">
        <f t="shared" si="4"/>
        <v>336.93789197142638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545.22136761997865</v>
      </c>
    </row>
    <row r="33" spans="1:17" s="470" customFormat="1">
      <c r="A33" s="467" t="s">
        <v>567</v>
      </c>
      <c r="B33" s="468">
        <f ca="1">SUM(B22:B32)</f>
        <v>11724.877212738684</v>
      </c>
      <c r="C33" s="468">
        <f t="shared" ref="C33:Q33" ca="1" si="18">SUM(C22:C32)</f>
        <v>0</v>
      </c>
      <c r="D33" s="468">
        <f t="shared" ca="1" si="18"/>
        <v>15333.934023276413</v>
      </c>
      <c r="E33" s="468">
        <f t="shared" si="18"/>
        <v>721.63006500236293</v>
      </c>
      <c r="F33" s="468">
        <f t="shared" ca="1" si="18"/>
        <v>13153.586067875538</v>
      </c>
      <c r="G33" s="468">
        <f t="shared" si="18"/>
        <v>16339.051709751498</v>
      </c>
      <c r="H33" s="468">
        <f t="shared" si="18"/>
        <v>3406.3732159764481</v>
      </c>
      <c r="I33" s="468">
        <f t="shared" si="18"/>
        <v>0</v>
      </c>
      <c r="J33" s="468">
        <f t="shared" si="18"/>
        <v>149.16446736590621</v>
      </c>
      <c r="K33" s="468">
        <f t="shared" si="18"/>
        <v>0</v>
      </c>
      <c r="L33" s="468">
        <f t="shared" ca="1" si="18"/>
        <v>0</v>
      </c>
      <c r="M33" s="468">
        <f t="shared" si="18"/>
        <v>0</v>
      </c>
      <c r="N33" s="468">
        <f t="shared" ca="1" si="18"/>
        <v>0</v>
      </c>
      <c r="O33" s="468">
        <f t="shared" si="18"/>
        <v>0</v>
      </c>
      <c r="P33" s="468">
        <f t="shared" si="18"/>
        <v>0</v>
      </c>
      <c r="Q33" s="468">
        <f t="shared" ca="1" si="18"/>
        <v>60828.616761986843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3587.0728551292696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43.649999999999991</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51.35294117647058</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3630.7228551292696</v>
      </c>
      <c r="C10" s="1038">
        <f>SUM(C4:C9)</f>
        <v>0</v>
      </c>
      <c r="D10" s="1038">
        <f t="shared" ref="D10:H10" si="0">SUM(D8:D9)</f>
        <v>0</v>
      </c>
      <c r="E10" s="1038">
        <f t="shared" si="0"/>
        <v>0</v>
      </c>
      <c r="F10" s="1038">
        <f t="shared" si="0"/>
        <v>0</v>
      </c>
      <c r="G10" s="1038">
        <f t="shared" si="0"/>
        <v>0</v>
      </c>
      <c r="H10" s="1038">
        <f t="shared" si="0"/>
        <v>0</v>
      </c>
      <c r="I10" s="1038">
        <f>SUM(I8:I9)</f>
        <v>0</v>
      </c>
      <c r="J10" s="1038">
        <f>SUM(J8:J9)</f>
        <v>51.35294117647058</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0.20684462712570159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62.357142857142847</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73.361344537815114</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62.357142857142847</v>
      </c>
      <c r="C20" s="1038">
        <f>SUM(C17:C19)</f>
        <v>0</v>
      </c>
      <c r="D20" s="1038">
        <f t="shared" ref="D20:H20" si="2">SUM(D17:D19)</f>
        <v>0</v>
      </c>
      <c r="E20" s="1038">
        <f t="shared" si="2"/>
        <v>0</v>
      </c>
      <c r="F20" s="1038">
        <f t="shared" si="2"/>
        <v>0</v>
      </c>
      <c r="G20" s="1038">
        <f t="shared" si="2"/>
        <v>0</v>
      </c>
      <c r="H20" s="1038">
        <f t="shared" si="2"/>
        <v>0</v>
      </c>
      <c r="I20" s="1038">
        <f>SUM(I17:I19)</f>
        <v>0</v>
      </c>
      <c r="J20" s="1038">
        <f>SUM(J17:J19)</f>
        <v>73.361344537815114</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0.20684462712570159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2020-06-20T16:16:13Z</dcterms:modified>
</cp:coreProperties>
</file>