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L20" i="18"/>
  <c r="D20" i="18"/>
  <c r="B17" i="18"/>
  <c r="G12" i="18"/>
  <c r="F12" i="18"/>
  <c r="E12" i="18"/>
  <c r="D12" i="18"/>
  <c r="C12" i="18"/>
  <c r="L10" i="18"/>
  <c r="K10" i="18"/>
  <c r="G10" i="18"/>
  <c r="D10" i="18"/>
  <c r="B8" i="18"/>
  <c r="B6" i="18"/>
  <c r="B5" i="18"/>
  <c r="B4" i="18"/>
  <c r="I51" i="18" l="1"/>
  <c r="H17" i="18" s="1"/>
  <c r="G51" i="18"/>
  <c r="F51" i="18"/>
  <c r="C51" i="18"/>
  <c r="B51" i="18"/>
  <c r="C17" i="18" s="1"/>
  <c r="C20" i="18" s="1"/>
  <c r="I50" i="18"/>
  <c r="H8" i="18" s="1"/>
  <c r="H10" i="18" s="1"/>
  <c r="G50" i="18"/>
  <c r="I8" i="18" s="1"/>
  <c r="H50" i="18"/>
  <c r="J8" i="18" s="1"/>
  <c r="J10" i="18" s="1"/>
  <c r="F50" i="18"/>
  <c r="D50" i="18"/>
  <c r="C50" i="18"/>
  <c r="B50" i="18"/>
  <c r="C8" i="18" s="1"/>
  <c r="C10" i="18" s="1"/>
  <c r="F20" i="18"/>
  <c r="B20" i="18"/>
  <c r="O18" i="18"/>
  <c r="H20" i="18"/>
  <c r="G20" i="18"/>
  <c r="K20" i="18"/>
  <c r="B10" i="18"/>
  <c r="O19" i="18"/>
  <c r="O9" i="18"/>
  <c r="I10" i="18"/>
  <c r="D51" i="18"/>
  <c r="H51" i="18"/>
  <c r="E50" i="18"/>
  <c r="E8" i="18" s="1"/>
  <c r="E10" i="18" s="1"/>
  <c r="E51" i="18"/>
  <c r="E17" i="18" s="1"/>
  <c r="E20" i="18" s="1"/>
  <c r="N6" i="17"/>
  <c r="I17" i="18" l="1"/>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C24" i="14"/>
  <c r="C26" i="14" s="1"/>
  <c r="B7" i="48"/>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F46" i="14" s="1"/>
  <c r="F61"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H63" i="14"/>
  <c r="E8" i="48"/>
  <c r="E26" i="48" s="1"/>
  <c r="F13" i="14"/>
  <c r="F16" i="14" s="1"/>
  <c r="F27" i="14" s="1"/>
  <c r="F63" i="14" s="1"/>
  <c r="J22" i="16"/>
  <c r="K43" i="14" s="1"/>
  <c r="K46" i="14" s="1"/>
  <c r="K61" i="14" s="1"/>
  <c r="K63"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<sst xmlns="http://schemas.openxmlformats.org/spreadsheetml/2006/main" count="2483" uniqueCount="941">
  <si>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</si>
  <si>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</si>
  <si>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</si>
  <si>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</si>
  <si>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</si>
  <si>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</si>
  <si>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</si>
  <si>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</si>
  <si>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</si>
  <si>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</si>
  <si>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</si>
  <si>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</si>
  <si>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</si>
  <si>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</si>
  <si>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</si>
  <si>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</si>
  <si>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</si>
  <si>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</si>
  <si>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</si>
  <si>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</si>
  <si>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</si>
  <si>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</si>
  <si>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</si>
  <si>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</si>
  <si>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</si>
  <si>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</si>
  <si>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</si>
  <si>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</si>
  <si>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</si>
  <si>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</si>
  <si>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</si>
  <si>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</si>
  <si>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</si>
  <si>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</si>
  <si>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</si>
  <si>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</si>
  <si>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</si>
  <si>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</si>
  <si>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</si>
  <si>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</si>
  <si>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</si>
  <si>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</si>
  <si>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</si>
  <si>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</si>
  <si>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</si>
  <si>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</si>
  <si>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</si>
  <si>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</si>
  <si>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</si>
  <si>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</si>
  <si>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</si>
  <si>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</si>
  <si>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</si>
  <si>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</si>
  <si>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</si>
  <si>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</si>
  <si>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</si>
  <si>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</si>
  <si>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</si>
  <si>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</si>
  <si>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</si>
  <si>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</si>
  <si>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</si>
  <si>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</si>
  <si>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</si>
  <si>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</si>
  <si>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</si>
  <si>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</si>
  <si>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</si>
  <si>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</si>
  <si>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</si>
  <si>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</si>
  <si>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</si>
  <si>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</si>
  <si>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</si>
  <si>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</si>
  <si>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</si>
  <si>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</si>
  <si>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</si>
  <si>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</si>
  <si>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</si>
  <si>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</si>
  <si>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</si>
  <si>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</si>
  <si>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</si>
  <si>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</si>
  <si>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</si>
  <si>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</si>
  <si>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</si>
  <si>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</si>
  <si>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</si>
  <si>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</si>
  <si>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</si>
  <si>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</si>
  <si>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</si>
  <si>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</si>
  <si>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</si>
  <si>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</si>
  <si>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</si>
  <si>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</si>
  <si>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</si>
  <si>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</si>
  <si>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</si>
  <si>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</si>
  <si>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</si>
  <si>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</si>
  <si>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</si>
  <si>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</si>
  <si>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</si>
  <si>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</si>
  <si>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</si>
  <si>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</si>
  <si>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</si>
  <si>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</si>
  <si>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</si>
  <si>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</si>
  <si>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</si>
  <si>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</si>
  <si>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</si>
  <si>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</si>
  <si>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</si>
  <si>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</si>
  <si>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</si>
  <si>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</si>
  <si>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</si>
  <si>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</si>
  <si>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</si>
  <si>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</si>
  <si>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</si>
  <si>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</si>
  <si>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</si>
  <si>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</si>
  <si>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</si>
  <si>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</si>
  <si>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</si>
  <si>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</si>
  <si>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</si>
  <si>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</si>
  <si>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</si>
  <si>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</si>
  <si>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</si>
  <si>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</si>
  <si>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</si>
  <si>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</si>
  <si>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</si>
  <si>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</si>
  <si>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</si>
  <si>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</si>
  <si>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</si>
  <si>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</si>
  <si>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</si>
  <si>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</si>
  <si>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</si>
  <si>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</si>
  <si>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</si>
  <si>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</si>
  <si>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</si>
  <si>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</si>
  <si>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</si>
  <si>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</si>
  <si>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</si>
  <si>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</si>
  <si>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</si>
  <si>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</si>
  <si>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</si>
  <si>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</si>
  <si>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</si>
  <si>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</si>
  <si>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</si>
  <si>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</si>
  <si>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</si>
  <si>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</si>
  <si>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</si>
  <si>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</si>
  <si>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</si>
  <si>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</si>
  <si>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</si>
  <si>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</si>
  <si>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</si>
  <si>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</si>
  <si>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</si>
  <si>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</si>
  <si>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</si>
  <si>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</si>
  <si>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</si>
  <si>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</si>
  <si>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</si>
  <si>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</si>
  <si>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</si>
  <si>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</si>
  <si>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</si>
  <si>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</si>
  <si>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</si>
  <si>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</si>
  <si>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</si>
  <si>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</si>
  <si>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</si>
  <si>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</si>
  <si>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</si>
  <si>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</si>
  <si>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</si>
  <si>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</si>
  <si>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</si>
  <si>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</si>
  <si>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</si>
  <si>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</si>
  <si>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</si>
  <si>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</si>
  <si>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</si>
  <si>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</si>
  <si>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</si>
  <si>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</si>
  <si>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</si>
  <si>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</si>
  <si>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</si>
  <si>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</si>
  <si>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</si>
  <si>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</si>
  <si>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</si>
  <si>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</si>
  <si>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</si>
  <si>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</si>
  <si>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</si>
  <si>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</si>
  <si>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</si>
  <si>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</si>
  <si>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</si>
  <si>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</si>
  <si>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</si>
  <si>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</si>
  <si>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</si>
  <si>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</si>
  <si>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</si>
  <si>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</si>
  <si>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</si>
  <si>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</si>
  <si>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</si>
  <si>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</si>
  <si>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</si>
  <si>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</si>
  <si>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</si>
  <si>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</si>
  <si>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</si>
  <si>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</si>
  <si>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</si>
  <si>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</si>
  <si>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</si>
  <si>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</si>
  <si>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</si>
  <si>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</si>
  <si>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</si>
  <si>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</si>
  <si>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</si>
  <si>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</si>
  <si>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</si>
  <si>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</si>
  <si>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</si>
  <si>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</si>
  <si>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</si>
  <si>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</si>
  <si>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</si>
  <si>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</si>
  <si>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</si>
  <si>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</si>
  <si>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</si>
  <si>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</si>
  <si>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</si>
  <si>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</si>
  <si>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</si>
  <si>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</si>
  <si>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</si>
  <si>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</si>
  <si>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</si>
  <si>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</si>
  <si>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</si>
  <si>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</si>
  <si>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</si>
  <si>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</si>
  <si>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</si>
  <si>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</si>
  <si>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</si>
  <si>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</si>
  <si>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</si>
  <si>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</si>
  <si>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</si>
  <si>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</si>
  <si>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</si>
  <si>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</si>
  <si>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</si>
  <si>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</si>
  <si>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</si>
  <si>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</si>
  <si>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</si>
  <si>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</si>
  <si>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</si>
  <si>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</si>
  <si>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</si>
  <si>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</si>
  <si>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</si>
  <si>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</si>
  <si>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</si>
  <si>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</si>
  <si>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</si>
  <si>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</si>
  <si>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</si>
  <si>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</si>
  <si>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</si>
  <si>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</si>
  <si>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</si>
  <si>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</si>
  <si>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</si>
  <si>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</si>
  <si>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</si>
  <si>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</si>
  <si>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</si>
  <si>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</si>
  <si>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</si>
  <si>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</si>
  <si>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</si>
  <si>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</si>
  <si>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</si>
  <si>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</si>
  <si>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</si>
  <si>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</si>
  <si>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</si>
  <si>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</si>
  <si>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</si>
  <si>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</si>
  <si>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</si>
  <si>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</si>
  <si>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</si>
  <si>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</si>
  <si>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</si>
  <si>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</si>
  <si>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</si>
  <si>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</si>
  <si>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</si>
  <si>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</si>
  <si>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</si>
  <si>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</si>
  <si>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</si>
  <si>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</si>
  <si>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</si>
  <si>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</si>
  <si>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</si>
  <si>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</si>
  <si>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</si>
  <si>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</si>
  <si>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</si>
  <si>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</si>
  <si>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</si>
  <si>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</si>
  <si>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</si>
  <si>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</si>
  <si>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</si>
  <si>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</si>
  <si>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</si>
  <si>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</si>
  <si>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</si>
  <si>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</si>
  <si>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</si>
  <si>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</si>
  <si>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</si>
  <si>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</si>
  <si>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</si>
  <si>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</si>
  <si>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</si>
  <si>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</si>
  <si>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</si>
  <si>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</si>
  <si>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</si>
  <si>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</si>
  <si>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</si>
  <si>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</si>
  <si>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</si>
  <si>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</si>
  <si>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</si>
  <si>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</si>
  <si>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</si>
  <si>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</si>
  <si>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</si>
  <si>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</si>
  <si>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</si>
  <si>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</si>
  <si>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</si>
  <si>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</si>
  <si>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</si>
  <si>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</si>
  <si>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</si>
  <si>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</si>
  <si>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</si>
  <si>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</si>
  <si>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</si>
  <si>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</si>
  <si>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</si>
  <si>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</si>
  <si>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</si>
  <si>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</si>
  <si>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</si>
  <si>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</si>
  <si>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</si>
  <si>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</si>
  <si>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</si>
  <si>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</si>
  <si>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</si>
  <si>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</si>
  <si>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</si>
  <si>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</si>
  <si>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</si>
  <si>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</si>
  <si>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</si>
  <si>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</si>
  <si>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</si>
  <si>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</si>
  <si>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</si>
  <si>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</si>
  <si>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</si>
  <si>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</si>
  <si>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</si>
  <si>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</si>
  <si>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</si>
  <si>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</si>
  <si>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</si>
  <si>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</si>
  <si>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</si>
  <si>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</si>
  <si>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</si>
  <si>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</si>
  <si>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</si>
  <si>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</si>
  <si>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</si>
  <si>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</si>
  <si>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</si>
  <si>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</si>
  <si>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</si>
  <si>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</si>
  <si>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</si>
  <si>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</si>
  <si>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</si>
  <si>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</si>
  <si>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</si>
  <si>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</si>
  <si>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</si>
  <si>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</si>
  <si>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</si>
  <si>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</si>
  <si>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</si>
  <si>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</si>
  <si>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</si>
  <si>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</si>
  <si>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</si>
  <si>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</si>
  <si>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</si>
  <si>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</si>
  <si>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</si>
  <si>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</si>
  <si>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</si>
  <si>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</si>
  <si>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</si>
  <si>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</si>
  <si>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</si>
  <si>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</si>
  <si>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</si>
  <si>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</si>
  <si>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</si>
  <si>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</si>
  <si>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</si>
  <si>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</si>
  <si>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</si>
  <si>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</si>
  <si>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</si>
  <si>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</si>
  <si>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</si>
  <si>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</si>
  <si>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</si>
  <si>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</si>
  <si>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</si>
  <si>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</si>
  <si>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</si>
  <si>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</si>
  <si>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</si>
  <si>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</si>
  <si>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</si>
  <si>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</si>
  <si>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</si>
  <si>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</si>
  <si>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</si>
  <si>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</si>
  <si>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</si>
  <si>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</si>
  <si>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</si>
  <si>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</si>
  <si>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</si>
  <si>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</si>
  <si>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</si>
  <si>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</si>
  <si>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</si>
  <si>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</si>
  <si>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</si>
  <si>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</si>
  <si>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</si>
  <si>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</si>
  <si>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</si>
  <si>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</si>
  <si>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</si>
  <si>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</si>
  <si>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</si>
  <si>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</si>
  <si>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</si>
  <si>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</si>
  <si>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</si>
  <si>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</si>
  <si>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</si>
  <si>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</si>
  <si>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</si>
  <si>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</si>
  <si>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</si>
  <si>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</si>
  <si>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</si>
  <si>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</si>
  <si>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</si>
  <si>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</si>
  <si>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</si>
  <si>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</si>
  <si>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</si>
  <si>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</si>
  <si>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</si>
  <si>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</si>
  <si>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</si>
  <si>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</si>
  <si>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</si>
  <si>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</si>
  <si>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</si>
  <si>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</si>
  <si>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</si>
  <si>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</si>
  <si>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</si>
  <si>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</si>
  <si>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</si>
  <si>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</si>
  <si>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</si>
  <si>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</si>
  <si>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</si>
  <si>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</si>
  <si>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</si>
  <si>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</si>
  <si>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</si>
  <si>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</si>
  <si>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</si>
  <si>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</si>
  <si>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</si>
  <si>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</si>
  <si>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</si>
  <si>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</si>
  <si>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</si>
  <si>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</si>
  <si>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</si>
  <si>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</si>
  <si>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</si>
  <si>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</si>
  <si>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</si>
  <si>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</si>
  <si>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</si>
  <si>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</si>
  <si>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</si>
  <si>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</si>
  <si>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</si>
  <si>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</si>
  <si>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</si>
  <si>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</si>
  <si>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</si>
  <si>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</si>
  <si>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</si>
  <si>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</si>
  <si>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</si>
  <si>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</si>
  <si>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</si>
  <si>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</si>
  <si>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</si>
  <si>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</si>
  <si>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</si>
  <si>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</si>
  <si>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</si>
  <si>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</si>
  <si>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</si>
  <si>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</si>
  <si>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</si>
  <si>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</si>
  <si>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</si>
  <si>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</si>
  <si>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</si>
  <si>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</si>
  <si>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</si>
  <si>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</si>
  <si>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</si>
  <si>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</si>
  <si>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</si>
  <si>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</si>
  <si>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</si>
  <si>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</si>
  <si>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</si>
  <si>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</si>
  <si>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</si>
  <si>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</si>
  <si>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</si>
  <si>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</si>
  <si>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</si>
  <si>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</si>
  <si>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</si>
  <si>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</si>
  <si>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</si>
  <si>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</si>
  <si>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</si>
  <si>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</si>
  <si>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</si>
  <si>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</si>
  <si>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</si>
  <si>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</si>
  <si>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</si>
  <si>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</si>
  <si>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</si>
  <si>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</si>
  <si>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</si>
  <si>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</si>
  <si>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</si>
  <si>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</si>
  <si>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</si>
  <si>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</si>
  <si>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</si>
  <si>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</si>
  <si>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</si>
  <si>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</si>
  <si>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</si>
  <si>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</si>
  <si>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</si>
  <si>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</si>
  <si>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</si>
  <si>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</si>
  <si>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</si>
  <si>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</si>
  <si>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</si>
  <si>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</si>
  <si>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</si>
  <si>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</si>
  <si>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</si>
  <si>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</si>
  <si>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</si>
  <si>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</si>
  <si>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</si>
  <si>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</si>
  <si>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</si>
  <si>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</si>
  <si>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</si>
  <si>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</si>
  <si>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</si>
  <si>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</si>
  <si>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</si>
  <si>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</si>
  <si>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</si>
  <si>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</si>
  <si>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</si>
  <si>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</si>
  <si>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</si>
  <si>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</si>
  <si>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</si>
  <si>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</si>
  <si>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</si>
  <si>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</si>
  <si>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</si>
  <si>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</si>
  <si>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</si>
  <si>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</si>
  <si>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</si>
  <si>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</si>
  <si>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</si>
  <si>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</si>
  <si>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</si>
  <si>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</si>
  <si>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</si>
  <si>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</si>
  <si>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</si>
  <si>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</si>
  <si>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</si>
  <si>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</si>
  <si>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</si>
  <si>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</si>
  <si>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</si>
  <si>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</si>
  <si>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</si>
  <si>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</si>
  <si>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</si>
  <si>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</si>
  <si>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</si>
  <si>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</si>
  <si>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</si>
  <si>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</si>
  <si>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</si>
  <si>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</si>
  <si>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</si>
  <si>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</si>
  <si>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</si>
  <si>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</si>
  <si>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</si>
  <si>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</si>
  <si>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</si>
  <si>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</si>
  <si>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</si>
  <si>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</si>
  <si>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</si>
  <si>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</si>
  <si>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</si>
  <si>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</si>
  <si>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</si>
  <si>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</si>
  <si>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</si>
  <si>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</si>
  <si>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</si>
  <si>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</si>
  <si>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</si>
  <si>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</si>
  <si>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</si>
  <si>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</si>
  <si>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</si>
  <si>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</si>
  <si>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</si>
  <si>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</si>
  <si>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</si>
  <si>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</si>
  <si>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</si>
  <si>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</si>
  <si>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</si>
  <si>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</si>
  <si>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</si>
  <si>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</si>
  <si>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</si>
  <si>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</si>
  <si>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</si>
  <si>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</si>
  <si>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</si>
  <si>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</si>
  <si>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</si>
  <si>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</si>
  <si>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</si>
  <si>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</si>
  <si>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</si>
  <si>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</si>
  <si>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</si>
  <si>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</si>
  <si>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</si>
  <si>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</si>
  <si>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</si>
  <si>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</si>
  <si>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</si>
  <si>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</si>
  <si>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</si>
  <si>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</si>
  <si>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</si>
  <si>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</si>
  <si>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</si>
  <si>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</si>
  <si>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</si>
  <si>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</si>
  <si>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</si>
  <si>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</si>
  <si>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</si>
  <si>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</si>
  <si>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</si>
  <si>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</si>
  <si>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</si>
  <si>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</si>
  <si>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</si>
  <si>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</si>
  <si>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</si>
  <si>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</si>
  <si>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</si>
  <si>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</si>
  <si>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</si>
  <si>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</si>
  <si>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</si>
  <si>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</si>
  <si>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</si>
  <si>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</si>
  <si>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</si>
  <si>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</si>
  <si>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</si>
  <si>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</si>
  <si>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</si>
  <si>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</si>
  <si>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</si>
  <si>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</si>
  <si>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</si>
  <si>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</si>
  <si>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</si>
  <si>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</si>
  <si>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</si>
  <si>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</si>
  <si>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</si>
  <si>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</si>
  <si>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</si>
  <si>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</si>
  <si>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</si>
  <si>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</si>
  <si>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</si>
  <si>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</si>
  <si>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</si>
  <si>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</si>
  <si>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</si>
  <si>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</si>
  <si>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</si>
  <si>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</si>
  <si>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</si>
  <si>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</si>
  <si>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</si>
  <si>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</si>
  <si>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</si>
  <si>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</si>
  <si>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</si>
  <si>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</si>
  <si>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</si>
  <si>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</si>
  <si>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</si>
  <si>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</si>
  <si>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</si>
  <si>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</si>
  <si>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</si>
  <si>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</si>
  <si>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</si>
  <si>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</si>
  <si>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</si>
  <si>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</si>
  <si>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</si>
  <si>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</si>
  <si>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</si>
  <si>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</si>
  <si>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</si>
  <si>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</si>
  <si>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</si>
  <si>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</si>
  <si>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</si>
  <si>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</si>
  <si>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</si>
  <si>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</si>
  <si>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</si>
  <si>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</si>
  <si>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</si>
  <si>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</si>
  <si>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</si>
  <si>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</si>
  <si>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</si>
  <si>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</si>
  <si>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</si>
  <si>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</si>
  <si>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</si>
  <si>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</si>
  <si>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</si>
  <si>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</si>
  <si>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</si>
  <si>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</si>
  <si>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</si>
  <si>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</si>
  <si>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</si>
  <si>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</si>
  <si>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</si>
  <si>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</si>
  <si>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</si>
  <si>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</si>
  <si>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</si>
  <si>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</si>
  <si>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</si>
  <si>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</si>
  <si>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</si>
  <si>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</si>
  <si>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</si>
  <si>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</si>
  <si>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</si>
  <si>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</si>
  <si>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</si>
  <si>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</si>
  <si>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</si>
  <si>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</si>
  <si>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</si>
  <si>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</si>
  <si>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</si>
  <si>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</si>
  <si>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</si>
  <si>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</si>
  <si>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</si>
  <si>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</si>
  <si>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</si>
  <si>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</si>
  <si>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</si>
  <si>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</si>
  <si>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</si>
  <si>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</si>
  <si>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</si>
  <si>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</si>
  <si>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</si>
  <si>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</si>
  <si>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</si>
  <si>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</si>
  <si>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</si>
  <si>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</si>
  <si>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</si>
  <si>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</si>
  <si>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</si>
  <si>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</si>
  <si>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</si>
  <si>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</si>
  <si>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</si>
  <si>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</si>
  <si>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</si>
  <si>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</si>
  <si>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</si>
  <si>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13040</t>
  </si>
  <si>
    <t>TURNHOUT</t>
  </si>
  <si>
    <t>Cultuurgrond (ha)</t>
  </si>
  <si>
    <t>Paarden&amp;pony's 200 - 600 kg</t>
  </si>
  <si>
    <t>Paarden&amp;pony's &lt; 200 kg</t>
  </si>
  <si>
    <t>Fluvius</t>
  </si>
  <si>
    <t>referentietaak LNE (2017); Jaarverslag De Lijn</t>
  </si>
  <si>
    <t>Sunnyland Distribution nv</t>
  </si>
  <si>
    <t>Everdongenlaan 12 , 2300 Turnhout</t>
  </si>
  <si>
    <t>WKK-0310 Sunnyland</t>
  </si>
  <si>
    <t>interne verbrandingsmotor</t>
  </si>
  <si>
    <t>WKK interne verbrandinsgmotor (gas)</t>
  </si>
  <si>
    <t>IVEKA</t>
  </si>
  <si>
    <t>De Nieuwe Kaai vzw</t>
  </si>
  <si>
    <t>Nieuwe Kaai 5 , 2300 Turnhout</t>
  </si>
  <si>
    <t>WKK-0414 Croonenburg</t>
  </si>
  <si>
    <t>stirlingmotor</t>
  </si>
  <si>
    <t>Sanico NV</t>
  </si>
  <si>
    <t>Veedijk 59 , 2300 Turnhout</t>
  </si>
  <si>
    <t>WKK-0557 Sanico</t>
  </si>
  <si>
    <t>chemie</t>
  </si>
  <si>
    <t>Aquafin NV</t>
  </si>
  <si>
    <t>Dijkstraat 8, 2630 Aartselaar</t>
  </si>
  <si>
    <t>BGS-0046 RWZI Turnhout</t>
  </si>
  <si>
    <t>biogas - RWZI</t>
  </si>
  <si>
    <t>niet WKK interne verbrandingsmotor (gas)</t>
  </si>
  <si>
    <t>Slachthuisstraat 62, 2300 Turnhout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</si>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</sst>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358699.01311087009</c:v>
                </c:pt>
                <c:pt idx="1">
                  <c:v>245035.3564808972</c:v>
                </c:pt>
                <c:pt idx="2">
                  <c:v>2580.3589999999999</c:v>
                </c:pt>
                <c:pt idx="3">
                  <c:v>10730.519534143097</c:v>
                </c:pt>
                <c:pt idx="4">
                  <c:v>437289.34400097735</c:v>
                </c:pt>
                <c:pt idx="5">
                  <c:v>244381.18895711028</c:v>
                </c:pt>
                <c:pt idx="6">
                  <c:v>5445.14782901746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358699.01311087009</c:v>
                </c:pt>
                <c:pt idx="1">
                  <c:v>245035.3564808972</c:v>
                </c:pt>
                <c:pt idx="2">
                  <c:v>2580.3589999999999</c:v>
                </c:pt>
                <c:pt idx="3">
                  <c:v>10730.519534143097</c:v>
                </c:pt>
                <c:pt idx="4">
                  <c:v>437289.34400097735</c:v>
                </c:pt>
                <c:pt idx="5">
                  <c:v>244381.18895711028</c:v>
                </c:pt>
                <c:pt idx="6">
                  <c:v>5445.14782901746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66415.8134979889</c:v>
                </c:pt>
                <c:pt idx="2">
                  <c:v>51443.226925619958</c:v>
                </c:pt>
                <c:pt idx="3">
                  <c:v>547.41410855055665</c:v>
                </c:pt>
                <c:pt idx="4">
                  <c:v>2574.64401395188</c:v>
                </c:pt>
                <c:pt idx="5">
                  <c:v>91507.825888001942</c:v>
                </c:pt>
                <c:pt idx="6">
                  <c:v>61848.538336827391</c:v>
                </c:pt>
                <c:pt idx="7">
                  <c:v>1391.8998562386096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66415.8134979889</c:v>
                </c:pt>
                <c:pt idx="2">
                  <c:v>51443.226925619958</c:v>
                </c:pt>
                <c:pt idx="3">
                  <c:v>547.41410855055665</c:v>
                </c:pt>
                <c:pt idx="4">
                  <c:v>2574.64401395188</c:v>
                </c:pt>
                <c:pt idx="5">
                  <c:v>91507.825888001942</c:v>
                </c:pt>
                <c:pt idx="6">
                  <c:v>61848.538336827391</c:v>
                </c:pt>
                <c:pt idx="7">
                  <c:v>1391.8998562386096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13040</v>
      </c>
      <c r="B6" s="395"/>
      <c r="C6" s="396"/>
    </row>
    <row r="7" spans="1:7" s="393" customFormat="1" ht="15.75" customHeight="1">
      <c r="A7" s="397" t="str">
        <f>txtMunicipality</f>
        <v>TURNHOUT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0.21214649145741221</v>
      </c>
      <c r="C17" s="508">
        <f ca="1">'EF ele_warmte'!B22</f>
        <v>0.23654780166615538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0.21214649145741221</v>
      </c>
      <c r="C29" s="509">
        <f ca="1">'EF ele_warmte'!B22</f>
        <v>0.23654780166615538</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18795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2239</v>
      </c>
      <c r="C14" s="332"/>
      <c r="D14" s="332"/>
      <c r="E14" s="332"/>
      <c r="F14" s="332"/>
    </row>
    <row r="15" spans="1:6">
      <c r="A15" s="1306" t="s">
        <v>183</v>
      </c>
      <c r="B15" s="1307">
        <v>3425</v>
      </c>
      <c r="C15" s="332"/>
      <c r="D15" s="332"/>
      <c r="E15" s="332"/>
      <c r="F15" s="332"/>
    </row>
    <row r="16" spans="1:6">
      <c r="A16" s="1306" t="s">
        <v>6</v>
      </c>
      <c r="B16" s="1307">
        <v>1070</v>
      </c>
      <c r="C16" s="332"/>
      <c r="D16" s="332"/>
      <c r="E16" s="332"/>
      <c r="F16" s="332"/>
    </row>
    <row r="17" spans="1:6">
      <c r="A17" s="1306" t="s">
        <v>7</v>
      </c>
      <c r="B17" s="1307">
        <v>184</v>
      </c>
      <c r="C17" s="332"/>
      <c r="D17" s="332"/>
      <c r="E17" s="332"/>
      <c r="F17" s="332"/>
    </row>
    <row r="18" spans="1:6">
      <c r="A18" s="1306" t="s">
        <v>8</v>
      </c>
      <c r="B18" s="1307">
        <v>636</v>
      </c>
      <c r="C18" s="332"/>
      <c r="D18" s="332"/>
      <c r="E18" s="332"/>
      <c r="F18" s="332"/>
    </row>
    <row r="19" spans="1:6">
      <c r="A19" s="1306" t="s">
        <v>9</v>
      </c>
      <c r="B19" s="1307">
        <v>481</v>
      </c>
      <c r="C19" s="332"/>
      <c r="D19" s="332"/>
      <c r="E19" s="332"/>
      <c r="F19" s="332"/>
    </row>
    <row r="20" spans="1:6">
      <c r="A20" s="1306" t="s">
        <v>10</v>
      </c>
      <c r="B20" s="1307">
        <v>231</v>
      </c>
      <c r="C20" s="332"/>
      <c r="D20" s="332"/>
      <c r="E20" s="332"/>
      <c r="F20" s="332"/>
    </row>
    <row r="21" spans="1:6">
      <c r="A21" s="1306" t="s">
        <v>11</v>
      </c>
      <c r="B21" s="1307">
        <v>1299</v>
      </c>
      <c r="C21" s="332"/>
      <c r="D21" s="332"/>
      <c r="E21" s="332"/>
      <c r="F21" s="332"/>
    </row>
    <row r="22" spans="1:6">
      <c r="A22" s="1306" t="s">
        <v>12</v>
      </c>
      <c r="B22" s="1307">
        <v>3332</v>
      </c>
      <c r="C22" s="332"/>
      <c r="D22" s="332"/>
      <c r="E22" s="332"/>
      <c r="F22" s="332"/>
    </row>
    <row r="23" spans="1:6">
      <c r="A23" s="1306" t="s">
        <v>13</v>
      </c>
      <c r="B23" s="1307">
        <v>43</v>
      </c>
      <c r="C23" s="332"/>
      <c r="D23" s="332"/>
      <c r="E23" s="332"/>
      <c r="F23" s="332"/>
    </row>
    <row r="24" spans="1:6">
      <c r="A24" s="1306" t="s">
        <v>14</v>
      </c>
      <c r="B24" s="1307">
        <v>3</v>
      </c>
      <c r="C24" s="332"/>
      <c r="D24" s="332"/>
      <c r="E24" s="332"/>
      <c r="F24" s="332"/>
    </row>
    <row r="25" spans="1:6">
      <c r="A25" s="1306" t="s">
        <v>15</v>
      </c>
      <c r="B25" s="1307">
        <v>345</v>
      </c>
      <c r="C25" s="332"/>
      <c r="D25" s="332"/>
      <c r="E25" s="332"/>
      <c r="F25" s="332"/>
    </row>
    <row r="26" spans="1:6">
      <c r="A26" s="1306" t="s">
        <v>16</v>
      </c>
      <c r="B26" s="1307">
        <v>53</v>
      </c>
      <c r="C26" s="332"/>
      <c r="D26" s="332"/>
      <c r="E26" s="332"/>
      <c r="F26" s="332"/>
    </row>
    <row r="27" spans="1:6">
      <c r="A27" s="1306" t="s">
        <v>17</v>
      </c>
      <c r="B27" s="1307">
        <v>0</v>
      </c>
      <c r="C27" s="332"/>
      <c r="D27" s="332"/>
      <c r="E27" s="332"/>
      <c r="F27" s="332"/>
    </row>
    <row r="28" spans="1:6" s="43" customFormat="1">
      <c r="A28" s="1308" t="s">
        <v>18</v>
      </c>
      <c r="B28" s="1309">
        <v>448513</v>
      </c>
      <c r="C28" s="338"/>
      <c r="D28" s="338"/>
      <c r="E28" s="338"/>
      <c r="F28" s="338"/>
    </row>
    <row r="29" spans="1:6">
      <c r="A29" s="1308" t="s">
        <v>916</v>
      </c>
      <c r="B29" s="1309">
        <v>105</v>
      </c>
      <c r="C29" s="338"/>
      <c r="D29" s="338"/>
      <c r="E29" s="338"/>
      <c r="F29" s="338"/>
    </row>
    <row r="30" spans="1:6">
      <c r="A30" s="1301" t="s">
        <v>917</v>
      </c>
      <c r="B30" s="1310">
        <v>35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13</v>
      </c>
      <c r="F36" s="1307">
        <v>623228.13439204404</v>
      </c>
    </row>
    <row r="37" spans="1:6">
      <c r="A37" s="1306" t="s">
        <v>24</v>
      </c>
      <c r="B37" s="1306" t="s">
        <v>27</v>
      </c>
      <c r="C37" s="1307">
        <v>0</v>
      </c>
      <c r="D37" s="1307">
        <v>0</v>
      </c>
      <c r="E37" s="1307">
        <v>0</v>
      </c>
      <c r="F37" s="1307">
        <v>0</v>
      </c>
    </row>
    <row r="38" spans="1:6">
      <c r="A38" s="1306" t="s">
        <v>24</v>
      </c>
      <c r="B38" s="1306" t="s">
        <v>28</v>
      </c>
      <c r="C38" s="1307">
        <v>5</v>
      </c>
      <c r="D38" s="1307">
        <v>205711.58154782801</v>
      </c>
      <c r="E38" s="1307">
        <v>2</v>
      </c>
      <c r="F38" s="1307">
        <v>56948.674526046001</v>
      </c>
    </row>
    <row r="39" spans="1:6">
      <c r="A39" s="1306" t="s">
        <v>29</v>
      </c>
      <c r="B39" s="1306" t="s">
        <v>30</v>
      </c>
      <c r="C39" s="1307">
        <v>16637</v>
      </c>
      <c r="D39" s="1307">
        <v>287386199.87235397</v>
      </c>
      <c r="E39" s="1307">
        <v>18938</v>
      </c>
      <c r="F39" s="1307">
        <v>57373067.299856998</v>
      </c>
    </row>
    <row r="40" spans="1:6">
      <c r="A40" s="1306" t="s">
        <v>29</v>
      </c>
      <c r="B40" s="1306" t="s">
        <v>28</v>
      </c>
      <c r="C40" s="1307">
        <v>0</v>
      </c>
      <c r="D40" s="1307">
        <v>0</v>
      </c>
      <c r="E40" s="1307">
        <v>2</v>
      </c>
      <c r="F40" s="1307">
        <v>15895.7268087343</v>
      </c>
    </row>
    <row r="41" spans="1:6">
      <c r="A41" s="1306" t="s">
        <v>31</v>
      </c>
      <c r="B41" s="1306" t="s">
        <v>32</v>
      </c>
      <c r="C41" s="1307">
        <v>166</v>
      </c>
      <c r="D41" s="1307">
        <v>8912601.5304879807</v>
      </c>
      <c r="E41" s="1307">
        <v>280</v>
      </c>
      <c r="F41" s="1307">
        <v>9416839.0210304298</v>
      </c>
    </row>
    <row r="42" spans="1:6">
      <c r="A42" s="1306" t="s">
        <v>31</v>
      </c>
      <c r="B42" s="1306" t="s">
        <v>33</v>
      </c>
      <c r="C42" s="1307">
        <v>13</v>
      </c>
      <c r="D42" s="1307">
        <v>16735795.402759001</v>
      </c>
      <c r="E42" s="1307">
        <v>10</v>
      </c>
      <c r="F42" s="1307">
        <v>15970269.4547859</v>
      </c>
    </row>
    <row r="43" spans="1:6">
      <c r="A43" s="1306" t="s">
        <v>31</v>
      </c>
      <c r="B43" s="1306" t="s">
        <v>34</v>
      </c>
      <c r="C43" s="1307">
        <v>0</v>
      </c>
      <c r="D43" s="1307">
        <v>0</v>
      </c>
      <c r="E43" s="1307">
        <v>0</v>
      </c>
      <c r="F43" s="1307">
        <v>0</v>
      </c>
    </row>
    <row r="44" spans="1:6">
      <c r="A44" s="1306" t="s">
        <v>31</v>
      </c>
      <c r="B44" s="1306" t="s">
        <v>35</v>
      </c>
      <c r="C44" s="1307">
        <v>8</v>
      </c>
      <c r="D44" s="1307">
        <v>1287508.4089240001</v>
      </c>
      <c r="E44" s="1307">
        <v>23</v>
      </c>
      <c r="F44" s="1307">
        <v>592112.29132476903</v>
      </c>
    </row>
    <row r="45" spans="1:6">
      <c r="A45" s="1306" t="s">
        <v>31</v>
      </c>
      <c r="B45" s="1306" t="s">
        <v>36</v>
      </c>
      <c r="C45" s="1307">
        <v>0</v>
      </c>
      <c r="D45" s="1307">
        <v>0</v>
      </c>
      <c r="E45" s="1307">
        <v>3</v>
      </c>
      <c r="F45" s="1307">
        <v>511636.17424179602</v>
      </c>
    </row>
    <row r="46" spans="1:6">
      <c r="A46" s="1306" t="s">
        <v>31</v>
      </c>
      <c r="B46" s="1306" t="s">
        <v>37</v>
      </c>
      <c r="C46" s="1307">
        <v>0</v>
      </c>
      <c r="D46" s="1307">
        <v>0</v>
      </c>
      <c r="E46" s="1307">
        <v>0</v>
      </c>
      <c r="F46" s="1307">
        <v>0</v>
      </c>
    </row>
    <row r="47" spans="1:6">
      <c r="A47" s="1306" t="s">
        <v>31</v>
      </c>
      <c r="B47" s="1306" t="s">
        <v>38</v>
      </c>
      <c r="C47" s="1307">
        <v>20</v>
      </c>
      <c r="D47" s="1307">
        <v>32383580.7935923</v>
      </c>
      <c r="E47" s="1307">
        <v>22</v>
      </c>
      <c r="F47" s="1307">
        <v>31125703.280311599</v>
      </c>
    </row>
    <row r="48" spans="1:6">
      <c r="A48" s="1306" t="s">
        <v>31</v>
      </c>
      <c r="B48" s="1306" t="s">
        <v>28</v>
      </c>
      <c r="C48" s="1307">
        <v>48</v>
      </c>
      <c r="D48" s="1307">
        <v>95817860.494247004</v>
      </c>
      <c r="E48" s="1307">
        <v>50</v>
      </c>
      <c r="F48" s="1307">
        <v>108244716.493294</v>
      </c>
    </row>
    <row r="49" spans="1:6">
      <c r="A49" s="1306" t="s">
        <v>31</v>
      </c>
      <c r="B49" s="1306" t="s">
        <v>39</v>
      </c>
      <c r="C49" s="1307">
        <v>5</v>
      </c>
      <c r="D49" s="1307">
        <v>111617.64975920301</v>
      </c>
      <c r="E49" s="1307">
        <v>8</v>
      </c>
      <c r="F49" s="1307">
        <v>34666.434617599101</v>
      </c>
    </row>
    <row r="50" spans="1:6">
      <c r="A50" s="1306" t="s">
        <v>31</v>
      </c>
      <c r="B50" s="1306" t="s">
        <v>40</v>
      </c>
      <c r="C50" s="1307">
        <v>28</v>
      </c>
      <c r="D50" s="1307">
        <v>31698546.031032499</v>
      </c>
      <c r="E50" s="1307">
        <v>43</v>
      </c>
      <c r="F50" s="1307">
        <v>17615480.681045201</v>
      </c>
    </row>
    <row r="51" spans="1:6">
      <c r="A51" s="1306" t="s">
        <v>41</v>
      </c>
      <c r="B51" s="1306" t="s">
        <v>42</v>
      </c>
      <c r="C51" s="1307">
        <v>0</v>
      </c>
      <c r="D51" s="1307">
        <v>0</v>
      </c>
      <c r="E51" s="1307">
        <v>68</v>
      </c>
      <c r="F51" s="1307">
        <v>1419346.3956121199</v>
      </c>
    </row>
    <row r="52" spans="1:6">
      <c r="A52" s="1306" t="s">
        <v>41</v>
      </c>
      <c r="B52" s="1306" t="s">
        <v>28</v>
      </c>
      <c r="C52" s="1307">
        <v>18</v>
      </c>
      <c r="D52" s="1307">
        <v>3813697.9812138998</v>
      </c>
      <c r="E52" s="1307">
        <v>10</v>
      </c>
      <c r="F52" s="1307">
        <v>161009.984423241</v>
      </c>
    </row>
    <row r="53" spans="1:6">
      <c r="A53" s="1306" t="s">
        <v>43</v>
      </c>
      <c r="B53" s="1306" t="s">
        <v>44</v>
      </c>
      <c r="C53" s="1307">
        <v>424</v>
      </c>
      <c r="D53" s="1307">
        <v>18344908.278706599</v>
      </c>
      <c r="E53" s="1307">
        <v>765</v>
      </c>
      <c r="F53" s="1307">
        <v>2897676.5058812001</v>
      </c>
    </row>
    <row r="54" spans="1:6">
      <c r="A54" s="1306" t="s">
        <v>45</v>
      </c>
      <c r="B54" s="1306" t="s">
        <v>46</v>
      </c>
      <c r="C54" s="1307">
        <v>0</v>
      </c>
      <c r="D54" s="1307">
        <v>0</v>
      </c>
      <c r="E54" s="1307">
        <v>1</v>
      </c>
      <c r="F54" s="1307">
        <v>2580359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132</v>
      </c>
      <c r="D57" s="1307">
        <v>8084311.6623292202</v>
      </c>
      <c r="E57" s="1307">
        <v>186</v>
      </c>
      <c r="F57" s="1307">
        <v>5940221.5129961297</v>
      </c>
    </row>
    <row r="58" spans="1:6">
      <c r="A58" s="1306" t="s">
        <v>48</v>
      </c>
      <c r="B58" s="1306" t="s">
        <v>50</v>
      </c>
      <c r="C58" s="1307">
        <v>104</v>
      </c>
      <c r="D58" s="1307">
        <v>18220650.166918799</v>
      </c>
      <c r="E58" s="1307">
        <v>129</v>
      </c>
      <c r="F58" s="1307">
        <v>7879821.2703857403</v>
      </c>
    </row>
    <row r="59" spans="1:6">
      <c r="A59" s="1306" t="s">
        <v>48</v>
      </c>
      <c r="B59" s="1306" t="s">
        <v>51</v>
      </c>
      <c r="C59" s="1307">
        <v>440</v>
      </c>
      <c r="D59" s="1307">
        <v>36478477.762531802</v>
      </c>
      <c r="E59" s="1307">
        <v>663</v>
      </c>
      <c r="F59" s="1307">
        <v>32776740.006207</v>
      </c>
    </row>
    <row r="60" spans="1:6">
      <c r="A60" s="1306" t="s">
        <v>48</v>
      </c>
      <c r="B60" s="1306" t="s">
        <v>52</v>
      </c>
      <c r="C60" s="1307">
        <v>219</v>
      </c>
      <c r="D60" s="1307">
        <v>20440384.6979164</v>
      </c>
      <c r="E60" s="1307">
        <v>244</v>
      </c>
      <c r="F60" s="1307">
        <v>8453375.5933556091</v>
      </c>
    </row>
    <row r="61" spans="1:6">
      <c r="A61" s="1306" t="s">
        <v>48</v>
      </c>
      <c r="B61" s="1306" t="s">
        <v>53</v>
      </c>
      <c r="C61" s="1307">
        <v>616</v>
      </c>
      <c r="D61" s="1307">
        <v>43871193.109042302</v>
      </c>
      <c r="E61" s="1307">
        <v>1251</v>
      </c>
      <c r="F61" s="1307">
        <v>27425540.734970499</v>
      </c>
    </row>
    <row r="62" spans="1:6">
      <c r="A62" s="1306" t="s">
        <v>48</v>
      </c>
      <c r="B62" s="1306" t="s">
        <v>54</v>
      </c>
      <c r="C62" s="1307">
        <v>46</v>
      </c>
      <c r="D62" s="1307">
        <v>9360023.7084913906</v>
      </c>
      <c r="E62" s="1307">
        <v>43</v>
      </c>
      <c r="F62" s="1307">
        <v>2690360.47257142</v>
      </c>
    </row>
    <row r="63" spans="1:6">
      <c r="A63" s="1306" t="s">
        <v>48</v>
      </c>
      <c r="B63" s="1306" t="s">
        <v>28</v>
      </c>
      <c r="C63" s="1307">
        <v>78</v>
      </c>
      <c r="D63" s="1307">
        <v>10812270.733511999</v>
      </c>
      <c r="E63" s="1307">
        <v>78</v>
      </c>
      <c r="F63" s="1307">
        <v>6122579.4675412299</v>
      </c>
    </row>
    <row r="64" spans="1:6">
      <c r="A64" s="1306" t="s">
        <v>55</v>
      </c>
      <c r="B64" s="1306" t="s">
        <v>56</v>
      </c>
      <c r="C64" s="1307">
        <v>0</v>
      </c>
      <c r="D64" s="1307">
        <v>0</v>
      </c>
      <c r="E64" s="1307">
        <v>0</v>
      </c>
      <c r="F64" s="1307">
        <v>0</v>
      </c>
    </row>
    <row r="65" spans="1:6">
      <c r="A65" s="1306" t="s">
        <v>55</v>
      </c>
      <c r="B65" s="1306" t="s">
        <v>28</v>
      </c>
      <c r="C65" s="1307">
        <v>4</v>
      </c>
      <c r="D65" s="1307">
        <v>333529.46610352799</v>
      </c>
      <c r="E65" s="1307">
        <v>2</v>
      </c>
      <c r="F65" s="1307">
        <v>42368.544195398397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476340.98634889902</v>
      </c>
      <c r="E68" s="1310">
        <v>22</v>
      </c>
      <c r="F68" s="1310">
        <v>611177.57708454097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152214582</v>
      </c>
      <c r="E73" s="456"/>
      <c r="F73" s="332"/>
    </row>
    <row r="74" spans="1:6">
      <c r="A74" s="1306" t="s">
        <v>63</v>
      </c>
      <c r="B74" s="1306" t="s">
        <v>724</v>
      </c>
      <c r="C74" s="1320" t="s">
        <v>725</v>
      </c>
      <c r="D74" s="1321">
        <v>14306146.454981077</v>
      </c>
      <c r="E74" s="456"/>
      <c r="F74" s="332"/>
    </row>
    <row r="75" spans="1:6">
      <c r="A75" s="1306" t="s">
        <v>64</v>
      </c>
      <c r="B75" s="1306" t="s">
        <v>722</v>
      </c>
      <c r="C75" s="1320" t="s">
        <v>726</v>
      </c>
      <c r="D75" s="1321">
        <v>29452343</v>
      </c>
      <c r="E75" s="456"/>
      <c r="F75" s="332"/>
    </row>
    <row r="76" spans="1:6">
      <c r="A76" s="1306" t="s">
        <v>64</v>
      </c>
      <c r="B76" s="1306" t="s">
        <v>724</v>
      </c>
      <c r="C76" s="1320" t="s">
        <v>727</v>
      </c>
      <c r="D76" s="1321">
        <v>514311.45498107711</v>
      </c>
      <c r="E76" s="456"/>
      <c r="F76" s="332"/>
    </row>
    <row r="77" spans="1:6">
      <c r="A77" s="1306" t="s">
        <v>65</v>
      </c>
      <c r="B77" s="1306" t="s">
        <v>722</v>
      </c>
      <c r="C77" s="1320" t="s">
        <v>728</v>
      </c>
      <c r="D77" s="1321">
        <v>60881920</v>
      </c>
      <c r="E77" s="456"/>
      <c r="F77" s="332"/>
    </row>
    <row r="78" spans="1:6">
      <c r="A78" s="1301" t="s">
        <v>65</v>
      </c>
      <c r="B78" s="1301" t="s">
        <v>724</v>
      </c>
      <c r="C78" s="1301" t="s">
        <v>729</v>
      </c>
      <c r="D78" s="1322">
        <v>15975143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1440823.0900378458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3807.8893183624577</v>
      </c>
      <c r="C91" s="332"/>
      <c r="D91" s="332"/>
      <c r="E91" s="332"/>
      <c r="F91" s="332"/>
    </row>
    <row r="92" spans="1:6">
      <c r="A92" s="1301" t="s">
        <v>68</v>
      </c>
      <c r="B92" s="1302">
        <v>9629.316518620326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12843</v>
      </c>
      <c r="C97" s="332"/>
      <c r="D97" s="332"/>
      <c r="E97" s="332"/>
      <c r="F97" s="332"/>
    </row>
    <row r="98" spans="1:6">
      <c r="A98" s="1306" t="s">
        <v>71</v>
      </c>
      <c r="B98" s="1307">
        <v>18</v>
      </c>
      <c r="C98" s="332"/>
      <c r="D98" s="332"/>
      <c r="E98" s="332"/>
      <c r="F98" s="332"/>
    </row>
    <row r="99" spans="1:6">
      <c r="A99" s="1306" t="s">
        <v>72</v>
      </c>
      <c r="B99" s="1307">
        <v>63</v>
      </c>
      <c r="C99" s="332"/>
      <c r="D99" s="332"/>
      <c r="E99" s="332"/>
      <c r="F99" s="332"/>
    </row>
    <row r="100" spans="1:6">
      <c r="A100" s="1306" t="s">
        <v>73</v>
      </c>
      <c r="B100" s="1307">
        <v>462</v>
      </c>
      <c r="C100" s="332"/>
      <c r="D100" s="332"/>
      <c r="E100" s="332"/>
      <c r="F100" s="332"/>
    </row>
    <row r="101" spans="1:6">
      <c r="A101" s="1306" t="s">
        <v>74</v>
      </c>
      <c r="B101" s="1307">
        <v>128</v>
      </c>
      <c r="C101" s="332"/>
      <c r="D101" s="332"/>
      <c r="E101" s="332"/>
      <c r="F101" s="332"/>
    </row>
    <row r="102" spans="1:6">
      <c r="A102" s="1306" t="s">
        <v>75</v>
      </c>
      <c r="B102" s="1307">
        <v>292</v>
      </c>
      <c r="C102" s="332"/>
      <c r="D102" s="332"/>
      <c r="E102" s="332"/>
      <c r="F102" s="332"/>
    </row>
    <row r="103" spans="1:6">
      <c r="A103" s="1306" t="s">
        <v>76</v>
      </c>
      <c r="B103" s="1307">
        <v>271</v>
      </c>
      <c r="C103" s="332"/>
      <c r="D103" s="332"/>
      <c r="E103" s="332"/>
      <c r="F103" s="332"/>
    </row>
    <row r="104" spans="1:6">
      <c r="A104" s="1306" t="s">
        <v>77</v>
      </c>
      <c r="B104" s="1307">
        <v>2518</v>
      </c>
      <c r="C104" s="332"/>
      <c r="D104" s="332"/>
      <c r="E104" s="332"/>
      <c r="F104" s="332"/>
    </row>
    <row r="105" spans="1:6">
      <c r="A105" s="1301" t="s">
        <v>78</v>
      </c>
      <c r="B105" s="1310">
        <v>13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14</v>
      </c>
      <c r="C123" s="1307">
        <v>11</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157</v>
      </c>
      <c r="C129" s="332"/>
      <c r="D129" s="332"/>
      <c r="E129" s="332"/>
      <c r="F129" s="332"/>
    </row>
    <row r="130" spans="1:6">
      <c r="A130" s="1306" t="s">
        <v>294</v>
      </c>
      <c r="B130" s="1307">
        <v>4</v>
      </c>
      <c r="C130" s="332"/>
      <c r="D130" s="332"/>
      <c r="E130" s="332"/>
      <c r="F130" s="332"/>
    </row>
    <row r="131" spans="1:6">
      <c r="A131" s="1306" t="s">
        <v>295</v>
      </c>
      <c r="B131" s="1307">
        <v>5</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353290.52791620628</v>
      </c>
      <c r="C3" s="43" t="s">
        <v>169</v>
      </c>
      <c r="D3" s="43"/>
      <c r="E3" s="156"/>
      <c r="F3" s="43"/>
      <c r="G3" s="43"/>
      <c r="H3" s="43"/>
      <c r="I3" s="43"/>
      <c r="J3" s="43"/>
      <c r="K3" s="96"/>
    </row>
    <row r="4" spans="1:11">
      <c r="A4" s="363" t="s">
        <v>170</v>
      </c>
      <c r="B4" s="49">
        <f>IF(ISERROR('SEAP template'!B78+'SEAP template'!C78),0,'SEAP template'!B78+'SEAP template'!C78)</f>
        <v>23661.955836982783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2101.4315330517079</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0.21214649145741221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3268.1613240911502</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13816.071428571428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0.23654780166615538</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2580.3589999999999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2580.3589999999999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0.21214649145741221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547.41410855055665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57388.963026665733</v>
      </c>
      <c r="C5" s="17">
        <f>IF(ISERROR('Eigen informatie GS &amp; warmtenet'!B57),0,'Eigen informatie GS &amp; warmtenet'!B57)</f>
        <v>0</v>
      </c>
      <c r="D5" s="30">
        <f>(SUM(HH_hh_gas_kWh,HH_rest_gas_kWh)/1000)*0.902</f>
        <v>259222.3522848633</v>
      </c>
      <c r="E5" s="17">
        <f>B46*B57</f>
        <v>4714.5410714161872</v>
      </c>
      <c r="F5" s="17">
        <f>B51*B62</f>
        <v>0</v>
      </c>
      <c r="G5" s="18"/>
      <c r="H5" s="17"/>
      <c r="I5" s="17"/>
      <c r="J5" s="17">
        <f>B50*B61+C50*C61</f>
        <v>0</v>
      </c>
      <c r="K5" s="17"/>
      <c r="L5" s="17"/>
      <c r="M5" s="17"/>
      <c r="N5" s="17">
        <f>B48*B59+C48*C59</f>
        <v>32787.827409562407</v>
      </c>
      <c r="O5" s="17">
        <f>B69*B70*B71</f>
        <v>262.64000000000004</v>
      </c>
      <c r="P5" s="17">
        <f>B77*B78*B79/1000-B77*B78*B79/1000/B80</f>
        <v>514.79999999999995</v>
      </c>
    </row>
    <row r="6" spans="1:16">
      <c r="A6" s="16" t="s">
        <v>633</v>
      </c>
      <c r="B6" s="779">
        <f>kWh_PV_kleiner_dan_10kW</f>
        <v>3807.8893183624577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61196.852345028194</v>
      </c>
      <c r="C8" s="21">
        <f>C5</f>
        <v>0</v>
      </c>
      <c r="D8" s="21">
        <f>D5</f>
        <v>259222.3522848633</v>
      </c>
      <c r="E8" s="21">
        <f>E5</f>
        <v>4714.5410714161872</v>
      </c>
      <c r="F8" s="21">
        <f>F5</f>
        <v>0</v>
      </c>
      <c r="G8" s="21"/>
      <c r="H8" s="21"/>
      <c r="I8" s="21"/>
      <c r="J8" s="21">
        <f>J5</f>
        <v>0</v>
      </c>
      <c r="K8" s="21"/>
      <c r="L8" s="21">
        <f>L5</f>
        <v>0</v>
      </c>
      <c r="M8" s="21">
        <f>M5</f>
        <v>0</v>
      </c>
      <c r="N8" s="21">
        <f>N5</f>
        <v>32787.827409562407</v>
      </c>
      <c r="O8" s="21">
        <f>O5</f>
        <v>262.64000000000004</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0.21214649145741221</v>
      </c>
      <c r="C10" s="25">
        <f ca="1">'EF ele_warmte'!B22</f>
        <v>0.23654780166615538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12982.69751323504</v>
      </c>
      <c r="C12" s="23">
        <f ca="1">C10*C8</f>
        <v>0</v>
      </c>
      <c r="D12" s="23">
        <f>D8*D10</f>
        <v>52362.915161542391</v>
      </c>
      <c r="E12" s="23">
        <f>E10*E8</f>
        <v>1070.2008232114745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12843</v>
      </c>
      <c r="C18" s="168" t="s">
        <v>110</v>
      </c>
      <c r="D18" s="230"/>
      <c r="E18" s="15"/>
    </row>
    <row r="19" spans="1:7">
      <c r="A19" s="173" t="s">
        <v>71</v>
      </c>
      <c r="B19" s="37">
        <f>aantalw2001_ander</f>
        <v>18</v>
      </c>
      <c r="C19" s="168" t="s">
        <v>110</v>
      </c>
      <c r="D19" s="231"/>
      <c r="E19" s="15"/>
    </row>
    <row r="20" spans="1:7">
      <c r="A20" s="173" t="s">
        <v>72</v>
      </c>
      <c r="B20" s="37">
        <f>aantalw2001_propaan</f>
        <v>63</v>
      </c>
      <c r="C20" s="169">
        <f>IF(ISERROR(B20/SUM($B$20,$B$21,$B$22)*100),0,B20/SUM($B$20,$B$21,$B$22)*100)</f>
        <v>9.6477794793261857</v>
      </c>
      <c r="D20" s="231"/>
      <c r="E20" s="15"/>
    </row>
    <row r="21" spans="1:7">
      <c r="A21" s="173" t="s">
        <v>73</v>
      </c>
      <c r="B21" s="37">
        <f>aantalw2001_elektriciteit</f>
        <v>462</v>
      </c>
      <c r="C21" s="169">
        <f>IF(ISERROR(B21/SUM($B$20,$B$21,$B$22)*100),0,B21/SUM($B$20,$B$21,$B$22)*100)</f>
        <v>70.750382848392036</v>
      </c>
      <c r="D21" s="231"/>
      <c r="E21" s="15"/>
    </row>
    <row r="22" spans="1:7">
      <c r="A22" s="173" t="s">
        <v>74</v>
      </c>
      <c r="B22" s="37">
        <f>aantalw2001_hout</f>
        <v>128</v>
      </c>
      <c r="C22" s="169">
        <f>IF(ISERROR(B22/SUM($B$20,$B$21,$B$22)*100),0,B22/SUM($B$20,$B$21,$B$22)*100)</f>
        <v>19.601837672281778</v>
      </c>
      <c r="D22" s="231"/>
      <c r="E22" s="15"/>
    </row>
    <row r="23" spans="1:7">
      <c r="A23" s="173" t="s">
        <v>75</v>
      </c>
      <c r="B23" s="37">
        <f>aantalw2001_niet_gespec</f>
        <v>292</v>
      </c>
      <c r="C23" s="168" t="s">
        <v>110</v>
      </c>
      <c r="D23" s="230"/>
      <c r="E23" s="15"/>
    </row>
    <row r="24" spans="1:7">
      <c r="A24" s="173" t="s">
        <v>76</v>
      </c>
      <c r="B24" s="37">
        <f>aantalw2001_steenkool</f>
        <v>271</v>
      </c>
      <c r="C24" s="168" t="s">
        <v>110</v>
      </c>
      <c r="D24" s="231"/>
      <c r="E24" s="15"/>
    </row>
    <row r="25" spans="1:7">
      <c r="A25" s="173" t="s">
        <v>77</v>
      </c>
      <c r="B25" s="37">
        <f>aantalw2001_stookolie</f>
        <v>2518</v>
      </c>
      <c r="C25" s="168" t="s">
        <v>110</v>
      </c>
      <c r="D25" s="230"/>
      <c r="E25" s="52"/>
    </row>
    <row r="26" spans="1:7">
      <c r="A26" s="173" t="s">
        <v>78</v>
      </c>
      <c r="B26" s="37">
        <f>aantalw2001_WP</f>
        <v>13</v>
      </c>
      <c r="C26" s="168" t="s">
        <v>110</v>
      </c>
      <c r="D26" s="230"/>
      <c r="E26" s="15"/>
    </row>
    <row r="27" spans="1:7" s="15" customFormat="1">
      <c r="A27" s="173"/>
      <c r="B27" s="29"/>
      <c r="C27" s="36"/>
      <c r="D27" s="230"/>
    </row>
    <row r="28" spans="1:7" s="15" customFormat="1">
      <c r="A28" s="232" t="s">
        <v>742</v>
      </c>
      <c r="B28" s="37">
        <f>aantalHuishoudens</f>
        <v>18795</v>
      </c>
      <c r="C28" s="36"/>
      <c r="D28" s="230"/>
    </row>
    <row r="29" spans="1:7" s="15" customFormat="1">
      <c r="A29" s="232" t="s">
        <v>743</v>
      </c>
      <c r="B29" s="37">
        <f>SUM(HH_hh_gas_aantal,HH_rest_gas_aantal)</f>
        <v>16637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16637</v>
      </c>
      <c r="C32" s="169">
        <f>IF(ISERROR(B32/SUM($B$32,$B$34,$B$35,$B$36,$B$38,$B$39)*100),0,B32/SUM($B$32,$B$34,$B$35,$B$36,$B$38,$B$39)*100)</f>
        <v>88.645566922421139</v>
      </c>
      <c r="D32" s="235"/>
      <c r="G32" s="15"/>
    </row>
    <row r="33" spans="1:7">
      <c r="A33" s="173" t="s">
        <v>71</v>
      </c>
      <c r="B33" s="34" t="s">
        <v>110</v>
      </c>
      <c r="C33" s="169"/>
      <c r="D33" s="235"/>
      <c r="G33" s="15"/>
    </row>
    <row r="34" spans="1:7">
      <c r="A34" s="173" t="s">
        <v>72</v>
      </c>
      <c r="B34" s="33">
        <f>IF((($B$28-$B$32-$B$39-$B$77-$B$38)*C20/100)&lt;0,0,($B$28-$B$32-$B$39-$B$77-$B$38)*C20/100)</f>
        <v>205.59418070444102</v>
      </c>
      <c r="C34" s="169">
        <f>IF(ISERROR(B34/SUM($B$32,$B$34,$B$35,$B$36,$B$38,$B$39)*100),0,B34/SUM($B$32,$B$34,$B$35,$B$36,$B$38,$B$39)*100)</f>
        <v>1.0954506644524777</v>
      </c>
      <c r="D34" s="235"/>
      <c r="G34" s="15"/>
    </row>
    <row r="35" spans="1:7">
      <c r="A35" s="173" t="s">
        <v>73</v>
      </c>
      <c r="B35" s="33">
        <f>IF((($B$28-$B$32-$B$39-$B$77-$B$38)*C21/100)&lt;0,0,($B$28-$B$32-$B$39-$B$77-$B$38)*C21/100)</f>
        <v>1507.6906584992344</v>
      </c>
      <c r="C35" s="169">
        <f>IF(ISERROR(B35/SUM($B$32,$B$34,$B$35,$B$36,$B$38,$B$39)*100),0,B35/SUM($B$32,$B$34,$B$35,$B$36,$B$38,$B$39)*100)</f>
        <v>8.0333048726515042</v>
      </c>
      <c r="D35" s="235"/>
      <c r="G35" s="15"/>
    </row>
    <row r="36" spans="1:7">
      <c r="A36" s="173" t="s">
        <v>74</v>
      </c>
      <c r="B36" s="33">
        <f>IF((($B$28-$B$32-$B$39-$B$77-$B$38)*C22/100)&lt;0,0,($B$28-$B$32-$B$39-$B$77-$B$38)*C22/100)</f>
        <v>417.71516079632471</v>
      </c>
      <c r="C36" s="169">
        <f>IF(ISERROR(B36/SUM($B$32,$B$34,$B$35,$B$36,$B$38,$B$39)*100),0,B36/SUM($B$32,$B$34,$B$35,$B$36,$B$38,$B$39)*100)</f>
        <v>2.2256775404748756</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16637</v>
      </c>
      <c r="C44" s="34" t="s">
        <v>110</v>
      </c>
      <c r="D44" s="176"/>
    </row>
    <row r="45" spans="1:7">
      <c r="A45" s="173" t="s">
        <v>71</v>
      </c>
      <c r="B45" s="33" t="str">
        <f t="shared" si="0"/>
        <v>-</v>
      </c>
      <c r="C45" s="34" t="s">
        <v>110</v>
      </c>
      <c r="D45" s="176"/>
    </row>
    <row r="46" spans="1:7">
      <c r="A46" s="173" t="s">
        <v>72</v>
      </c>
      <c r="B46" s="33">
        <f t="shared" si="0"/>
        <v>205.59418070444102</v>
      </c>
      <c r="C46" s="34" t="s">
        <v>110</v>
      </c>
      <c r="D46" s="176"/>
    </row>
    <row r="47" spans="1:7">
      <c r="A47" s="173" t="s">
        <v>73</v>
      </c>
      <c r="B47" s="33">
        <f t="shared" si="0"/>
        <v>1507.6906584992344</v>
      </c>
      <c r="C47" s="34" t="s">
        <v>110</v>
      </c>
      <c r="D47" s="176"/>
    </row>
    <row r="48" spans="1:7">
      <c r="A48" s="173" t="s">
        <v>74</v>
      </c>
      <c r="B48" s="33">
        <f t="shared" si="0"/>
        <v>417.71516079632471</v>
      </c>
      <c r="C48" s="33">
        <f>B48*10</f>
        <v>4177.1516079632474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168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91288.639058027635</v>
      </c>
      <c r="C5" s="17">
        <f>IF(ISERROR('Eigen informatie GS &amp; warmtenet'!B58),0,'Eigen informatie GS &amp; warmtenet'!B58)</f>
        <v>0</v>
      </c>
      <c r="D5" s="30">
        <f>SUM(D6:D12)</f>
        <v>132835.11528034922</v>
      </c>
      <c r="E5" s="17">
        <f>SUM(E6:E12)</f>
        <v>1167.6543381487036</v>
      </c>
      <c r="F5" s="17">
        <f>SUM(F6:F12)</f>
        <v>17525.22187516608</v>
      </c>
      <c r="G5" s="18"/>
      <c r="H5" s="17"/>
      <c r="I5" s="17"/>
      <c r="J5" s="17">
        <f>SUM(J6:J12)</f>
        <v>0</v>
      </c>
      <c r="K5" s="17"/>
      <c r="L5" s="17"/>
      <c r="M5" s="17"/>
      <c r="N5" s="17">
        <f>SUM(N6:N12)</f>
        <v>4817.5678339674459</v>
      </c>
      <c r="O5" s="17">
        <f>B38*B39*B40</f>
        <v>6.2533333333333339</v>
      </c>
      <c r="P5" s="17">
        <f>B46*B47*B48/1000-B46*B47*B48/1000/B49</f>
        <v>95.333333333333343</v>
      </c>
      <c r="R5" s="32"/>
    </row>
    <row r="6" spans="1:18">
      <c r="A6" s="32" t="s">
        <v>53</v>
      </c>
      <c r="B6" s="37">
        <f>B26</f>
        <v>27425.540734970498</v>
      </c>
      <c r="C6" s="33"/>
      <c r="D6" s="37">
        <f>IF(ISERROR(TER_kantoor_gas_kWh/1000),0,TER_kantoor_gas_kWh/1000)*0.902</f>
        <v>39571.816184356161</v>
      </c>
      <c r="E6" s="33">
        <f>$C$26*'E Balans VL '!I12/100/3.6*1000000</f>
        <v>106.55403208063861</v>
      </c>
      <c r="F6" s="33">
        <f>$C$26*('E Balans VL '!L12+'E Balans VL '!N12)/100/3.6*1000000</f>
        <v>4171.1751932643783</v>
      </c>
      <c r="G6" s="34"/>
      <c r="H6" s="33"/>
      <c r="I6" s="33"/>
      <c r="J6" s="33">
        <f>$C$26*('E Balans VL '!D12+'E Balans VL '!E12)/100/3.6*1000000</f>
        <v>0</v>
      </c>
      <c r="K6" s="33"/>
      <c r="L6" s="33"/>
      <c r="M6" s="33"/>
      <c r="N6" s="33">
        <f>$C$26*'E Balans VL '!Y12/100/3.6*1000000</f>
        <v>15.114758443837001</v>
      </c>
      <c r="O6" s="33"/>
      <c r="P6" s="33"/>
      <c r="R6" s="32"/>
    </row>
    <row r="7" spans="1:18">
      <c r="A7" s="32" t="s">
        <v>52</v>
      </c>
      <c r="B7" s="37">
        <f t="shared" ref="B7:B12" si="0">B27</f>
        <v>8453.3755933556095</v>
      </c>
      <c r="C7" s="33"/>
      <c r="D7" s="37">
        <f>IF(ISERROR(TER_horeca_gas_kWh/1000),0,TER_horeca_gas_kWh/1000)*0.902</f>
        <v>18437.226997520593</v>
      </c>
      <c r="E7" s="33">
        <f>$C$27*'E Balans VL '!I9/100/3.6*1000000</f>
        <v>476.18090723190301</v>
      </c>
      <c r="F7" s="33">
        <f>$C$27*('E Balans VL '!L9+'E Balans VL '!N9)/100/3.6*1000000</f>
        <v>2437.4474278583698</v>
      </c>
      <c r="G7" s="34"/>
      <c r="H7" s="33"/>
      <c r="I7" s="33"/>
      <c r="J7" s="33">
        <f>$C$27*('E Balans VL '!D9+'E Balans VL '!E9)/100/3.6*1000000</f>
        <v>0</v>
      </c>
      <c r="K7" s="33"/>
      <c r="L7" s="33"/>
      <c r="M7" s="33"/>
      <c r="N7" s="33">
        <f>$C$27*'E Balans VL '!Y9/100/3.6*1000000</f>
        <v>2.3339330734528621</v>
      </c>
      <c r="O7" s="33"/>
      <c r="P7" s="33"/>
      <c r="R7" s="32"/>
    </row>
    <row r="8" spans="1:18">
      <c r="A8" s="6" t="s">
        <v>51</v>
      </c>
      <c r="B8" s="37">
        <f t="shared" si="0"/>
        <v>32776.740006207001</v>
      </c>
      <c r="C8" s="33"/>
      <c r="D8" s="37">
        <f>IF(ISERROR(TER_handel_gas_kWh/1000),0,TER_handel_gas_kWh/1000)*0.902</f>
        <v>32903.586941803689</v>
      </c>
      <c r="E8" s="33">
        <f>$C$28*'E Balans VL '!I13/100/3.6*1000000</f>
        <v>472.42402390654723</v>
      </c>
      <c r="F8" s="33">
        <f>$C$28*('E Balans VL '!L13+'E Balans VL '!N13)/100/3.6*1000000</f>
        <v>5694.0830578450268</v>
      </c>
      <c r="G8" s="34"/>
      <c r="H8" s="33"/>
      <c r="I8" s="33"/>
      <c r="J8" s="33">
        <f>$C$28*('E Balans VL '!D13+'E Balans VL '!E13)/100/3.6*1000000</f>
        <v>0</v>
      </c>
      <c r="K8" s="33"/>
      <c r="L8" s="33"/>
      <c r="M8" s="33"/>
      <c r="N8" s="33">
        <f>$C$28*'E Balans VL '!Y13/100/3.6*1000000</f>
        <v>98.202761840459132</v>
      </c>
      <c r="O8" s="33"/>
      <c r="P8" s="33"/>
      <c r="R8" s="32"/>
    </row>
    <row r="9" spans="1:18">
      <c r="A9" s="32" t="s">
        <v>50</v>
      </c>
      <c r="B9" s="37">
        <f t="shared" si="0"/>
        <v>7879.8212703857407</v>
      </c>
      <c r="C9" s="33"/>
      <c r="D9" s="37">
        <f>IF(ISERROR(TER_gezond_gas_kWh/1000),0,TER_gezond_gas_kWh/1000)*0.902</f>
        <v>16435.026450560759</v>
      </c>
      <c r="E9" s="33">
        <f>$C$29*'E Balans VL '!I10/100/3.6*1000000</f>
        <v>8.417691491441424</v>
      </c>
      <c r="F9" s="33">
        <f>$C$29*('E Balans VL '!L10+'E Balans VL '!N10)/100/3.6*1000000</f>
        <v>1285.438325954744</v>
      </c>
      <c r="G9" s="34"/>
      <c r="H9" s="33"/>
      <c r="I9" s="33"/>
      <c r="J9" s="33">
        <f>$C$29*('E Balans VL '!D10+'E Balans VL '!E10)/100/3.6*1000000</f>
        <v>0</v>
      </c>
      <c r="K9" s="33"/>
      <c r="L9" s="33"/>
      <c r="M9" s="33"/>
      <c r="N9" s="33">
        <f>$C$29*'E Balans VL '!Y10/100/3.6*1000000</f>
        <v>81.118263842303648</v>
      </c>
      <c r="O9" s="33"/>
      <c r="P9" s="33"/>
      <c r="R9" s="32"/>
    </row>
    <row r="10" spans="1:18">
      <c r="A10" s="32" t="s">
        <v>49</v>
      </c>
      <c r="B10" s="37">
        <f t="shared" si="0"/>
        <v>5940.2215129961296</v>
      </c>
      <c r="C10" s="33"/>
      <c r="D10" s="37">
        <f>IF(ISERROR(TER_ander_gas_kWh/1000),0,TER_ander_gas_kWh/1000)*0.902</f>
        <v>7292.0491194209562</v>
      </c>
      <c r="E10" s="33">
        <f>$C$30*'E Balans VL '!I14/100/3.6*1000000</f>
        <v>27.31817516350144</v>
      </c>
      <c r="F10" s="33">
        <f>$C$30*('E Balans VL '!L14+'E Balans VL '!N14)/100/3.6*1000000</f>
        <v>1780.471758872085</v>
      </c>
      <c r="G10" s="34"/>
      <c r="H10" s="33"/>
      <c r="I10" s="33"/>
      <c r="J10" s="33">
        <f>$C$30*('E Balans VL '!D14+'E Balans VL '!E14)/100/3.6*1000000</f>
        <v>0</v>
      </c>
      <c r="K10" s="33"/>
      <c r="L10" s="33"/>
      <c r="M10" s="33"/>
      <c r="N10" s="33">
        <f>$C$30*'E Balans VL '!Y14/100/3.6*1000000</f>
        <v>4134.7862916335425</v>
      </c>
      <c r="O10" s="33"/>
      <c r="P10" s="33"/>
      <c r="R10" s="32"/>
    </row>
    <row r="11" spans="1:18">
      <c r="A11" s="32" t="s">
        <v>54</v>
      </c>
      <c r="B11" s="37">
        <f t="shared" si="0"/>
        <v>2690.3604725714199</v>
      </c>
      <c r="C11" s="33"/>
      <c r="D11" s="37">
        <f>IF(ISERROR(TER_onderwijs_gas_kWh/1000),0,TER_onderwijs_gas_kWh/1000)*0.902</f>
        <v>8442.7413850592329</v>
      </c>
      <c r="E11" s="33">
        <f>$C$31*'E Balans VL '!I11/100/3.6*1000000</f>
        <v>2.4956631443287201</v>
      </c>
      <c r="F11" s="33">
        <f>$C$31*('E Balans VL '!L11+'E Balans VL '!N11)/100/3.6*1000000</f>
        <v>945.06180052447121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6122.5794675412299</v>
      </c>
      <c r="C12" s="33"/>
      <c r="D12" s="37">
        <f>IF(ISERROR(TER_rest_gas_kWh/1000),0,TER_rest_gas_kWh/1000)*0.902</f>
        <v>9752.6682016278246</v>
      </c>
      <c r="E12" s="33">
        <f>$C$32*'E Balans VL '!I8/100/3.6*1000000</f>
        <v>74.263845130343057</v>
      </c>
      <c r="F12" s="33">
        <f>$C$32*('E Balans VL '!L8+'E Balans VL '!N8)/100/3.6*1000000</f>
        <v>1211.5443108470083</v>
      </c>
      <c r="G12" s="34"/>
      <c r="H12" s="33"/>
      <c r="I12" s="33"/>
      <c r="J12" s="33">
        <f>$C$32*('E Balans VL '!D8+'E Balans VL '!E8)/100/3.6*1000000</f>
        <v>0</v>
      </c>
      <c r="K12" s="33"/>
      <c r="L12" s="33"/>
      <c r="M12" s="33"/>
      <c r="N12" s="33">
        <f>$C$32*'E Balans VL '!Y8/100/3.6*1000000</f>
        <v>486.01182513385078</v>
      </c>
      <c r="O12" s="33"/>
      <c r="P12" s="33"/>
      <c r="R12" s="32"/>
    </row>
    <row r="13" spans="1:18">
      <c r="A13" s="16" t="s">
        <v>496</v>
      </c>
      <c r="B13" s="249">
        <f ca="1">'lokale energieproductie'!N40+'lokale energieproductie'!N33</f>
        <v>1656</v>
      </c>
      <c r="C13" s="249">
        <f ca="1">'lokale energieproductie'!O40+'lokale energieproductie'!O33</f>
        <v>1575.0000000000002</v>
      </c>
      <c r="D13" s="310">
        <f ca="1">('lokale energieproductie'!P33+'lokale energieproductie'!P40)*(-1)</f>
        <v>-2100.0000000000005</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-3831.4285714285716</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92944.639058027635</v>
      </c>
      <c r="C16" s="21">
        <f t="shared" ca="1" si="1"/>
        <v>1575.0000000000002</v>
      </c>
      <c r="D16" s="21">
        <f t="shared" ca="1" si="1"/>
        <v>130735.11528034922</v>
      </c>
      <c r="E16" s="21">
        <f t="shared" si="1"/>
        <v>1167.6543381487036</v>
      </c>
      <c r="F16" s="21">
        <f t="shared" ca="1" si="1"/>
        <v>17525.22187516608</v>
      </c>
      <c r="G16" s="21">
        <f t="shared" si="1"/>
        <v>0</v>
      </c>
      <c r="H16" s="21">
        <f t="shared" si="1"/>
        <v>0</v>
      </c>
      <c r="I16" s="21">
        <f t="shared" si="1"/>
        <v>0</v>
      </c>
      <c r="J16" s="21">
        <f t="shared" si="1"/>
        <v>0</v>
      </c>
      <c r="K16" s="21">
        <f t="shared" si="1"/>
        <v>0</v>
      </c>
      <c r="L16" s="21">
        <f t="shared" ca="1" si="1"/>
        <v>0</v>
      </c>
      <c r="M16" s="21">
        <f t="shared" si="1"/>
        <v>0</v>
      </c>
      <c r="N16" s="21">
        <f t="shared" ca="1" si="1"/>
        <v>986.13926253887439</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0.21214649145741221</v>
      </c>
      <c r="C18" s="25">
        <f ca="1">'EF ele_warmte'!B22</f>
        <v>0.23654780166615538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19717.879075936122</v>
      </c>
      <c r="C20" s="23">
        <f t="shared" ref="C20:P20" ca="1" si="2">C16*C18</f>
        <v>372.56278762419475</v>
      </c>
      <c r="D20" s="23">
        <f t="shared" ca="1" si="2"/>
        <v>26408.493286630543</v>
      </c>
      <c r="E20" s="23">
        <f t="shared" si="2"/>
        <v>265.0575347597557</v>
      </c>
      <c r="F20" s="23">
        <f t="shared" ca="1" si="2"/>
        <v>4679.2342406693433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27425.540734970498</v>
      </c>
      <c r="C26" s="39">
        <f>IF(ISERROR(B26*3.6/1000000/'E Balans VL '!Z12*100),0,B26*3.6/1000000/'E Balans VL '!Z12*100)</f>
        <v>0.58253207005764751</v>
      </c>
      <c r="D26" s="239" t="s">
        <v>689</v>
      </c>
      <c r="F26" s="6"/>
    </row>
    <row r="27" spans="1:18">
      <c r="A27" s="233" t="s">
        <v>52</v>
      </c>
      <c r="B27" s="33">
        <f>IF(ISERROR(TER_horeca_ele_kWh/1000),0,TER_horeca_ele_kWh/1000)</f>
        <v>8453.3755933556095</v>
      </c>
      <c r="C27" s="39">
        <f>IF(ISERROR(B27*3.6/1000000/'E Balans VL '!Z9*100),0,B27*3.6/1000000/'E Balans VL '!Z9*100)</f>
        <v>0.65730143410262587</v>
      </c>
      <c r="D27" s="239" t="s">
        <v>689</v>
      </c>
      <c r="F27" s="6"/>
    </row>
    <row r="28" spans="1:18">
      <c r="A28" s="173" t="s">
        <v>51</v>
      </c>
      <c r="B28" s="33">
        <f>IF(ISERROR(TER_handel_ele_kWh/1000),0,TER_handel_ele_kWh/1000)</f>
        <v>32776.740006207001</v>
      </c>
      <c r="C28" s="39">
        <f>IF(ISERROR(B28*3.6/1000000/'E Balans VL '!Z13*100),0,B28*3.6/1000000/'E Balans VL '!Z13*100)</f>
        <v>0.93778110594177999</v>
      </c>
      <c r="D28" s="239" t="s">
        <v>689</v>
      </c>
      <c r="F28" s="6"/>
    </row>
    <row r="29" spans="1:18">
      <c r="A29" s="233" t="s">
        <v>50</v>
      </c>
      <c r="B29" s="33">
        <f>IF(ISERROR(TER_gezond_ele_kWh/1000),0,TER_gezond_ele_kWh/1000)</f>
        <v>7879.8212703857407</v>
      </c>
      <c r="C29" s="39">
        <f>IF(ISERROR(B29*3.6/1000000/'E Balans VL '!Z10*100),0,B29*3.6/1000000/'E Balans VL '!Z10*100)</f>
        <v>0.8590836235582423</v>
      </c>
      <c r="D29" s="239" t="s">
        <v>689</v>
      </c>
      <c r="F29" s="6"/>
    </row>
    <row r="30" spans="1:18">
      <c r="A30" s="233" t="s">
        <v>49</v>
      </c>
      <c r="B30" s="33">
        <f>IF(ISERROR(TER_ander_ele_kWh/1000),0,TER_ander_ele_kWh/1000)</f>
        <v>5940.2215129961296</v>
      </c>
      <c r="C30" s="39">
        <f>IF(ISERROR(B30*3.6/1000000/'E Balans VL '!Z14*100),0,B30*3.6/1000000/'E Balans VL '!Z14*100)</f>
        <v>0.43469193524798722</v>
      </c>
      <c r="D30" s="239" t="s">
        <v>689</v>
      </c>
      <c r="F30" s="6"/>
    </row>
    <row r="31" spans="1:18">
      <c r="A31" s="233" t="s">
        <v>54</v>
      </c>
      <c r="B31" s="33">
        <f>IF(ISERROR(TER_onderwijs_ele_kWh/1000),0,TER_onderwijs_ele_kWh/1000)</f>
        <v>2690.3604725714199</v>
      </c>
      <c r="C31" s="39">
        <f>IF(ISERROR(B31*3.6/1000000/'E Balans VL '!Z11*100),0,B31*3.6/1000000/'E Balans VL '!Z11*100)</f>
        <v>0.54036089872256721</v>
      </c>
      <c r="D31" s="239" t="s">
        <v>689</v>
      </c>
    </row>
    <row r="32" spans="1:18">
      <c r="A32" s="233" t="s">
        <v>259</v>
      </c>
      <c r="B32" s="33">
        <f>IF(ISERROR(TER_rest_ele_kWh/1000),0,TER_rest_ele_kWh/1000)</f>
        <v>6122.5794675412299</v>
      </c>
      <c r="C32" s="39">
        <f>IF(ISERROR(B32*3.6/1000000/'E Balans VL '!Z8*100),0,B32*3.6/1000000/'E Balans VL '!Z8*100)</f>
        <v>4.9895307055769056E-2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5</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183511.4238306513</v>
      </c>
      <c r="C5" s="17">
        <f>IF(ISERROR('Eigen informatie GS &amp; warmtenet'!B59),0,'Eigen informatie GS &amp; warmtenet'!B59)</f>
        <v>0</v>
      </c>
      <c r="D5" s="30">
        <f>SUM(D6:D15)</f>
        <v>168626.65430034339</v>
      </c>
      <c r="E5" s="17">
        <f>SUM(E6:E15)</f>
        <v>10447.033733386688</v>
      </c>
      <c r="F5" s="17">
        <f>SUM(F6:F15)</f>
        <v>60955.553316212099</v>
      </c>
      <c r="G5" s="18"/>
      <c r="H5" s="17"/>
      <c r="I5" s="17"/>
      <c r="J5" s="17">
        <f>SUM(J6:J15)</f>
        <v>280.48500112584759</v>
      </c>
      <c r="K5" s="17"/>
      <c r="L5" s="17"/>
      <c r="M5" s="17"/>
      <c r="N5" s="17">
        <f>SUM(N6:N15)</f>
        <v>17140.515247829546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592.11229132476899</v>
      </c>
      <c r="C8" s="33"/>
      <c r="D8" s="37">
        <f>IF( ISERROR(IND_metaal_Gas_kWH/1000),0,IND_metaal_Gas_kWH/1000)*0.902</f>
        <v>1161.3325848494483</v>
      </c>
      <c r="E8" s="33">
        <f>C30*'E Balans VL '!I18/100/3.6*1000000</f>
        <v>17.007687523733832</v>
      </c>
      <c r="F8" s="33">
        <f>C30*'E Balans VL '!L18/100/3.6*1000000+C30*'E Balans VL '!N18/100/3.6*1000000</f>
        <v>151.86541476886327</v>
      </c>
      <c r="G8" s="34"/>
      <c r="H8" s="33"/>
      <c r="I8" s="33"/>
      <c r="J8" s="40">
        <f>C30*'E Balans VL '!D18/100/3.6*1000000+C30*'E Balans VL '!E18/100/3.6*1000000</f>
        <v>0</v>
      </c>
      <c r="K8" s="33"/>
      <c r="L8" s="33"/>
      <c r="M8" s="33"/>
      <c r="N8" s="33">
        <f>C30*'E Balans VL '!Y18/100/3.6*1000000</f>
        <v>16.077057381896029</v>
      </c>
      <c r="O8" s="33"/>
      <c r="P8" s="33"/>
      <c r="R8" s="32"/>
    </row>
    <row r="9" spans="1:18">
      <c r="A9" s="6" t="s">
        <v>32</v>
      </c>
      <c r="B9" s="37">
        <f t="shared" si="0"/>
        <v>9416.8390210304296</v>
      </c>
      <c r="C9" s="33"/>
      <c r="D9" s="37">
        <f>IF( ISERROR(IND_andere_gas_kWh/1000),0,IND_andere_gas_kWh/1000)*0.902</f>
        <v>8039.1665805001585</v>
      </c>
      <c r="E9" s="33">
        <f>C31*'E Balans VL '!I19/100/3.6*1000000</f>
        <v>2548.9067907910562</v>
      </c>
      <c r="F9" s="33">
        <f>C31*'E Balans VL '!L19/100/3.6*1000000+C31*'E Balans VL '!N19/100/3.6*1000000</f>
        <v>6272.611297735858</v>
      </c>
      <c r="G9" s="34"/>
      <c r="H9" s="33"/>
      <c r="I9" s="33"/>
      <c r="J9" s="40">
        <f>C31*'E Balans VL '!D19/100/3.6*1000000+C31*'E Balans VL '!E19/100/3.6*1000000</f>
        <v>0</v>
      </c>
      <c r="K9" s="33"/>
      <c r="L9" s="33"/>
      <c r="M9" s="33"/>
      <c r="N9" s="33">
        <f>C31*'E Balans VL '!Y19/100/3.6*1000000</f>
        <v>796.13135979295168</v>
      </c>
      <c r="O9" s="33"/>
      <c r="P9" s="33"/>
      <c r="R9" s="32"/>
    </row>
    <row r="10" spans="1:18">
      <c r="A10" s="6" t="s">
        <v>40</v>
      </c>
      <c r="B10" s="37">
        <f t="shared" si="0"/>
        <v>17615.480681045199</v>
      </c>
      <c r="C10" s="33"/>
      <c r="D10" s="37">
        <f>IF( ISERROR(IND_voed_gas_kWh/1000),0,IND_voed_gas_kWh/1000)*0.902</f>
        <v>28592.088519991317</v>
      </c>
      <c r="E10" s="33">
        <f>C32*'E Balans VL '!I20/100/3.6*1000000</f>
        <v>1436.7590748598136</v>
      </c>
      <c r="F10" s="33">
        <f>C32*'E Balans VL '!L20/100/3.6*1000000+C32*'E Balans VL '!N20/100/3.6*1000000</f>
        <v>26266.279911883561</v>
      </c>
      <c r="G10" s="34"/>
      <c r="H10" s="33"/>
      <c r="I10" s="33"/>
      <c r="J10" s="40">
        <f>C32*'E Balans VL '!D20/100/3.6*1000000+C32*'E Balans VL '!E20/100/3.6*1000000</f>
        <v>0.23303142708513314</v>
      </c>
      <c r="K10" s="33"/>
      <c r="L10" s="33"/>
      <c r="M10" s="33"/>
      <c r="N10" s="33">
        <f>C32*'E Balans VL '!Y20/100/3.6*1000000</f>
        <v>5174.8066408018412</v>
      </c>
      <c r="O10" s="33"/>
      <c r="P10" s="33"/>
      <c r="R10" s="32"/>
    </row>
    <row r="11" spans="1:18">
      <c r="A11" s="6" t="s">
        <v>39</v>
      </c>
      <c r="B11" s="37">
        <f t="shared" si="0"/>
        <v>34.666434617599101</v>
      </c>
      <c r="C11" s="33"/>
      <c r="D11" s="37">
        <f>IF( ISERROR(IND_textiel_gas_kWh/1000),0,IND_textiel_gas_kWh/1000)*0.902</f>
        <v>100.67912008280112</v>
      </c>
      <c r="E11" s="33">
        <f>C33*'E Balans VL '!I21/100/3.6*1000000</f>
        <v>6.8715966063983766E-3</v>
      </c>
      <c r="F11" s="33">
        <f>C33*'E Balans VL '!L21/100/3.6*1000000+C33*'E Balans VL '!N21/100/3.6*1000000</f>
        <v>1.2768066121530608</v>
      </c>
      <c r="G11" s="34"/>
      <c r="H11" s="33"/>
      <c r="I11" s="33"/>
      <c r="J11" s="40">
        <f>C33*'E Balans VL '!D21/100/3.6*1000000+C33*'E Balans VL '!E21/100/3.6*1000000</f>
        <v>0</v>
      </c>
      <c r="K11" s="33"/>
      <c r="L11" s="33"/>
      <c r="M11" s="33"/>
      <c r="N11" s="33">
        <f>C33*'E Balans VL '!Y21/100/3.6*1000000</f>
        <v>0.16119016971306382</v>
      </c>
      <c r="O11" s="33"/>
      <c r="P11" s="33"/>
      <c r="R11" s="32"/>
    </row>
    <row r="12" spans="1:18">
      <c r="A12" s="6" t="s">
        <v>36</v>
      </c>
      <c r="B12" s="37">
        <f t="shared" si="0"/>
        <v>511.63617424179603</v>
      </c>
      <c r="C12" s="33"/>
      <c r="D12" s="37">
        <f>IF( ISERROR(IND_min_gas_kWh/1000),0,IND_min_gas_kWh/1000)*0.902</f>
        <v>0</v>
      </c>
      <c r="E12" s="33">
        <f>C34*'E Balans VL '!I22/100/3.6*1000000</f>
        <v>3.9855343165664641</v>
      </c>
      <c r="F12" s="33">
        <f>C34*'E Balans VL '!L22/100/3.6*1000000+C34*'E Balans VL '!N22/100/3.6*1000000</f>
        <v>192.95772392081955</v>
      </c>
      <c r="G12" s="34"/>
      <c r="H12" s="33"/>
      <c r="I12" s="33"/>
      <c r="J12" s="40">
        <f>C34*'E Balans VL '!D22/100/3.6*1000000+C34*'E Balans VL '!E22/100/3.6*1000000</f>
        <v>2.8139542244813822</v>
      </c>
      <c r="K12" s="33"/>
      <c r="L12" s="33"/>
      <c r="M12" s="33"/>
      <c r="N12" s="33">
        <f>C34*'E Balans VL '!Y22/100/3.6*1000000</f>
        <v>0</v>
      </c>
      <c r="O12" s="33"/>
      <c r="P12" s="33"/>
      <c r="R12" s="32"/>
    </row>
    <row r="13" spans="1:18">
      <c r="A13" s="6" t="s">
        <v>38</v>
      </c>
      <c r="B13" s="37">
        <f t="shared" si="0"/>
        <v>31125.703280311598</v>
      </c>
      <c r="C13" s="33"/>
      <c r="D13" s="37">
        <f>IF( ISERROR(IND_papier_gas_kWh/1000),0,IND_papier_gas_kWh/1000)*0.902</f>
        <v>29209.989875820254</v>
      </c>
      <c r="E13" s="33">
        <f>C35*'E Balans VL '!I23/100/3.6*1000000</f>
        <v>326.0984459724566</v>
      </c>
      <c r="F13" s="33">
        <f>C35*'E Balans VL '!L23/100/3.6*1000000+C35*'E Balans VL '!N23/100/3.6*1000000</f>
        <v>2322.6054956842822</v>
      </c>
      <c r="G13" s="34"/>
      <c r="H13" s="33"/>
      <c r="I13" s="33"/>
      <c r="J13" s="40">
        <f>C35*'E Balans VL '!D23/100/3.6*1000000+C35*'E Balans VL '!E23/100/3.6*1000000</f>
        <v>0</v>
      </c>
      <c r="K13" s="33"/>
      <c r="L13" s="33"/>
      <c r="M13" s="33"/>
      <c r="N13" s="33">
        <f>C35*'E Balans VL '!Y23/100/3.6*1000000</f>
        <v>5742.0192402754647</v>
      </c>
      <c r="O13" s="33"/>
      <c r="P13" s="33"/>
      <c r="R13" s="32"/>
    </row>
    <row r="14" spans="1:18">
      <c r="A14" s="6" t="s">
        <v>33</v>
      </c>
      <c r="B14" s="37">
        <f t="shared" si="0"/>
        <v>15970.269454785901</v>
      </c>
      <c r="C14" s="33"/>
      <c r="D14" s="37">
        <f>IF( ISERROR(IND_chemie_gas_kWh/1000),0,IND_chemie_gas_kWh/1000)*0.902</f>
        <v>15095.68745328862</v>
      </c>
      <c r="E14" s="33">
        <f>C36*'E Balans VL '!I24/100/3.6*1000000</f>
        <v>75.495214014797526</v>
      </c>
      <c r="F14" s="33">
        <f>C36*'E Balans VL '!L24/100/3.6*1000000+C36*'E Balans VL '!N24/100/3.6*1000000</f>
        <v>301.82952047678293</v>
      </c>
      <c r="G14" s="34"/>
      <c r="H14" s="33"/>
      <c r="I14" s="33"/>
      <c r="J14" s="40">
        <f>C36*'E Balans VL '!D24/100/3.6*1000000+C36*'E Balans VL '!E24/100/3.6*1000000</f>
        <v>0</v>
      </c>
      <c r="K14" s="33"/>
      <c r="L14" s="33"/>
      <c r="M14" s="33"/>
      <c r="N14" s="33">
        <f>C36*'E Balans VL '!Y24/100/3.6*1000000</f>
        <v>387.70411444306836</v>
      </c>
      <c r="O14" s="33"/>
      <c r="P14" s="33"/>
      <c r="R14" s="32"/>
    </row>
    <row r="15" spans="1:18">
      <c r="A15" s="6" t="s">
        <v>269</v>
      </c>
      <c r="B15" s="37">
        <f t="shared" si="0"/>
        <v>108244.71649329401</v>
      </c>
      <c r="C15" s="33"/>
      <c r="D15" s="37">
        <f>IF( ISERROR(IND_rest_gas_kWh/1000),0,IND_rest_gas_kWh/1000)*0.902</f>
        <v>86427.7101658108</v>
      </c>
      <c r="E15" s="33">
        <f>C37*'E Balans VL '!I15/100/3.6*1000000</f>
        <v>6038.7741143116564</v>
      </c>
      <c r="F15" s="33">
        <f>C37*'E Balans VL '!L15/100/3.6*1000000+C37*'E Balans VL '!N15/100/3.6*1000000</f>
        <v>25446.127145129773</v>
      </c>
      <c r="G15" s="34"/>
      <c r="H15" s="33"/>
      <c r="I15" s="33"/>
      <c r="J15" s="40">
        <f>C37*'E Balans VL '!D15/100/3.6*1000000+C37*'E Balans VL '!E15/100/3.6*1000000</f>
        <v>277.43801547428109</v>
      </c>
      <c r="K15" s="33"/>
      <c r="L15" s="33"/>
      <c r="M15" s="33"/>
      <c r="N15" s="33">
        <f>C37*'E Balans VL '!Y15/100/3.6*1000000</f>
        <v>5023.6156449646123</v>
      </c>
      <c r="O15" s="33"/>
      <c r="P15" s="33"/>
      <c r="R15" s="32"/>
    </row>
    <row r="16" spans="1:18">
      <c r="A16" s="16" t="s">
        <v>496</v>
      </c>
      <c r="B16" s="249">
        <f>'lokale energieproductie'!N39+'lokale energieproductie'!N32</f>
        <v>8568.75</v>
      </c>
      <c r="C16" s="249">
        <f>'lokale energieproductie'!O39+'lokale energieproductie'!O32</f>
        <v>12241.071428571428</v>
      </c>
      <c r="D16" s="310">
        <f>('lokale energieproductie'!P32+'lokale energieproductie'!P39)*(-1)</f>
        <v>-24482.142857142862</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192080.1738306513</v>
      </c>
      <c r="C18" s="21">
        <f>C5+C16</f>
        <v>12241.071428571428</v>
      </c>
      <c r="D18" s="21">
        <f>MAX((D5+D16),0)</f>
        <v>144144.51144320052</v>
      </c>
      <c r="E18" s="21">
        <f>MAX((E5+E16),0)</f>
        <v>10447.033733386688</v>
      </c>
      <c r="F18" s="21">
        <f>MAX((F5+F16),0)</f>
        <v>60955.553316212099</v>
      </c>
      <c r="G18" s="21"/>
      <c r="H18" s="21"/>
      <c r="I18" s="21"/>
      <c r="J18" s="21">
        <f>MAX((J5+J16),0)</f>
        <v>280.48500112584759</v>
      </c>
      <c r="K18" s="21"/>
      <c r="L18" s="21">
        <f>MAX((L5+L16),0)</f>
        <v>0</v>
      </c>
      <c r="M18" s="21"/>
      <c r="N18" s="21">
        <f>MAX((N5+N16),0)</f>
        <v>17140.515247829546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0.21214649145741221</v>
      </c>
      <c r="C20" s="25">
        <f ca="1">'EF ele_warmte'!B22</f>
        <v>0.23654780166615538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40749.134956702517</v>
      </c>
      <c r="C22" s="23">
        <f ca="1">C18*C20</f>
        <v>2895.5985364669555</v>
      </c>
      <c r="D22" s="23">
        <f>D18*D20</f>
        <v>29117.191311526509</v>
      </c>
      <c r="E22" s="23">
        <f>E18*E20</f>
        <v>2371.4766574787782</v>
      </c>
      <c r="F22" s="23">
        <f>F18*F20</f>
        <v>16275.132735428631</v>
      </c>
      <c r="G22" s="23"/>
      <c r="H22" s="23"/>
      <c r="I22" s="23"/>
      <c r="J22" s="23">
        <f>J18*J20</f>
        <v>99.291690398550045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592.11229132476899</v>
      </c>
      <c r="C30" s="39">
        <f>IF(ISERROR(B30*3.6/1000000/'E Balans VL '!Z18*100),0,B30*3.6/1000000/'E Balans VL '!Z18*100)</f>
        <v>5.8262337964690318E-2</v>
      </c>
      <c r="D30" s="239" t="s">
        <v>689</v>
      </c>
    </row>
    <row r="31" spans="1:18">
      <c r="A31" s="6" t="s">
        <v>32</v>
      </c>
      <c r="B31" s="37">
        <f>IF( ISERROR(IND_ander_ele_kWh/1000),0,IND_ander_ele_kWh/1000)</f>
        <v>9416.8390210304296</v>
      </c>
      <c r="C31" s="39">
        <f>IF(ISERROR(B31*3.6/1000000/'E Balans VL '!Z19*100),0,B31*3.6/1000000/'E Balans VL '!Z19*100)</f>
        <v>0.41009582762738361</v>
      </c>
      <c r="D31" s="239" t="s">
        <v>689</v>
      </c>
    </row>
    <row r="32" spans="1:18">
      <c r="A32" s="173" t="s">
        <v>40</v>
      </c>
      <c r="B32" s="37">
        <f>IF( ISERROR(IND_voed_ele_kWh/1000),0,IND_voed_ele_kWh/1000)</f>
        <v>17615.480681045199</v>
      </c>
      <c r="C32" s="39">
        <f>IF(ISERROR(B32*3.6/1000000/'E Balans VL '!Z20*100),0,B32*3.6/1000000/'E Balans VL '!Z20*100)</f>
        <v>3.3422834163603441</v>
      </c>
      <c r="D32" s="239" t="s">
        <v>689</v>
      </c>
    </row>
    <row r="33" spans="1:5">
      <c r="A33" s="173" t="s">
        <v>39</v>
      </c>
      <c r="B33" s="37">
        <f>IF( ISERROR(IND_textiel_ele_kWh/1000),0,IND_textiel_ele_kWh/1000)</f>
        <v>34.666434617599101</v>
      </c>
      <c r="C33" s="39">
        <f>IF(ISERROR(B33*3.6/1000000/'E Balans VL '!Z21*100),0,B33*3.6/1000000/'E Balans VL '!Z21*100)</f>
        <v>1.9792776143223605E-3</v>
      </c>
      <c r="D33" s="239" t="s">
        <v>689</v>
      </c>
    </row>
    <row r="34" spans="1:5">
      <c r="A34" s="173" t="s">
        <v>36</v>
      </c>
      <c r="B34" s="37">
        <f>IF( ISERROR(IND_min_ele_kWh/1000),0,IND_min_ele_kWh/1000)</f>
        <v>511.63617424179603</v>
      </c>
      <c r="C34" s="39">
        <f>IF(ISERROR(B34*3.6/1000000/'E Balans VL '!Z22*100),0,B34*3.6/1000000/'E Balans VL '!Z22*100)</f>
        <v>7.1941183788718346E-2</v>
      </c>
      <c r="D34" s="239" t="s">
        <v>689</v>
      </c>
    </row>
    <row r="35" spans="1:5">
      <c r="A35" s="173" t="s">
        <v>38</v>
      </c>
      <c r="B35" s="37">
        <f>IF( ISERROR(IND_papier_ele_kWh/1000),0,IND_papier_ele_kWh/1000)</f>
        <v>31125.703280311598</v>
      </c>
      <c r="C35" s="39">
        <f>IF(ISERROR(B35*3.6/1000000/'E Balans VL '!Z22*100),0,B35*3.6/1000000/'E Balans VL '!Z22*100)</f>
        <v>4.3765864357819408</v>
      </c>
      <c r="D35" s="239" t="s">
        <v>689</v>
      </c>
    </row>
    <row r="36" spans="1:5">
      <c r="A36" s="173" t="s">
        <v>33</v>
      </c>
      <c r="B36" s="37">
        <f>IF( ISERROR(IND_chemie_ele_kWh/1000),0,IND_chemie_ele_kWh/1000)</f>
        <v>15970.269454785901</v>
      </c>
      <c r="C36" s="39">
        <f>IF(ISERROR(B36*3.6/1000000/'E Balans VL '!Z24*100),0,B36*3.6/1000000/'E Balans VL '!Z24*100)</f>
        <v>0.46542084313934662</v>
      </c>
      <c r="D36" s="239" t="s">
        <v>689</v>
      </c>
    </row>
    <row r="37" spans="1:5">
      <c r="A37" s="173" t="s">
        <v>269</v>
      </c>
      <c r="B37" s="37">
        <f>IF( ISERROR(IND_rest_ele_kWh/1000),0,IND_rest_ele_kWh/1000)</f>
        <v>108244.71649329401</v>
      </c>
      <c r="C37" s="39">
        <f>IF(ISERROR(B37*3.6/1000000/'E Balans VL '!Z15*100),0,B37*3.6/1000000/'E Balans VL '!Z15*100)</f>
        <v>0.83415849249786955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1580.3563800353609</v>
      </c>
      <c r="C5" s="17">
        <f>'Eigen informatie GS &amp; warmtenet'!B60</f>
        <v>0</v>
      </c>
      <c r="D5" s="30">
        <f>IF(ISERROR(SUM(LB_lb_gas_kWh,LB_rest_gas_kWh)/1000),0,SUM(LB_lb_gas_kWh,LB_rest_gas_kWh)/1000)*0.902</f>
        <v>3439.9555790549375</v>
      </c>
      <c r="E5" s="17">
        <f>B17*'E Balans VL '!I25/3.6*1000000/100</f>
        <v>19.914526301406028</v>
      </c>
      <c r="F5" s="17">
        <f>B17*('E Balans VL '!L25/3.6*1000000+'E Balans VL '!N25/3.6*1000000)/100</f>
        <v>5452.6254140513638</v>
      </c>
      <c r="G5" s="18"/>
      <c r="H5" s="17"/>
      <c r="I5" s="17"/>
      <c r="J5" s="17">
        <f>('E Balans VL '!D25+'E Balans VL '!E25)/3.6*1000000*landbouw!B17/100</f>
        <v>237.66763470002883</v>
      </c>
      <c r="K5" s="17"/>
      <c r="L5" s="17">
        <f>L6*(-1)</f>
        <v>0</v>
      </c>
      <c r="M5" s="17"/>
      <c r="N5" s="17">
        <f>N6*(-1)</f>
        <v>0</v>
      </c>
      <c r="O5" s="17"/>
      <c r="P5" s="17"/>
      <c r="R5" s="32"/>
    </row>
    <row r="6" spans="1:18">
      <c r="A6" s="16" t="s">
        <v>496</v>
      </c>
      <c r="B6" s="17" t="s">
        <v>210</v>
      </c>
      <c r="C6" s="17">
        <f>'lokale energieproductie'!O41+'lokale energieproductie'!O34</f>
        <v>0</v>
      </c>
      <c r="D6" s="310">
        <f>('lokale energieproductie'!P34+'lokale energieproductie'!P41)*(-1)</f>
        <v>0</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1580.3563800353609</v>
      </c>
      <c r="C8" s="21">
        <f>C5+C6</f>
        <v>0</v>
      </c>
      <c r="D8" s="21">
        <f>MAX((D5+D6),0)</f>
        <v>3439.9555790549375</v>
      </c>
      <c r="E8" s="21">
        <f>MAX((E5+E6),0)</f>
        <v>19.914526301406028</v>
      </c>
      <c r="F8" s="21">
        <f>MAX((F5+F6),0)</f>
        <v>5452.6254140513638</v>
      </c>
      <c r="G8" s="21"/>
      <c r="H8" s="21"/>
      <c r="I8" s="21"/>
      <c r="J8" s="21">
        <f>MAX((J5+J6),0)</f>
        <v>237.66763470002883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0.21214649145741221</v>
      </c>
      <c r="C10" s="31">
        <f ca="1">'EF ele_warmte'!B22</f>
        <v>0.23654780166615538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335.26706127683855</v>
      </c>
      <c r="C12" s="23">
        <f ca="1">C8*C10</f>
        <v>0</v>
      </c>
      <c r="D12" s="23">
        <f>D8*D10</f>
        <v>694.87102696909744</v>
      </c>
      <c r="E12" s="23">
        <f>E8*E10</f>
        <v>4.520597470419168</v>
      </c>
      <c r="F12" s="23">
        <f>F8*F10</f>
        <v>1455.8509855517143</v>
      </c>
      <c r="G12" s="23"/>
      <c r="H12" s="23"/>
      <c r="I12" s="23"/>
      <c r="J12" s="23">
        <f>J8*J10</f>
        <v>84.134342683810203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0.22040990507311695</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249.3604551554136</v>
      </c>
      <c r="C26" s="249">
        <f>B26*'GWP N2O_CH4'!B5</f>
        <v>5236.5695582636854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93.876049901595579</v>
      </c>
      <c r="C27" s="249">
        <f>B27*'GWP N2O_CH4'!B5</f>
        <v>1971.3970479335071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6.1285276306912966</v>
      </c>
      <c r="C28" s="249">
        <f>B28*'GWP N2O_CH4'!B4</f>
        <v>1899.8435655143019</v>
      </c>
      <c r="D28" s="50"/>
    </row>
    <row r="29" spans="1:4">
      <c r="A29" s="41" t="s">
        <v>276</v>
      </c>
      <c r="B29" s="249">
        <f>B34*'ha_N2O bodem landbouw'!B4</f>
        <v>13.336881484564135</v>
      </c>
      <c r="C29" s="249">
        <f>B29*'GWP N2O_CH4'!B4</f>
        <v>4134.4332602148816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3.3300860408563928E-3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3.7694867697275246E-5</v>
      </c>
      <c r="C5" s="444" t="s">
        <v>210</v>
      </c>
      <c r="D5" s="429">
        <f>SUM(D6:D11)</f>
        <v>6.0565272617938329E-5</v>
      </c>
      <c r="E5" s="429">
        <f>SUM(E6:E11)</f>
        <v>2.2712981224029434E-3</v>
      </c>
      <c r="F5" s="442" t="s">
        <v>210</v>
      </c>
      <c r="G5" s="429">
        <f>SUM(G6:G11)</f>
        <v>0.72751927170374853</v>
      </c>
      <c r="H5" s="429">
        <f>SUM(H6:H11)</f>
        <v>0.11193283845339563</v>
      </c>
      <c r="I5" s="444" t="s">
        <v>210</v>
      </c>
      <c r="J5" s="444" t="s">
        <v>210</v>
      </c>
      <c r="K5" s="444" t="s">
        <v>210</v>
      </c>
      <c r="L5" s="444" t="s">
        <v>210</v>
      </c>
      <c r="M5" s="429">
        <f>SUM(M6:M11)</f>
        <v>3.7950611825734566E-2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2.3655888899763898E-5</v>
      </c>
      <c r="C6" s="883"/>
      <c r="D6" s="883">
        <f>vkm_GW_PW*SUMIFS(TableVerdeelsleutelVkm[CNG],TableVerdeelsleutelVkm[Voertuigtype],"Lichte voertuigen")*SUMIFS(TableECFTransport[EnergieConsumptieFactor (PJ per km)],TableECFTransport[Index],CONCATENATE($A6,"_CNG_CNG"))</f>
        <v>3.5057322744040227E-5</v>
      </c>
      <c r="E6" s="883">
        <f>vkm_GW_PW*SUMIFS(TableVerdeelsleutelVkm[LPG],TableVerdeelsleutelVkm[Voertuigtype],"Lichte voertuigen")*SUMIFS(TableECFTransport[EnergieConsumptieFactor (PJ per km)],TableECFTransport[Index],CONCATENATE($A6,"_LPG_LPG"))</f>
        <v>1.2556251999038949E-3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0.2526983487502813</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6.4555405120858167E-2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1.4352384511077416E-2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0.13545337953545925</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3.1471705852933674E-6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6.1159315112439012E-3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4.5772313315273502E-6</v>
      </c>
      <c r="C8" s="883"/>
      <c r="D8" s="432">
        <f>vkm_NGW_PW*SUMIFS(TableVerdeelsleutelVkm[CNG],TableVerdeelsleutelVkm[Voertuigtype],"Lichte voertuigen")*SUMIFS(TableECFTransport[EnergieConsumptieFactor (PJ per km)],TableECFTransport[Index],CONCATENATE($A8,"_CNG_CNG"))</f>
        <v>1.1511465399603321E-5</v>
      </c>
      <c r="E8" s="432">
        <f>vkm_NGW_PW*SUMIFS(TableVerdeelsleutelVkm[LPG],TableVerdeelsleutelVkm[Voertuigtype],"Lichte voertuigen")*SUMIFS(TableECFTransport[EnergieConsumptieFactor (PJ per km)],TableECFTransport[Index],CONCATENATE($A8,"_LPG_LPG"))</f>
        <v>3.8985445921099944E-4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7.4530061723931076E-2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2.0368911009857098E-2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4.2936398563707583E-3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6.2899578467567521E-3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1.6939308495915899E-7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2.8400247450594376E-4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9.461747465984E-6</v>
      </c>
      <c r="C10" s="883"/>
      <c r="D10" s="432">
        <f>vkm_SW_PW*SUMIFS(TableVerdeelsleutelVkm[CNG],TableVerdeelsleutelVkm[Voertuigtype],"Lichte voertuigen")*SUMIFS(TableECFTransport[EnergieConsumptieFactor (PJ per km)],TableECFTransport[Index],CONCATENATE($A10,"_CNG_CNG"))</f>
        <v>1.3996484474294781E-5</v>
      </c>
      <c r="E10" s="432">
        <f>vkm_SW_PW*SUMIFS(TableVerdeelsleutelVkm[LPG],TableVerdeelsleutelVkm[Voertuigtype],"Lichte voertuigen")*SUMIFS(TableECFTransport[EnergieConsumptieFactor (PJ per km)],TableECFTransport[Index],CONCATENATE($A10,"_LPG_LPG"))</f>
        <v>6.2581846328804908E-4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0.11417573426637817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2.700162771844759E-2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6.3860316312834408E-3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0.14437178958094213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3.5780405625309557E-6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6.5186218412531033E-3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10.470796582576456</v>
      </c>
      <c r="C14" s="21"/>
      <c r="D14" s="21">
        <f t="shared" ref="D14:M14" si="0">((D5)*10^9/3600)+D12</f>
        <v>16.823686838316203</v>
      </c>
      <c r="E14" s="21">
        <f t="shared" si="0"/>
        <v>630.9161451119287</v>
      </c>
      <c r="F14" s="21"/>
      <c r="G14" s="21">
        <f t="shared" si="0"/>
        <v>202088.68658437461</v>
      </c>
      <c r="H14" s="21">
        <f t="shared" si="0"/>
        <v>31092.455125943234</v>
      </c>
      <c r="I14" s="21"/>
      <c r="J14" s="21"/>
      <c r="K14" s="21"/>
      <c r="L14" s="21"/>
      <c r="M14" s="21">
        <f t="shared" si="0"/>
        <v>10541.8366182596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0.21214649145741221</v>
      </c>
      <c r="C16" s="56">
        <f ca="1">'EF ele_warmte'!B22</f>
        <v>0.23654780166615538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2.2213427577578573</v>
      </c>
      <c r="C18" s="23"/>
      <c r="D18" s="23">
        <f t="shared" ref="D18:M18" si="1">D14*D16</f>
        <v>3.3983847413398731</v>
      </c>
      <c r="E18" s="23">
        <f t="shared" si="1"/>
        <v>143.21796494040782</v>
      </c>
      <c r="F18" s="23"/>
      <c r="G18" s="23">
        <f t="shared" si="1"/>
        <v>53957.679318028022</v>
      </c>
      <c r="H18" s="23">
        <f t="shared" si="1"/>
        <v>7742.0213263598653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1.8767189072880126E-2</v>
      </c>
      <c r="H50" s="321">
        <f t="shared" si="2"/>
        <v>0</v>
      </c>
      <c r="I50" s="321">
        <f t="shared" si="2"/>
        <v>0</v>
      </c>
      <c r="J50" s="321">
        <f t="shared" si="2"/>
        <v>0</v>
      </c>
      <c r="K50" s="321">
        <f t="shared" si="2"/>
        <v>0</v>
      </c>
      <c r="L50" s="321">
        <f t="shared" si="2"/>
        <v>0</v>
      </c>
      <c r="M50" s="321">
        <f t="shared" si="2"/>
        <v>8.3534311158273069E-4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1.8767189072880126E-2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8.3534311158273069E-4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5213.1080758000353</v>
      </c>
      <c r="H54" s="21">
        <f t="shared" si="3"/>
        <v>0</v>
      </c>
      <c r="I54" s="21">
        <f t="shared" si="3"/>
        <v>0</v>
      </c>
      <c r="J54" s="21">
        <f t="shared" si="3"/>
        <v>0</v>
      </c>
      <c r="K54" s="21">
        <f t="shared" si="3"/>
        <v>0</v>
      </c>
      <c r="L54" s="21">
        <f t="shared" si="3"/>
        <v>0</v>
      </c>
      <c r="M54" s="21">
        <f t="shared" si="3"/>
        <v>232.03975321742519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0.21214649145741221</v>
      </c>
      <c r="C56" s="56">
        <f ca="1">'EF ele_warmte'!B22</f>
        <v>0.23654780166615538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1391.8998562386096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95524.998058027631</v>
      </c>
      <c r="D10" s="686">
        <f ca="1">tertiair!C16</f>
        <v>1575.0000000000002</v>
      </c>
      <c r="E10" s="686">
        <f ca="1">tertiair!D16</f>
        <v>130735.11528034922</v>
      </c>
      <c r="F10" s="686">
        <f>tertiair!E16</f>
        <v>1167.6543381487036</v>
      </c>
      <c r="G10" s="686">
        <f ca="1">tertiair!F16</f>
        <v>17525.22187516608</v>
      </c>
      <c r="H10" s="686">
        <f>tertiair!G16</f>
        <v>0</v>
      </c>
      <c r="I10" s="686">
        <f>tertiair!H16</f>
        <v>0</v>
      </c>
      <c r="J10" s="686">
        <f>tertiair!I16</f>
        <v>0</v>
      </c>
      <c r="K10" s="686">
        <f>tertiair!J16</f>
        <v>0</v>
      </c>
      <c r="L10" s="686">
        <f>tertiair!K16</f>
        <v>0</v>
      </c>
      <c r="M10" s="686">
        <f ca="1">tertiair!L16</f>
        <v>0</v>
      </c>
      <c r="N10" s="686">
        <f>tertiair!M16</f>
        <v>0</v>
      </c>
      <c r="O10" s="686">
        <f ca="1">tertiair!N16</f>
        <v>986.13926253887439</v>
      </c>
      <c r="P10" s="686">
        <f>tertiair!O16</f>
        <v>6.2533333333333339</v>
      </c>
      <c r="Q10" s="687">
        <f>tertiair!P16</f>
        <v>95.333333333333343</v>
      </c>
      <c r="R10" s="689">
        <f ca="1">SUM(C10:Q10)</f>
        <v>247615.7154808972</v>
      </c>
      <c r="S10" s="67"/>
    </row>
    <row r="11" spans="1:19" s="454" customFormat="1">
      <c r="A11" s="801" t="s">
        <v>224</v>
      </c>
      <c r="B11" s="806"/>
      <c r="C11" s="686">
        <f>huishoudens!B8</f>
        <v>61196.852345028194</v>
      </c>
      <c r="D11" s="686">
        <f>huishoudens!C8</f>
        <v>0</v>
      </c>
      <c r="E11" s="686">
        <f>huishoudens!D8</f>
        <v>259222.3522848633</v>
      </c>
      <c r="F11" s="686">
        <f>huishoudens!E8</f>
        <v>4714.5410714161872</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32787.827409562407</v>
      </c>
      <c r="P11" s="686">
        <f>huishoudens!O8</f>
        <v>262.64000000000004</v>
      </c>
      <c r="Q11" s="687">
        <f>huishoudens!P8</f>
        <v>514.79999999999995</v>
      </c>
      <c r="R11" s="689">
        <f>SUM(C11:Q11)</f>
        <v>358699.01311087009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192080.1738306513</v>
      </c>
      <c r="D13" s="686">
        <f>industrie!C18</f>
        <v>12241.071428571428</v>
      </c>
      <c r="E13" s="686">
        <f>industrie!D18</f>
        <v>144144.51144320052</v>
      </c>
      <c r="F13" s="686">
        <f>industrie!E18</f>
        <v>10447.033733386688</v>
      </c>
      <c r="G13" s="686">
        <f>industrie!F18</f>
        <v>60955.553316212099</v>
      </c>
      <c r="H13" s="686">
        <f>industrie!G18</f>
        <v>0</v>
      </c>
      <c r="I13" s="686">
        <f>industrie!H18</f>
        <v>0</v>
      </c>
      <c r="J13" s="686">
        <f>industrie!I18</f>
        <v>0</v>
      </c>
      <c r="K13" s="686">
        <f>industrie!J18</f>
        <v>280.48500112584759</v>
      </c>
      <c r="L13" s="686">
        <f>industrie!K18</f>
        <v>0</v>
      </c>
      <c r="M13" s="686">
        <f>industrie!L18</f>
        <v>0</v>
      </c>
      <c r="N13" s="686">
        <f>industrie!M18</f>
        <v>0</v>
      </c>
      <c r="O13" s="686">
        <f>industrie!N18</f>
        <v>17140.515247829546</v>
      </c>
      <c r="P13" s="686">
        <f>industrie!O18</f>
        <v>0</v>
      </c>
      <c r="Q13" s="687">
        <f>industrie!P18</f>
        <v>0</v>
      </c>
      <c r="R13" s="689">
        <f>SUM(C13:Q13)</f>
        <v>437289.34400097735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348802.02423370711</v>
      </c>
      <c r="D16" s="721">
        <f t="shared" ref="D16:R16" ca="1" si="0">SUM(D9:D15)</f>
        <v>13816.071428571428</v>
      </c>
      <c r="E16" s="721">
        <f t="shared" ca="1" si="0"/>
        <v>534101.97900841304</v>
      </c>
      <c r="F16" s="721">
        <f t="shared" si="0"/>
        <v>16329.229142951579</v>
      </c>
      <c r="G16" s="721">
        <f t="shared" ca="1" si="0"/>
        <v>78480.775191378183</v>
      </c>
      <c r="H16" s="721">
        <f t="shared" si="0"/>
        <v>0</v>
      </c>
      <c r="I16" s="721">
        <f t="shared" si="0"/>
        <v>0</v>
      </c>
      <c r="J16" s="721">
        <f t="shared" si="0"/>
        <v>0</v>
      </c>
      <c r="K16" s="721">
        <f t="shared" si="0"/>
        <v>280.48500112584759</v>
      </c>
      <c r="L16" s="721">
        <f t="shared" si="0"/>
        <v>0</v>
      </c>
      <c r="M16" s="721">
        <f t="shared" ca="1" si="0"/>
        <v>0</v>
      </c>
      <c r="N16" s="721">
        <f t="shared" si="0"/>
        <v>0</v>
      </c>
      <c r="O16" s="721">
        <f t="shared" ca="1" si="0"/>
        <v>50914.481919930826</v>
      </c>
      <c r="P16" s="721">
        <f t="shared" si="0"/>
        <v>268.89333333333337</v>
      </c>
      <c r="Q16" s="721">
        <f t="shared" si="0"/>
        <v>610.13333333333333</v>
      </c>
      <c r="R16" s="721">
        <f t="shared" ca="1" si="0"/>
        <v>1043604.0725927446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5213.1080758000353</v>
      </c>
      <c r="I19" s="686">
        <f>transport!H54</f>
        <v>0</v>
      </c>
      <c r="J19" s="686">
        <f>transport!I54</f>
        <v>0</v>
      </c>
      <c r="K19" s="686">
        <f>transport!J54</f>
        <v>0</v>
      </c>
      <c r="L19" s="686">
        <f>transport!K54</f>
        <v>0</v>
      </c>
      <c r="M19" s="686">
        <f>transport!L54</f>
        <v>0</v>
      </c>
      <c r="N19" s="686">
        <f>transport!M54</f>
        <v>232.03975321742519</v>
      </c>
      <c r="O19" s="686">
        <f>transport!N54</f>
        <v>0</v>
      </c>
      <c r="P19" s="686">
        <f>transport!O54</f>
        <v>0</v>
      </c>
      <c r="Q19" s="687">
        <f>transport!P54</f>
        <v>0</v>
      </c>
      <c r="R19" s="689">
        <f>SUM(C19:Q19)</f>
        <v>5445.14782901746</v>
      </c>
      <c r="S19" s="67"/>
    </row>
    <row r="20" spans="1:19" s="454" customFormat="1">
      <c r="A20" s="801" t="s">
        <v>306</v>
      </c>
      <c r="B20" s="806"/>
      <c r="C20" s="686">
        <f>transport!B14</f>
        <v>10.470796582576456</v>
      </c>
      <c r="D20" s="686">
        <f>transport!C14</f>
        <v>0</v>
      </c>
      <c r="E20" s="686">
        <f>transport!D14</f>
        <v>16.823686838316203</v>
      </c>
      <c r="F20" s="686">
        <f>transport!E14</f>
        <v>630.9161451119287</v>
      </c>
      <c r="G20" s="686">
        <f>transport!F14</f>
        <v>0</v>
      </c>
      <c r="H20" s="686">
        <f>transport!G14</f>
        <v>202088.68658437461</v>
      </c>
      <c r="I20" s="686">
        <f>transport!H14</f>
        <v>31092.455125943234</v>
      </c>
      <c r="J20" s="686">
        <f>transport!I14</f>
        <v>0</v>
      </c>
      <c r="K20" s="686">
        <f>transport!J14</f>
        <v>0</v>
      </c>
      <c r="L20" s="686">
        <f>transport!K14</f>
        <v>0</v>
      </c>
      <c r="M20" s="686">
        <f>transport!L14</f>
        <v>0</v>
      </c>
      <c r="N20" s="686">
        <f>transport!M14</f>
        <v>10541.8366182596</v>
      </c>
      <c r="O20" s="686">
        <f>transport!N14</f>
        <v>0</v>
      </c>
      <c r="P20" s="686">
        <f>transport!O14</f>
        <v>0</v>
      </c>
      <c r="Q20" s="687">
        <f>transport!P14</f>
        <v>0</v>
      </c>
      <c r="R20" s="689">
        <f>SUM(C20:Q20)</f>
        <v>244381.18895711028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10.470796582576456</v>
      </c>
      <c r="D22" s="804">
        <f t="shared" ref="D22:R22" si="1">SUM(D18:D21)</f>
        <v>0</v>
      </c>
      <c r="E22" s="804">
        <f t="shared" si="1"/>
        <v>16.823686838316203</v>
      </c>
      <c r="F22" s="804">
        <f t="shared" si="1"/>
        <v>630.9161451119287</v>
      </c>
      <c r="G22" s="804">
        <f t="shared" si="1"/>
        <v>0</v>
      </c>
      <c r="H22" s="804">
        <f t="shared" si="1"/>
        <v>207301.79466017464</v>
      </c>
      <c r="I22" s="804">
        <f t="shared" si="1"/>
        <v>31092.455125943234</v>
      </c>
      <c r="J22" s="804">
        <f t="shared" si="1"/>
        <v>0</v>
      </c>
      <c r="K22" s="804">
        <f t="shared" si="1"/>
        <v>0</v>
      </c>
      <c r="L22" s="804">
        <f t="shared" si="1"/>
        <v>0</v>
      </c>
      <c r="M22" s="804">
        <f t="shared" si="1"/>
        <v>0</v>
      </c>
      <c r="N22" s="804">
        <f t="shared" si="1"/>
        <v>10773.876371477025</v>
      </c>
      <c r="O22" s="804">
        <f t="shared" si="1"/>
        <v>0</v>
      </c>
      <c r="P22" s="804">
        <f t="shared" si="1"/>
        <v>0</v>
      </c>
      <c r="Q22" s="804">
        <f t="shared" si="1"/>
        <v>0</v>
      </c>
      <c r="R22" s="804">
        <f t="shared" si="1"/>
        <v>249826.33678612774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1580.3563800353609</v>
      </c>
      <c r="D24" s="686">
        <f>+landbouw!C8</f>
        <v>0</v>
      </c>
      <c r="E24" s="686">
        <f>+landbouw!D8</f>
        <v>3439.9555790549375</v>
      </c>
      <c r="F24" s="686">
        <f>+landbouw!E8</f>
        <v>19.914526301406028</v>
      </c>
      <c r="G24" s="686">
        <f>+landbouw!F8</f>
        <v>5452.6254140513638</v>
      </c>
      <c r="H24" s="686">
        <f>+landbouw!G8</f>
        <v>0</v>
      </c>
      <c r="I24" s="686">
        <f>+landbouw!H8</f>
        <v>0</v>
      </c>
      <c r="J24" s="686">
        <f>+landbouw!I8</f>
        <v>0</v>
      </c>
      <c r="K24" s="686">
        <f>+landbouw!J8</f>
        <v>237.66763470002883</v>
      </c>
      <c r="L24" s="686">
        <f>+landbouw!K8</f>
        <v>0</v>
      </c>
      <c r="M24" s="686">
        <f>+landbouw!L8</f>
        <v>0</v>
      </c>
      <c r="N24" s="686">
        <f>+landbouw!M8</f>
        <v>0</v>
      </c>
      <c r="O24" s="686">
        <f>+landbouw!N8</f>
        <v>0</v>
      </c>
      <c r="P24" s="686">
        <f>+landbouw!O8</f>
        <v>0</v>
      </c>
      <c r="Q24" s="687">
        <f>+landbouw!P8</f>
        <v>0</v>
      </c>
      <c r="R24" s="689">
        <f>SUM(C24:Q24)</f>
        <v>10730.519534143097</v>
      </c>
      <c r="S24" s="67"/>
    </row>
    <row r="25" spans="1:19" s="454" customFormat="1" ht="15" thickBot="1">
      <c r="A25" s="823" t="s">
        <v>856</v>
      </c>
      <c r="B25" s="991"/>
      <c r="C25" s="992">
        <f>IF(Onbekend_ele_kWh="---",0,Onbekend_ele_kWh)/1000+IF(REST_rest_ele_kWh="---",0,REST_rest_ele_kWh)/1000</f>
        <v>2897.6765058812002</v>
      </c>
      <c r="D25" s="992"/>
      <c r="E25" s="992">
        <f>IF(onbekend_gas_kWh="---",0,onbekend_gas_kWh)/1000+IF(REST_rest_gas_kWh="---",0,REST_rest_gas_kWh)/1000</f>
        <v>18344.9082787066</v>
      </c>
      <c r="F25" s="992"/>
      <c r="G25" s="992"/>
      <c r="H25" s="992"/>
      <c r="I25" s="992"/>
      <c r="J25" s="992"/>
      <c r="K25" s="992"/>
      <c r="L25" s="992"/>
      <c r="M25" s="992"/>
      <c r="N25" s="992"/>
      <c r="O25" s="992"/>
      <c r="P25" s="992"/>
      <c r="Q25" s="993"/>
      <c r="R25" s="689">
        <f>SUM(C25:Q25)</f>
        <v>21242.584784587802</v>
      </c>
      <c r="S25" s="67"/>
    </row>
    <row r="26" spans="1:19" s="454" customFormat="1" ht="15.75" thickBot="1">
      <c r="A26" s="694" t="s">
        <v>857</v>
      </c>
      <c r="B26" s="809"/>
      <c r="C26" s="804">
        <f>SUM(C24:C25)</f>
        <v>4478.0328859165611</v>
      </c>
      <c r="D26" s="804">
        <f t="shared" ref="D26:R26" si="2">SUM(D24:D25)</f>
        <v>0</v>
      </c>
      <c r="E26" s="804">
        <f t="shared" si="2"/>
        <v>21784.863857761538</v>
      </c>
      <c r="F26" s="804">
        <f t="shared" si="2"/>
        <v>19.914526301406028</v>
      </c>
      <c r="G26" s="804">
        <f t="shared" si="2"/>
        <v>5452.6254140513638</v>
      </c>
      <c r="H26" s="804">
        <f t="shared" si="2"/>
        <v>0</v>
      </c>
      <c r="I26" s="804">
        <f t="shared" si="2"/>
        <v>0</v>
      </c>
      <c r="J26" s="804">
        <f t="shared" si="2"/>
        <v>0</v>
      </c>
      <c r="K26" s="804">
        <f t="shared" si="2"/>
        <v>237.66763470002883</v>
      </c>
      <c r="L26" s="804">
        <f t="shared" si="2"/>
        <v>0</v>
      </c>
      <c r="M26" s="804">
        <f t="shared" si="2"/>
        <v>0</v>
      </c>
      <c r="N26" s="804">
        <f t="shared" si="2"/>
        <v>0</v>
      </c>
      <c r="O26" s="804">
        <f t="shared" si="2"/>
        <v>0</v>
      </c>
      <c r="P26" s="804">
        <f t="shared" si="2"/>
        <v>0</v>
      </c>
      <c r="Q26" s="804">
        <f t="shared" si="2"/>
        <v>0</v>
      </c>
      <c r="R26" s="804">
        <f t="shared" si="2"/>
        <v>31973.104318730897</v>
      </c>
      <c r="S26" s="67"/>
    </row>
    <row r="27" spans="1:19" s="454" customFormat="1" ht="17.25" thickTop="1" thickBot="1">
      <c r="A27" s="695" t="s">
        <v>115</v>
      </c>
      <c r="B27" s="796"/>
      <c r="C27" s="696">
        <f ca="1">C22+C16+C26</f>
        <v>353290.52791620628</v>
      </c>
      <c r="D27" s="696">
        <f t="shared" ref="D27:R27" ca="1" si="3">D22+D16+D26</f>
        <v>13816.071428571428</v>
      </c>
      <c r="E27" s="696">
        <f t="shared" ca="1" si="3"/>
        <v>555903.66655301279</v>
      </c>
      <c r="F27" s="696">
        <f t="shared" si="3"/>
        <v>16980.059814364915</v>
      </c>
      <c r="G27" s="696">
        <f t="shared" ca="1" si="3"/>
        <v>83933.400605429546</v>
      </c>
      <c r="H27" s="696">
        <f t="shared" si="3"/>
        <v>207301.79466017464</v>
      </c>
      <c r="I27" s="696">
        <f t="shared" si="3"/>
        <v>31092.455125943234</v>
      </c>
      <c r="J27" s="696">
        <f t="shared" si="3"/>
        <v>0</v>
      </c>
      <c r="K27" s="696">
        <f t="shared" si="3"/>
        <v>518.15263582587636</v>
      </c>
      <c r="L27" s="696">
        <f t="shared" si="3"/>
        <v>0</v>
      </c>
      <c r="M27" s="696">
        <f t="shared" ca="1" si="3"/>
        <v>0</v>
      </c>
      <c r="N27" s="696">
        <f t="shared" si="3"/>
        <v>10773.876371477025</v>
      </c>
      <c r="O27" s="696">
        <f t="shared" ca="1" si="3"/>
        <v>50914.481919930826</v>
      </c>
      <c r="P27" s="696">
        <f t="shared" si="3"/>
        <v>268.89333333333337</v>
      </c>
      <c r="Q27" s="696">
        <f t="shared" si="3"/>
        <v>610.13333333333333</v>
      </c>
      <c r="R27" s="696">
        <f t="shared" ca="1" si="3"/>
        <v>1325403.5136976033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20265.29318448668</v>
      </c>
      <c r="D40" s="686">
        <f ca="1">tertiair!C20</f>
        <v>372.56278762419475</v>
      </c>
      <c r="E40" s="686">
        <f ca="1">tertiair!D20</f>
        <v>26408.493286630543</v>
      </c>
      <c r="F40" s="686">
        <f>tertiair!E20</f>
        <v>265.0575347597557</v>
      </c>
      <c r="G40" s="686">
        <f ca="1">tertiair!F20</f>
        <v>4679.2342406693433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51990.64103417052</v>
      </c>
    </row>
    <row r="41" spans="1:18">
      <c r="A41" s="814" t="s">
        <v>224</v>
      </c>
      <c r="B41" s="821"/>
      <c r="C41" s="686">
        <f ca="1">huishoudens!B12</f>
        <v>12982.69751323504</v>
      </c>
      <c r="D41" s="686">
        <f ca="1">huishoudens!C12</f>
        <v>0</v>
      </c>
      <c r="E41" s="686">
        <f>huishoudens!D12</f>
        <v>52362.915161542391</v>
      </c>
      <c r="F41" s="686">
        <f>huishoudens!E12</f>
        <v>1070.2008232114745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66415.8134979889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40749.134956702517</v>
      </c>
      <c r="D43" s="686">
        <f ca="1">industrie!C22</f>
        <v>2895.5985364669555</v>
      </c>
      <c r="E43" s="686">
        <f>industrie!D22</f>
        <v>29117.191311526509</v>
      </c>
      <c r="F43" s="686">
        <f>industrie!E22</f>
        <v>2371.4766574787782</v>
      </c>
      <c r="G43" s="686">
        <f>industrie!F22</f>
        <v>16275.132735428631</v>
      </c>
      <c r="H43" s="686">
        <f>industrie!G22</f>
        <v>0</v>
      </c>
      <c r="I43" s="686">
        <f>industrie!H22</f>
        <v>0</v>
      </c>
      <c r="J43" s="686">
        <f>industrie!I22</f>
        <v>0</v>
      </c>
      <c r="K43" s="686">
        <f>industrie!J22</f>
        <v>99.291690398550045</v>
      </c>
      <c r="L43" s="686">
        <f>industrie!K22</f>
        <v>0</v>
      </c>
      <c r="M43" s="686">
        <f>industrie!L22</f>
        <v>0</v>
      </c>
      <c r="N43" s="686">
        <f>industrie!M22</f>
        <v>0</v>
      </c>
      <c r="O43" s="686">
        <f>industrie!N22</f>
        <v>0</v>
      </c>
      <c r="P43" s="686">
        <f>industrie!O22</f>
        <v>0</v>
      </c>
      <c r="Q43" s="763">
        <f>industrie!P22</f>
        <v>0</v>
      </c>
      <c r="R43" s="841">
        <f t="shared" ca="1" si="4"/>
        <v>91507.825888001942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73997.125654424235</v>
      </c>
      <c r="D46" s="721">
        <f t="shared" ref="D46:Q46" ca="1" si="5">SUM(D39:D45)</f>
        <v>3268.1613240911502</v>
      </c>
      <c r="E46" s="721">
        <f t="shared" ca="1" si="5"/>
        <v>107888.59975969944</v>
      </c>
      <c r="F46" s="721">
        <f t="shared" si="5"/>
        <v>3706.7350154500082</v>
      </c>
      <c r="G46" s="721">
        <f t="shared" ca="1" si="5"/>
        <v>20954.366976097976</v>
      </c>
      <c r="H46" s="721">
        <f t="shared" si="5"/>
        <v>0</v>
      </c>
      <c r="I46" s="721">
        <f t="shared" si="5"/>
        <v>0</v>
      </c>
      <c r="J46" s="721">
        <f t="shared" si="5"/>
        <v>0</v>
      </c>
      <c r="K46" s="721">
        <f t="shared" si="5"/>
        <v>99.291690398550045</v>
      </c>
      <c r="L46" s="721">
        <f t="shared" si="5"/>
        <v>0</v>
      </c>
      <c r="M46" s="721">
        <f t="shared" ca="1" si="5"/>
        <v>0</v>
      </c>
      <c r="N46" s="721">
        <f t="shared" si="5"/>
        <v>0</v>
      </c>
      <c r="O46" s="721">
        <f t="shared" ca="1" si="5"/>
        <v>0</v>
      </c>
      <c r="P46" s="721">
        <f t="shared" si="5"/>
        <v>0</v>
      </c>
      <c r="Q46" s="721">
        <f t="shared" si="5"/>
        <v>0</v>
      </c>
      <c r="R46" s="721">
        <f ca="1">SUM(R39:R45)</f>
        <v>209914.28042016138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1391.8998562386096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1391.8998562386096</v>
      </c>
    </row>
    <row r="50" spans="1:18">
      <c r="A50" s="817" t="s">
        <v>306</v>
      </c>
      <c r="B50" s="827"/>
      <c r="C50" s="692">
        <f ca="1">transport!B18</f>
        <v>2.2213427577578573</v>
      </c>
      <c r="D50" s="692">
        <f>transport!C18</f>
        <v>0</v>
      </c>
      <c r="E50" s="692">
        <f>transport!D18</f>
        <v>3.3983847413398731</v>
      </c>
      <c r="F50" s="692">
        <f>transport!E18</f>
        <v>143.21796494040782</v>
      </c>
      <c r="G50" s="692">
        <f>transport!F18</f>
        <v>0</v>
      </c>
      <c r="H50" s="692">
        <f>transport!G18</f>
        <v>53957.679318028022</v>
      </c>
      <c r="I50" s="692">
        <f>transport!H18</f>
        <v>7742.0213263598653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61848.538336827391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2.2213427577578573</v>
      </c>
      <c r="D52" s="721">
        <f t="shared" ref="D52:Q52" ca="1" si="6">SUM(D48:D51)</f>
        <v>0</v>
      </c>
      <c r="E52" s="721">
        <f t="shared" si="6"/>
        <v>3.3983847413398731</v>
      </c>
      <c r="F52" s="721">
        <f t="shared" si="6"/>
        <v>143.21796494040782</v>
      </c>
      <c r="G52" s="721">
        <f t="shared" si="6"/>
        <v>0</v>
      </c>
      <c r="H52" s="721">
        <f t="shared" si="6"/>
        <v>55349.579174266633</v>
      </c>
      <c r="I52" s="721">
        <f t="shared" si="6"/>
        <v>7742.0213263598653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63240.438193066002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335.26706127683855</v>
      </c>
      <c r="D54" s="692">
        <f ca="1">+landbouw!C12</f>
        <v>0</v>
      </c>
      <c r="E54" s="692">
        <f>+landbouw!D12</f>
        <v>694.87102696909744</v>
      </c>
      <c r="F54" s="692">
        <f>+landbouw!E12</f>
        <v>4.520597470419168</v>
      </c>
      <c r="G54" s="692">
        <f>+landbouw!F12</f>
        <v>1455.8509855517143</v>
      </c>
      <c r="H54" s="692">
        <f>+landbouw!G12</f>
        <v>0</v>
      </c>
      <c r="I54" s="692">
        <f>+landbouw!H12</f>
        <v>0</v>
      </c>
      <c r="J54" s="692">
        <f>+landbouw!I12</f>
        <v>0</v>
      </c>
      <c r="K54" s="692">
        <f>+landbouw!J12</f>
        <v>84.134342683810203</v>
      </c>
      <c r="L54" s="692">
        <f>+landbouw!K12</f>
        <v>0</v>
      </c>
      <c r="M54" s="692">
        <f>+landbouw!L12</f>
        <v>0</v>
      </c>
      <c r="N54" s="692">
        <f>+landbouw!M12</f>
        <v>0</v>
      </c>
      <c r="O54" s="692">
        <f>+landbouw!N12</f>
        <v>0</v>
      </c>
      <c r="P54" s="692">
        <f>+landbouw!O12</f>
        <v>0</v>
      </c>
      <c r="Q54" s="693">
        <f>+landbouw!P12</f>
        <v>0</v>
      </c>
      <c r="R54" s="720">
        <f ca="1">SUM(C54:Q54)</f>
        <v>2574.64401395188</v>
      </c>
    </row>
    <row r="55" spans="1:18" ht="15" thickBot="1">
      <c r="A55" s="817" t="s">
        <v>856</v>
      </c>
      <c r="B55" s="827"/>
      <c r="C55" s="692">
        <f ca="1">C25*'EF ele_warmte'!B12</f>
        <v>614.73190410127006</v>
      </c>
      <c r="D55" s="692"/>
      <c r="E55" s="692">
        <f>E25*EF_CO2_aardgas</f>
        <v>3705.6714722987335</v>
      </c>
      <c r="F55" s="692"/>
      <c r="G55" s="692"/>
      <c r="H55" s="692"/>
      <c r="I55" s="692"/>
      <c r="J55" s="692"/>
      <c r="K55" s="692"/>
      <c r="L55" s="692"/>
      <c r="M55" s="692"/>
      <c r="N55" s="692"/>
      <c r="O55" s="692"/>
      <c r="P55" s="692"/>
      <c r="Q55" s="693"/>
      <c r="R55" s="720">
        <f ca="1">SUM(C55:Q55)</f>
        <v>4320.4033764000033</v>
      </c>
    </row>
    <row r="56" spans="1:18" ht="15.75" thickBot="1">
      <c r="A56" s="815" t="s">
        <v>857</v>
      </c>
      <c r="B56" s="828"/>
      <c r="C56" s="721">
        <f ca="1">SUM(C54:C55)</f>
        <v>949.99896537810855</v>
      </c>
      <c r="D56" s="721">
        <f t="shared" ref="D56:Q56" ca="1" si="7">SUM(D54:D55)</f>
        <v>0</v>
      </c>
      <c r="E56" s="721">
        <f t="shared" si="7"/>
        <v>4400.5424992678309</v>
      </c>
      <c r="F56" s="721">
        <f t="shared" si="7"/>
        <v>4.520597470419168</v>
      </c>
      <c r="G56" s="721">
        <f t="shared" si="7"/>
        <v>1455.8509855517143</v>
      </c>
      <c r="H56" s="721">
        <f t="shared" si="7"/>
        <v>0</v>
      </c>
      <c r="I56" s="721">
        <f t="shared" si="7"/>
        <v>0</v>
      </c>
      <c r="J56" s="721">
        <f t="shared" si="7"/>
        <v>0</v>
      </c>
      <c r="K56" s="721">
        <f t="shared" si="7"/>
        <v>84.134342683810203</v>
      </c>
      <c r="L56" s="721">
        <f t="shared" si="7"/>
        <v>0</v>
      </c>
      <c r="M56" s="721">
        <f t="shared" si="7"/>
        <v>0</v>
      </c>
      <c r="N56" s="721">
        <f t="shared" si="7"/>
        <v>0</v>
      </c>
      <c r="O56" s="721">
        <f t="shared" si="7"/>
        <v>0</v>
      </c>
      <c r="P56" s="721">
        <f t="shared" si="7"/>
        <v>0</v>
      </c>
      <c r="Q56" s="722">
        <f t="shared" si="7"/>
        <v>0</v>
      </c>
      <c r="R56" s="723">
        <f ca="1">SUM(R54:R55)</f>
        <v>6895.0473903518832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74949.345962560095</v>
      </c>
      <c r="D61" s="729">
        <f t="shared" ref="D61:Q61" ca="1" si="8">D46+D52+D56</f>
        <v>3268.1613240911502</v>
      </c>
      <c r="E61" s="729">
        <f t="shared" ca="1" si="8"/>
        <v>112292.54064370861</v>
      </c>
      <c r="F61" s="729">
        <f t="shared" si="8"/>
        <v>3854.4735778608351</v>
      </c>
      <c r="G61" s="729">
        <f t="shared" ca="1" si="8"/>
        <v>22410.217961649691</v>
      </c>
      <c r="H61" s="729">
        <f t="shared" si="8"/>
        <v>55349.579174266633</v>
      </c>
      <c r="I61" s="729">
        <f t="shared" si="8"/>
        <v>7742.0213263598653</v>
      </c>
      <c r="J61" s="729">
        <f t="shared" si="8"/>
        <v>0</v>
      </c>
      <c r="K61" s="729">
        <f t="shared" si="8"/>
        <v>183.42603308236025</v>
      </c>
      <c r="L61" s="729">
        <f t="shared" si="8"/>
        <v>0</v>
      </c>
      <c r="M61" s="729">
        <f t="shared" ca="1" si="8"/>
        <v>0</v>
      </c>
      <c r="N61" s="729">
        <f t="shared" si="8"/>
        <v>0</v>
      </c>
      <c r="O61" s="729">
        <f t="shared" ca="1" si="8"/>
        <v>0</v>
      </c>
      <c r="P61" s="729">
        <f t="shared" si="8"/>
        <v>0</v>
      </c>
      <c r="Q61" s="729">
        <f t="shared" si="8"/>
        <v>0</v>
      </c>
      <c r="R61" s="729">
        <f ca="1">R46+R52+R56</f>
        <v>280049.76600357925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0.21214649145741218</v>
      </c>
      <c r="D63" s="772">
        <f t="shared" ca="1" si="9"/>
        <v>0.23654780166615538</v>
      </c>
      <c r="E63" s="998">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13437.205836982783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8883.75</v>
      </c>
      <c r="D76" s="1008">
        <f>'lokale energieproductie'!C8</f>
        <v>10403.126401246078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2101.4315330517079</v>
      </c>
      <c r="R76" s="844">
        <v>0</v>
      </c>
    </row>
    <row r="77" spans="1:18" ht="30.75" thickBot="1">
      <c r="A77" s="742" t="s">
        <v>352</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3831.4285714285716</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14778.205836982783</v>
      </c>
      <c r="C78" s="744">
        <f>SUM(C72:C77)</f>
        <v>8883.75</v>
      </c>
      <c r="D78" s="745">
        <f t="shared" ref="D78:H78" si="10">SUM(D76:D77)</f>
        <v>10403.126401246078</v>
      </c>
      <c r="E78" s="745">
        <f t="shared" si="10"/>
        <v>0</v>
      </c>
      <c r="F78" s="745">
        <f t="shared" si="10"/>
        <v>0</v>
      </c>
      <c r="G78" s="745">
        <f t="shared" si="10"/>
        <v>0</v>
      </c>
      <c r="H78" s="745">
        <f t="shared" si="10"/>
        <v>0</v>
      </c>
      <c r="I78" s="745">
        <f>SUM(I76:I77)</f>
        <v>0</v>
      </c>
      <c r="J78" s="745">
        <f>SUM(J76:J77)</f>
        <v>3831.4285714285716</v>
      </c>
      <c r="K78" s="745">
        <f t="shared" ref="K78:L78" si="11">SUM(K76:K77)</f>
        <v>0</v>
      </c>
      <c r="L78" s="745">
        <f t="shared" si="11"/>
        <v>0</v>
      </c>
      <c r="M78" s="745">
        <f>SUM(M76:M77)</f>
        <v>0</v>
      </c>
      <c r="N78" s="745">
        <f>SUM(N76:N77)</f>
        <v>0</v>
      </c>
      <c r="O78" s="852">
        <f>SUM(O76:O77)</f>
        <v>0</v>
      </c>
      <c r="P78" s="746">
        <v>0</v>
      </c>
      <c r="Q78" s="746">
        <f>SUM(Q76:Q77)</f>
        <v>2101.4315330517079</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13816.071428571428</v>
      </c>
      <c r="D87" s="766">
        <f>'lokale energieproductie'!C17</f>
        <v>16179.016455896783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3268.1613240911502</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13816.071428571428</v>
      </c>
      <c r="D90" s="744">
        <f t="shared" ref="D90:H90" si="12">SUM(D87:D89)</f>
        <v>16179.016455896783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3268.1613240911502</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13437.205836982783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8883.75</v>
      </c>
      <c r="C8" s="556">
        <f>B50</f>
        <v>10403.126401246078</v>
      </c>
      <c r="D8" s="1015"/>
      <c r="E8" s="1015">
        <f>E50</f>
        <v>0</v>
      </c>
      <c r="F8" s="1016"/>
      <c r="G8" s="557"/>
      <c r="H8" s="1015">
        <f>I50</f>
        <v>0</v>
      </c>
      <c r="I8" s="1015">
        <f>G50+F50</f>
        <v>0</v>
      </c>
      <c r="J8" s="1015">
        <f>H50+D50+C50</f>
        <v>0</v>
      </c>
      <c r="K8" s="1015"/>
      <c r="L8" s="1015"/>
      <c r="M8" s="1015"/>
      <c r="N8" s="558"/>
      <c r="O8" s="559">
        <f>C8*$C$12+D8*$D$12+E8*$E$12+F8*$F$12+G8*$G$12+H8*$H$12+I8*$I$12+J8*$J$12</f>
        <v>2101.4315330517079</v>
      </c>
      <c r="P8" s="1254"/>
      <c r="Q8" s="1255"/>
      <c r="S8" s="1027"/>
      <c r="T8" s="1275"/>
      <c r="U8" s="1275"/>
    </row>
    <row r="9" spans="1:21" s="544" customFormat="1" ht="17.45" customHeight="1" thickBot="1">
      <c r="A9" s="560" t="s">
        <v>247</v>
      </c>
      <c r="B9" s="561">
        <f>N38+'Eigen informatie GS &amp; warmtenet'!B12</f>
        <v>1341</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23661.955836982783</v>
      </c>
      <c r="C10" s="569">
        <f t="shared" ref="C10:L10" si="0">SUM(C8:C9)</f>
        <v>10403.126401246078</v>
      </c>
      <c r="D10" s="569">
        <f t="shared" si="0"/>
        <v>0</v>
      </c>
      <c r="E10" s="569">
        <f t="shared" si="0"/>
        <v>0</v>
      </c>
      <c r="F10" s="569">
        <f t="shared" si="0"/>
        <v>0</v>
      </c>
      <c r="G10" s="569">
        <f t="shared" si="0"/>
        <v>0</v>
      </c>
      <c r="H10" s="569">
        <f t="shared" si="0"/>
        <v>0</v>
      </c>
      <c r="I10" s="569">
        <f t="shared" si="0"/>
        <v>0</v>
      </c>
      <c r="J10" s="569">
        <f t="shared" si="0"/>
        <v>3831.4285714285716</v>
      </c>
      <c r="K10" s="569">
        <f t="shared" si="0"/>
        <v>0</v>
      </c>
      <c r="L10" s="569">
        <f t="shared" si="0"/>
        <v>0</v>
      </c>
      <c r="M10" s="1018"/>
      <c r="N10" s="1018"/>
      <c r="O10" s="570">
        <f>SUM(O4:O9)</f>
        <v>2101.4315330517079</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13816.071428571428</v>
      </c>
      <c r="C17" s="581">
        <f>B51</f>
        <v>16179.016455896783</v>
      </c>
      <c r="D17" s="582"/>
      <c r="E17" s="582">
        <f>E51</f>
        <v>0</v>
      </c>
      <c r="F17" s="1021"/>
      <c r="G17" s="583"/>
      <c r="H17" s="581">
        <f>I51</f>
        <v>0</v>
      </c>
      <c r="I17" s="582">
        <f>G51+F51</f>
        <v>0</v>
      </c>
      <c r="J17" s="582">
        <f>H51+D51+C51</f>
        <v>0</v>
      </c>
      <c r="K17" s="582"/>
      <c r="L17" s="582"/>
      <c r="M17" s="582"/>
      <c r="N17" s="1022"/>
      <c r="O17" s="584">
        <f>C17*$C$22+E17*$E$22+H17*$H$22+I17*$I$22+J17*$J$22+D17*$D$22+F17*$F$22+G17*$G$22+K17*$K$22+L17*$L$22</f>
        <v>3268.1613240911502</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13816.071428571428</v>
      </c>
      <c r="C20" s="568">
        <f>SUM(C17:C19)</f>
        <v>16179.016455896783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3268.1613240911502</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13040</v>
      </c>
      <c r="C28" s="787">
        <v>2300</v>
      </c>
      <c r="D28" s="640" t="s">
        <v>920</v>
      </c>
      <c r="E28" s="639" t="s">
        <v>921</v>
      </c>
      <c r="F28" s="639" t="s">
        <v>922</v>
      </c>
      <c r="G28" s="639" t="s">
        <v>923</v>
      </c>
      <c r="H28" s="639" t="s">
        <v>924</v>
      </c>
      <c r="I28" s="639" t="s">
        <v>921</v>
      </c>
      <c r="J28" s="786">
        <v>40329</v>
      </c>
      <c r="K28" s="786">
        <v>40381</v>
      </c>
      <c r="L28" s="639" t="s">
        <v>925</v>
      </c>
      <c r="M28" s="639">
        <v>1375</v>
      </c>
      <c r="N28" s="639">
        <v>6187.5</v>
      </c>
      <c r="O28" s="639">
        <v>8839.2857142857138</v>
      </c>
      <c r="P28" s="639">
        <v>17678.571428571431</v>
      </c>
      <c r="Q28" s="639">
        <v>0</v>
      </c>
      <c r="R28" s="639">
        <v>0</v>
      </c>
      <c r="S28" s="639">
        <v>0</v>
      </c>
      <c r="T28" s="639">
        <v>0</v>
      </c>
      <c r="U28" s="639">
        <v>0</v>
      </c>
      <c r="V28" s="639">
        <v>0</v>
      </c>
      <c r="W28" s="639">
        <v>0</v>
      </c>
      <c r="X28" s="639">
        <v>500</v>
      </c>
      <c r="Y28" s="639" t="s">
        <v>40</v>
      </c>
      <c r="Z28" s="641" t="s">
        <v>389</v>
      </c>
    </row>
    <row r="29" spans="1:26" s="593" customFormat="1" ht="25.5">
      <c r="A29" s="592"/>
      <c r="B29" s="787">
        <v>13040</v>
      </c>
      <c r="C29" s="787">
        <v>2300</v>
      </c>
      <c r="D29" s="640" t="s">
        <v>926</v>
      </c>
      <c r="E29" s="639" t="s">
        <v>927</v>
      </c>
      <c r="F29" s="639" t="s">
        <v>928</v>
      </c>
      <c r="G29" s="639" t="s">
        <v>929</v>
      </c>
      <c r="H29" s="639" t="s">
        <v>929</v>
      </c>
      <c r="I29" s="639" t="s">
        <v>927</v>
      </c>
      <c r="J29" s="786">
        <v>41001</v>
      </c>
      <c r="K29" s="786">
        <v>41153</v>
      </c>
      <c r="L29" s="639" t="s">
        <v>925</v>
      </c>
      <c r="M29" s="639">
        <v>70</v>
      </c>
      <c r="N29" s="639">
        <v>315.00000000000006</v>
      </c>
      <c r="O29" s="639">
        <v>1575.0000000000002</v>
      </c>
      <c r="P29" s="639">
        <v>2100.0000000000005</v>
      </c>
      <c r="Q29" s="639">
        <v>0</v>
      </c>
      <c r="R29" s="639">
        <v>0</v>
      </c>
      <c r="S29" s="639">
        <v>0</v>
      </c>
      <c r="T29" s="639">
        <v>0</v>
      </c>
      <c r="U29" s="639">
        <v>0</v>
      </c>
      <c r="V29" s="639">
        <v>0</v>
      </c>
      <c r="W29" s="639">
        <v>0</v>
      </c>
      <c r="X29" s="639">
        <v>1300</v>
      </c>
      <c r="Y29" s="639" t="s">
        <v>53</v>
      </c>
      <c r="Z29" s="641" t="s">
        <v>155</v>
      </c>
    </row>
    <row r="30" spans="1:26" s="593" customFormat="1" ht="25.5">
      <c r="A30" s="592"/>
      <c r="B30" s="787">
        <v>13040</v>
      </c>
      <c r="C30" s="787">
        <v>2300</v>
      </c>
      <c r="D30" s="640" t="s">
        <v>930</v>
      </c>
      <c r="E30" s="639" t="s">
        <v>931</v>
      </c>
      <c r="F30" s="639" t="s">
        <v>932</v>
      </c>
      <c r="G30" s="639" t="s">
        <v>923</v>
      </c>
      <c r="H30" s="639" t="s">
        <v>924</v>
      </c>
      <c r="I30" s="639" t="s">
        <v>931</v>
      </c>
      <c r="J30" s="786">
        <v>41324</v>
      </c>
      <c r="K30" s="786">
        <v>41324</v>
      </c>
      <c r="L30" s="639" t="s">
        <v>925</v>
      </c>
      <c r="M30" s="639">
        <v>635</v>
      </c>
      <c r="N30" s="639">
        <v>2381.25</v>
      </c>
      <c r="O30" s="639">
        <v>3401.7857142857142</v>
      </c>
      <c r="P30" s="639">
        <v>6803.5714285714294</v>
      </c>
      <c r="Q30" s="639">
        <v>0</v>
      </c>
      <c r="R30" s="639">
        <v>0</v>
      </c>
      <c r="S30" s="639">
        <v>0</v>
      </c>
      <c r="T30" s="639">
        <v>0</v>
      </c>
      <c r="U30" s="639">
        <v>0</v>
      </c>
      <c r="V30" s="639">
        <v>0</v>
      </c>
      <c r="W30" s="639">
        <v>0</v>
      </c>
      <c r="X30" s="639">
        <v>300</v>
      </c>
      <c r="Y30" s="639" t="s">
        <v>933</v>
      </c>
      <c r="Z30" s="641" t="s">
        <v>389</v>
      </c>
    </row>
    <row r="31" spans="1:26" s="576" customFormat="1">
      <c r="A31" s="595" t="s">
        <v>279</v>
      </c>
      <c r="B31" s="596"/>
      <c r="C31" s="596"/>
      <c r="D31" s="596"/>
      <c r="E31" s="596"/>
      <c r="F31" s="596"/>
      <c r="G31" s="596"/>
      <c r="H31" s="596"/>
      <c r="I31" s="596"/>
      <c r="J31" s="596"/>
      <c r="K31" s="596"/>
      <c r="L31" s="597"/>
      <c r="M31" s="597">
        <f>SUM(M28:M30)</f>
        <v>2080</v>
      </c>
      <c r="N31" s="597">
        <f>SUM(N28:N30)</f>
        <v>8883.75</v>
      </c>
      <c r="O31" s="597">
        <f>SUM(O28:O30)</f>
        <v>13816.071428571428</v>
      </c>
      <c r="P31" s="597">
        <f>SUM(P28:P30)</f>
        <v>26582.142857142862</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2010</v>
      </c>
      <c r="N32" s="597">
        <f>SUMIF($Z$28:$Z$30,"industrie",N28:N30)</f>
        <v>8568.75</v>
      </c>
      <c r="O32" s="597">
        <f>SUMIF($Z$28:$Z$30,"industrie",O28:O30)</f>
        <v>12241.071428571428</v>
      </c>
      <c r="P32" s="597">
        <f>SUMIF($Z$28:$Z$30,"industrie",P28:P30)</f>
        <v>24482.142857142862</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70</v>
      </c>
      <c r="N33" s="597">
        <f ca="1">SUMIF($Z$28:AD30,"tertiair",N28:N30)</f>
        <v>315.00000000000006</v>
      </c>
      <c r="O33" s="597">
        <f ca="1">SUMIF($Z$28:AE30,"tertiair",O28:O30)</f>
        <v>1575.0000000000002</v>
      </c>
      <c r="P33" s="597">
        <f ca="1">SUMIF($Z$28:AF30,"tertiair",P28:P30)</f>
        <v>2100.0000000000005</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0</v>
      </c>
      <c r="N34" s="602">
        <f>SUMIF($Z$28:$Z$30,"landbouw",N28:N30)</f>
        <v>0</v>
      </c>
      <c r="O34" s="602">
        <f>SUMIF($Z$28:$Z$30,"landbouw",O28:O30)</f>
        <v>0</v>
      </c>
      <c r="P34" s="602">
        <f>SUMIF($Z$28:$Z$30,"landbouw",P28:P30)</f>
        <v>0</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63.75">
      <c r="A37" s="594"/>
      <c r="B37" s="787">
        <v>13040</v>
      </c>
      <c r="C37" s="787">
        <v>2300</v>
      </c>
      <c r="D37" s="642" t="s">
        <v>934</v>
      </c>
      <c r="E37" s="642" t="s">
        <v>935</v>
      </c>
      <c r="F37" s="642" t="s">
        <v>936</v>
      </c>
      <c r="G37" s="642" t="s">
        <v>937</v>
      </c>
      <c r="H37" s="642" t="s">
        <v>938</v>
      </c>
      <c r="I37" s="642" t="s">
        <v>939</v>
      </c>
      <c r="J37" s="786">
        <v>38768</v>
      </c>
      <c r="K37" s="786">
        <v>39052</v>
      </c>
      <c r="L37" s="642" t="s">
        <v>940</v>
      </c>
      <c r="M37" s="642">
        <v>298</v>
      </c>
      <c r="N37" s="642">
        <v>1341</v>
      </c>
      <c r="O37" s="642">
        <v>0</v>
      </c>
      <c r="P37" s="642">
        <v>0</v>
      </c>
      <c r="Q37" s="642">
        <v>3831.4285714285716</v>
      </c>
      <c r="R37" s="642">
        <v>0</v>
      </c>
      <c r="S37" s="642">
        <v>0</v>
      </c>
      <c r="T37" s="642">
        <v>0</v>
      </c>
      <c r="U37" s="642">
        <v>0</v>
      </c>
      <c r="V37" s="642">
        <v>0</v>
      </c>
      <c r="W37" s="642">
        <v>0</v>
      </c>
      <c r="X37" s="642">
        <v>1600</v>
      </c>
      <c r="Y37" s="642" t="s">
        <v>49</v>
      </c>
      <c r="Z37" s="643" t="s">
        <v>155</v>
      </c>
    </row>
    <row r="38" spans="1:27" s="576" customFormat="1">
      <c r="A38" s="595" t="s">
        <v>279</v>
      </c>
      <c r="B38" s="596"/>
      <c r="C38" s="596"/>
      <c r="D38" s="596"/>
      <c r="E38" s="596"/>
      <c r="F38" s="596"/>
      <c r="G38" s="596"/>
      <c r="H38" s="596"/>
      <c r="I38" s="596"/>
      <c r="J38" s="596"/>
      <c r="K38" s="596"/>
      <c r="L38" s="597"/>
      <c r="M38" s="597">
        <f>SUM(M37:M37)</f>
        <v>298</v>
      </c>
      <c r="N38" s="597">
        <f>SUM(N37:N37)</f>
        <v>1341</v>
      </c>
      <c r="O38" s="597">
        <f>SUM(O37:O37)</f>
        <v>0</v>
      </c>
      <c r="P38" s="597">
        <f>SUM(P37:P37)</f>
        <v>0</v>
      </c>
      <c r="Q38" s="597">
        <f>SUM(Q37:Q37)</f>
        <v>3831.4285714285716</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298</v>
      </c>
      <c r="N40" s="597">
        <f>SUMIF($Z$37:$Z$38,"tertiair",N37:N38)</f>
        <v>1341</v>
      </c>
      <c r="O40" s="597">
        <f>SUMIF($Z$37:$Z$38,"tertiair",O37:O38)</f>
        <v>0</v>
      </c>
      <c r="P40" s="597">
        <f>SUMIF($Z$37:$Z$38,"tertiair",P37:P38)</f>
        <v>0</v>
      </c>
      <c r="Q40" s="597">
        <f>SUMIF($Z$37:$Z$38,"tertiair",Q37:Q38)</f>
        <v>3831.4285714285716</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0.6086422958015717</v>
      </c>
      <c r="C47" s="622">
        <f>IF(ISERROR(N31/(O31+N31)),0,N31/(N31+O31))</f>
        <v>0.39135770419842825</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10403.126401246078</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16179.016455896783</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61196.852345028194</v>
      </c>
      <c r="C4" s="458">
        <f>huishoudens!C8</f>
        <v>0</v>
      </c>
      <c r="D4" s="458">
        <f>huishoudens!D8</f>
        <v>259222.3522848633</v>
      </c>
      <c r="E4" s="458">
        <f>huishoudens!E8</f>
        <v>4714.5410714161872</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32787.827409562407</v>
      </c>
      <c r="O4" s="458">
        <f>huishoudens!O8</f>
        <v>262.64000000000004</v>
      </c>
      <c r="P4" s="459">
        <f>huishoudens!P8</f>
        <v>514.79999999999995</v>
      </c>
      <c r="Q4" s="460">
        <f>SUM(B4:P4)</f>
        <v>358699.01311087009</v>
      </c>
    </row>
    <row r="5" spans="1:17">
      <c r="A5" s="457" t="s">
        <v>155</v>
      </c>
      <c r="B5" s="458">
        <f ca="1">tertiair!B16</f>
        <v>92944.639058027635</v>
      </c>
      <c r="C5" s="458">
        <f ca="1">tertiair!C16</f>
        <v>1575.0000000000002</v>
      </c>
      <c r="D5" s="458">
        <f ca="1">tertiair!D16</f>
        <v>130735.11528034922</v>
      </c>
      <c r="E5" s="458">
        <f>tertiair!E16</f>
        <v>1167.6543381487036</v>
      </c>
      <c r="F5" s="458">
        <f ca="1">tertiair!F16</f>
        <v>17525.22187516608</v>
      </c>
      <c r="G5" s="458">
        <f>tertiair!G16</f>
        <v>0</v>
      </c>
      <c r="H5" s="458">
        <f>tertiair!H16</f>
        <v>0</v>
      </c>
      <c r="I5" s="458">
        <f>tertiair!I16</f>
        <v>0</v>
      </c>
      <c r="J5" s="458">
        <f>tertiair!J16</f>
        <v>0</v>
      </c>
      <c r="K5" s="458">
        <f>tertiair!K16</f>
        <v>0</v>
      </c>
      <c r="L5" s="458">
        <f ca="1">tertiair!L16</f>
        <v>0</v>
      </c>
      <c r="M5" s="458">
        <f>tertiair!M16</f>
        <v>0</v>
      </c>
      <c r="N5" s="458">
        <f ca="1">tertiair!N16</f>
        <v>986.13926253887439</v>
      </c>
      <c r="O5" s="458">
        <f>tertiair!O16</f>
        <v>6.2533333333333339</v>
      </c>
      <c r="P5" s="459">
        <f>tertiair!P16</f>
        <v>95.333333333333343</v>
      </c>
      <c r="Q5" s="457">
        <f t="shared" ref="Q5:Q14" ca="1" si="0">SUM(B5:P5)</f>
        <v>245035.3564808972</v>
      </c>
    </row>
    <row r="6" spans="1:17">
      <c r="A6" s="457" t="s">
        <v>193</v>
      </c>
      <c r="B6" s="458">
        <f>'openbare verlichting'!B8</f>
        <v>2580.3589999999999</v>
      </c>
      <c r="C6" s="458"/>
      <c r="D6" s="458"/>
      <c r="E6" s="458"/>
      <c r="F6" s="458"/>
      <c r="G6" s="458"/>
      <c r="H6" s="458"/>
      <c r="I6" s="458"/>
      <c r="J6" s="458"/>
      <c r="K6" s="458"/>
      <c r="L6" s="458"/>
      <c r="M6" s="458"/>
      <c r="N6" s="458"/>
      <c r="O6" s="458"/>
      <c r="P6" s="459"/>
      <c r="Q6" s="457">
        <f t="shared" si="0"/>
        <v>2580.3589999999999</v>
      </c>
    </row>
    <row r="7" spans="1:17">
      <c r="A7" s="457" t="s">
        <v>111</v>
      </c>
      <c r="B7" s="458">
        <f>landbouw!B8</f>
        <v>1580.3563800353609</v>
      </c>
      <c r="C7" s="458">
        <f>landbouw!C8</f>
        <v>0</v>
      </c>
      <c r="D7" s="458">
        <f>landbouw!D8</f>
        <v>3439.9555790549375</v>
      </c>
      <c r="E7" s="458">
        <f>landbouw!E8</f>
        <v>19.914526301406028</v>
      </c>
      <c r="F7" s="458">
        <f>landbouw!F8</f>
        <v>5452.6254140513638</v>
      </c>
      <c r="G7" s="458">
        <f>landbouw!G8</f>
        <v>0</v>
      </c>
      <c r="H7" s="458">
        <f>landbouw!H8</f>
        <v>0</v>
      </c>
      <c r="I7" s="458">
        <f>landbouw!I8</f>
        <v>0</v>
      </c>
      <c r="J7" s="458">
        <f>landbouw!J8</f>
        <v>237.66763470002883</v>
      </c>
      <c r="K7" s="458">
        <f>landbouw!K8</f>
        <v>0</v>
      </c>
      <c r="L7" s="458">
        <f>landbouw!L8</f>
        <v>0</v>
      </c>
      <c r="M7" s="458">
        <f>landbouw!M8</f>
        <v>0</v>
      </c>
      <c r="N7" s="458">
        <f>landbouw!N8</f>
        <v>0</v>
      </c>
      <c r="O7" s="458">
        <f>landbouw!O8</f>
        <v>0</v>
      </c>
      <c r="P7" s="459">
        <f>landbouw!P8</f>
        <v>0</v>
      </c>
      <c r="Q7" s="457">
        <f t="shared" si="0"/>
        <v>10730.519534143097</v>
      </c>
    </row>
    <row r="8" spans="1:17">
      <c r="A8" s="457" t="s">
        <v>655</v>
      </c>
      <c r="B8" s="458">
        <f>industrie!B18</f>
        <v>192080.1738306513</v>
      </c>
      <c r="C8" s="458">
        <f>industrie!C18</f>
        <v>12241.071428571428</v>
      </c>
      <c r="D8" s="458">
        <f>industrie!D18</f>
        <v>144144.51144320052</v>
      </c>
      <c r="E8" s="458">
        <f>industrie!E18</f>
        <v>10447.033733386688</v>
      </c>
      <c r="F8" s="458">
        <f>industrie!F18</f>
        <v>60955.553316212099</v>
      </c>
      <c r="G8" s="458">
        <f>industrie!G18</f>
        <v>0</v>
      </c>
      <c r="H8" s="458">
        <f>industrie!H18</f>
        <v>0</v>
      </c>
      <c r="I8" s="458">
        <f>industrie!I18</f>
        <v>0</v>
      </c>
      <c r="J8" s="458">
        <f>industrie!J18</f>
        <v>280.48500112584759</v>
      </c>
      <c r="K8" s="458">
        <f>industrie!K18</f>
        <v>0</v>
      </c>
      <c r="L8" s="458">
        <f>industrie!L18</f>
        <v>0</v>
      </c>
      <c r="M8" s="458">
        <f>industrie!M18</f>
        <v>0</v>
      </c>
      <c r="N8" s="458">
        <f>industrie!N18</f>
        <v>17140.515247829546</v>
      </c>
      <c r="O8" s="458">
        <f>industrie!O18</f>
        <v>0</v>
      </c>
      <c r="P8" s="459">
        <f>industrie!P18</f>
        <v>0</v>
      </c>
      <c r="Q8" s="457">
        <f t="shared" si="0"/>
        <v>437289.34400097735</v>
      </c>
    </row>
    <row r="9" spans="1:17" s="463" customFormat="1">
      <c r="A9" s="461" t="s">
        <v>573</v>
      </c>
      <c r="B9" s="462">
        <f>transport!B14</f>
        <v>10.470796582576456</v>
      </c>
      <c r="C9" s="462">
        <f>transport!C14</f>
        <v>0</v>
      </c>
      <c r="D9" s="462">
        <f>transport!D14</f>
        <v>16.823686838316203</v>
      </c>
      <c r="E9" s="462">
        <f>transport!E14</f>
        <v>630.9161451119287</v>
      </c>
      <c r="F9" s="462">
        <f>transport!F14</f>
        <v>0</v>
      </c>
      <c r="G9" s="462">
        <f>transport!G14</f>
        <v>202088.68658437461</v>
      </c>
      <c r="H9" s="462">
        <f>transport!H14</f>
        <v>31092.455125943234</v>
      </c>
      <c r="I9" s="462">
        <f>transport!I14</f>
        <v>0</v>
      </c>
      <c r="J9" s="462">
        <f>transport!J14</f>
        <v>0</v>
      </c>
      <c r="K9" s="462">
        <f>transport!K14</f>
        <v>0</v>
      </c>
      <c r="L9" s="462">
        <f>transport!L14</f>
        <v>0</v>
      </c>
      <c r="M9" s="462">
        <f>transport!M14</f>
        <v>10541.8366182596</v>
      </c>
      <c r="N9" s="462">
        <f>transport!N14</f>
        <v>0</v>
      </c>
      <c r="O9" s="462">
        <f>transport!O14</f>
        <v>0</v>
      </c>
      <c r="P9" s="462">
        <f>transport!P14</f>
        <v>0</v>
      </c>
      <c r="Q9" s="461">
        <f>SUM(B9:P9)</f>
        <v>244381.18895711028</v>
      </c>
    </row>
    <row r="10" spans="1:17">
      <c r="A10" s="457" t="s">
        <v>563</v>
      </c>
      <c r="B10" s="458">
        <f>transport!B54</f>
        <v>0</v>
      </c>
      <c r="C10" s="458">
        <f>transport!C54</f>
        <v>0</v>
      </c>
      <c r="D10" s="458">
        <f>transport!D54</f>
        <v>0</v>
      </c>
      <c r="E10" s="458">
        <f>transport!E54</f>
        <v>0</v>
      </c>
      <c r="F10" s="458">
        <f>transport!F54</f>
        <v>0</v>
      </c>
      <c r="G10" s="458">
        <f>transport!G54</f>
        <v>5213.1080758000353</v>
      </c>
      <c r="H10" s="458">
        <f>transport!H54</f>
        <v>0</v>
      </c>
      <c r="I10" s="458">
        <f>transport!I54</f>
        <v>0</v>
      </c>
      <c r="J10" s="458">
        <f>transport!J54</f>
        <v>0</v>
      </c>
      <c r="K10" s="458">
        <f>transport!K54</f>
        <v>0</v>
      </c>
      <c r="L10" s="458">
        <f>transport!L54</f>
        <v>0</v>
      </c>
      <c r="M10" s="458">
        <f>transport!M54</f>
        <v>232.03975321742519</v>
      </c>
      <c r="N10" s="458">
        <f>transport!N54</f>
        <v>0</v>
      </c>
      <c r="O10" s="458">
        <f>transport!O54</f>
        <v>0</v>
      </c>
      <c r="P10" s="459">
        <f>transport!P54</f>
        <v>0</v>
      </c>
      <c r="Q10" s="457">
        <f t="shared" si="0"/>
        <v>5445.14782901746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2897.6765058812002</v>
      </c>
      <c r="C14" s="465"/>
      <c r="D14" s="465">
        <f>'SEAP template'!E25</f>
        <v>18344.9082787066</v>
      </c>
      <c r="E14" s="465"/>
      <c r="F14" s="465"/>
      <c r="G14" s="465"/>
      <c r="H14" s="465"/>
      <c r="I14" s="465"/>
      <c r="J14" s="465"/>
      <c r="K14" s="465"/>
      <c r="L14" s="465"/>
      <c r="M14" s="465"/>
      <c r="N14" s="465"/>
      <c r="O14" s="465"/>
      <c r="P14" s="466"/>
      <c r="Q14" s="457">
        <f t="shared" si="0"/>
        <v>21242.584784587802</v>
      </c>
    </row>
    <row r="15" spans="1:17" s="470" customFormat="1">
      <c r="A15" s="467" t="s">
        <v>567</v>
      </c>
      <c r="B15" s="468">
        <f ca="1">SUM(B4:B14)</f>
        <v>353290.52791620628</v>
      </c>
      <c r="C15" s="468">
        <f t="shared" ref="C15:Q15" ca="1" si="1">SUM(C4:C14)</f>
        <v>13816.071428571428</v>
      </c>
      <c r="D15" s="468">
        <f t="shared" ca="1" si="1"/>
        <v>555903.66655301279</v>
      </c>
      <c r="E15" s="468">
        <f t="shared" si="1"/>
        <v>16980.059814364915</v>
      </c>
      <c r="F15" s="468">
        <f t="shared" ca="1" si="1"/>
        <v>83933.400605429546</v>
      </c>
      <c r="G15" s="468">
        <f t="shared" si="1"/>
        <v>207301.79466017464</v>
      </c>
      <c r="H15" s="468">
        <f t="shared" si="1"/>
        <v>31092.455125943234</v>
      </c>
      <c r="I15" s="468">
        <f t="shared" si="1"/>
        <v>0</v>
      </c>
      <c r="J15" s="468">
        <f t="shared" si="1"/>
        <v>518.15263582587636</v>
      </c>
      <c r="K15" s="468">
        <f t="shared" si="1"/>
        <v>0</v>
      </c>
      <c r="L15" s="468">
        <f t="shared" ca="1" si="1"/>
        <v>0</v>
      </c>
      <c r="M15" s="468">
        <f t="shared" si="1"/>
        <v>10773.876371477025</v>
      </c>
      <c r="N15" s="468">
        <f t="shared" ca="1" si="1"/>
        <v>50914.481919930826</v>
      </c>
      <c r="O15" s="468">
        <f t="shared" si="1"/>
        <v>268.89333333333337</v>
      </c>
      <c r="P15" s="468">
        <f t="shared" si="1"/>
        <v>610.13333333333333</v>
      </c>
      <c r="Q15" s="468">
        <f t="shared" ca="1" si="1"/>
        <v>1325403.5136976033</v>
      </c>
    </row>
    <row r="17" spans="1:17">
      <c r="A17" s="471" t="s">
        <v>568</v>
      </c>
      <c r="B17" s="777">
        <f ca="1">huishoudens!B10</f>
        <v>0.21214649145741221</v>
      </c>
      <c r="C17" s="777">
        <f ca="1">huishoudens!C10</f>
        <v>0.23654780166615538</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12982.69751323504</v>
      </c>
      <c r="C22" s="458">
        <f t="shared" ref="C22:C32" ca="1" si="3">C4*$C$17</f>
        <v>0</v>
      </c>
      <c r="D22" s="458">
        <f t="shared" ref="D22:D32" si="4">D4*$D$17</f>
        <v>52362.915161542391</v>
      </c>
      <c r="E22" s="458">
        <f t="shared" ref="E22:E32" si="5">E4*$E$17</f>
        <v>1070.2008232114745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66415.8134979889</v>
      </c>
    </row>
    <row r="23" spans="1:17">
      <c r="A23" s="457" t="s">
        <v>155</v>
      </c>
      <c r="B23" s="458">
        <f t="shared" ca="1" si="2"/>
        <v>19717.879075936122</v>
      </c>
      <c r="C23" s="458">
        <f t="shared" ca="1" si="3"/>
        <v>372.56278762419475</v>
      </c>
      <c r="D23" s="458">
        <f t="shared" ca="1" si="4"/>
        <v>26408.493286630543</v>
      </c>
      <c r="E23" s="458">
        <f t="shared" si="5"/>
        <v>265.0575347597557</v>
      </c>
      <c r="F23" s="458">
        <f t="shared" ca="1" si="6"/>
        <v>4679.2342406693433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51443.226925619958</v>
      </c>
    </row>
    <row r="24" spans="1:17">
      <c r="A24" s="457" t="s">
        <v>193</v>
      </c>
      <c r="B24" s="458">
        <f t="shared" ca="1" si="2"/>
        <v>547.41410855055665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547.41410855055665</v>
      </c>
    </row>
    <row r="25" spans="1:17">
      <c r="A25" s="457" t="s">
        <v>111</v>
      </c>
      <c r="B25" s="458">
        <f t="shared" ca="1" si="2"/>
        <v>335.26706127683855</v>
      </c>
      <c r="C25" s="458">
        <f t="shared" ca="1" si="3"/>
        <v>0</v>
      </c>
      <c r="D25" s="458">
        <f t="shared" si="4"/>
        <v>694.87102696909744</v>
      </c>
      <c r="E25" s="458">
        <f t="shared" si="5"/>
        <v>4.520597470419168</v>
      </c>
      <c r="F25" s="458">
        <f t="shared" si="6"/>
        <v>1455.8509855517143</v>
      </c>
      <c r="G25" s="458">
        <f t="shared" si="7"/>
        <v>0</v>
      </c>
      <c r="H25" s="458">
        <f t="shared" si="8"/>
        <v>0</v>
      </c>
      <c r="I25" s="458">
        <f t="shared" si="9"/>
        <v>0</v>
      </c>
      <c r="J25" s="458">
        <f t="shared" si="10"/>
        <v>84.134342683810203</v>
      </c>
      <c r="K25" s="458">
        <f t="shared" si="11"/>
        <v>0</v>
      </c>
      <c r="L25" s="458">
        <f t="shared" si="12"/>
        <v>0</v>
      </c>
      <c r="M25" s="458">
        <f t="shared" si="13"/>
        <v>0</v>
      </c>
      <c r="N25" s="458">
        <f t="shared" si="14"/>
        <v>0</v>
      </c>
      <c r="O25" s="458">
        <f t="shared" si="15"/>
        <v>0</v>
      </c>
      <c r="P25" s="459">
        <f t="shared" si="16"/>
        <v>0</v>
      </c>
      <c r="Q25" s="457">
        <f t="shared" ca="1" si="17"/>
        <v>2574.64401395188</v>
      </c>
    </row>
    <row r="26" spans="1:17">
      <c r="A26" s="457" t="s">
        <v>655</v>
      </c>
      <c r="B26" s="458">
        <f t="shared" ca="1" si="2"/>
        <v>40749.134956702517</v>
      </c>
      <c r="C26" s="458">
        <f t="shared" ca="1" si="3"/>
        <v>2895.5985364669555</v>
      </c>
      <c r="D26" s="458">
        <f t="shared" si="4"/>
        <v>29117.191311526509</v>
      </c>
      <c r="E26" s="458">
        <f t="shared" si="5"/>
        <v>2371.4766574787782</v>
      </c>
      <c r="F26" s="458">
        <f t="shared" si="6"/>
        <v>16275.132735428631</v>
      </c>
      <c r="G26" s="458">
        <f t="shared" si="7"/>
        <v>0</v>
      </c>
      <c r="H26" s="458">
        <f t="shared" si="8"/>
        <v>0</v>
      </c>
      <c r="I26" s="458">
        <f t="shared" si="9"/>
        <v>0</v>
      </c>
      <c r="J26" s="458">
        <f t="shared" si="10"/>
        <v>99.291690398550045</v>
      </c>
      <c r="K26" s="458">
        <f t="shared" si="11"/>
        <v>0</v>
      </c>
      <c r="L26" s="458">
        <f t="shared" si="12"/>
        <v>0</v>
      </c>
      <c r="M26" s="458">
        <f t="shared" si="13"/>
        <v>0</v>
      </c>
      <c r="N26" s="458">
        <f t="shared" si="14"/>
        <v>0</v>
      </c>
      <c r="O26" s="458">
        <f t="shared" si="15"/>
        <v>0</v>
      </c>
      <c r="P26" s="459">
        <f t="shared" si="16"/>
        <v>0</v>
      </c>
      <c r="Q26" s="457">
        <f t="shared" ca="1" si="17"/>
        <v>91507.825888001942</v>
      </c>
    </row>
    <row r="27" spans="1:17" s="463" customFormat="1">
      <c r="A27" s="461" t="s">
        <v>573</v>
      </c>
      <c r="B27" s="771">
        <f t="shared" ca="1" si="2"/>
        <v>2.2213427577578573</v>
      </c>
      <c r="C27" s="462">
        <f t="shared" ca="1" si="3"/>
        <v>0</v>
      </c>
      <c r="D27" s="462">
        <f t="shared" si="4"/>
        <v>3.3983847413398731</v>
      </c>
      <c r="E27" s="462">
        <f t="shared" si="5"/>
        <v>143.21796494040782</v>
      </c>
      <c r="F27" s="462">
        <f t="shared" si="6"/>
        <v>0</v>
      </c>
      <c r="G27" s="462">
        <f t="shared" si="7"/>
        <v>53957.679318028022</v>
      </c>
      <c r="H27" s="462">
        <f t="shared" si="8"/>
        <v>7742.0213263598653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61848.538336827391</v>
      </c>
    </row>
    <row r="28" spans="1:17">
      <c r="A28" s="457" t="s">
        <v>563</v>
      </c>
      <c r="B28" s="458">
        <f t="shared" ca="1" si="2"/>
        <v>0</v>
      </c>
      <c r="C28" s="458">
        <f t="shared" ca="1" si="3"/>
        <v>0</v>
      </c>
      <c r="D28" s="458">
        <f t="shared" si="4"/>
        <v>0</v>
      </c>
      <c r="E28" s="458">
        <f t="shared" si="5"/>
        <v>0</v>
      </c>
      <c r="F28" s="458">
        <f t="shared" si="6"/>
        <v>0</v>
      </c>
      <c r="G28" s="458">
        <f t="shared" si="7"/>
        <v>1391.8998562386096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1391.8998562386096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614.73190410127006</v>
      </c>
      <c r="C32" s="458">
        <f t="shared" ca="1" si="3"/>
        <v>0</v>
      </c>
      <c r="D32" s="458">
        <f t="shared" si="4"/>
        <v>3705.6714722987335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4320.4033764000033</v>
      </c>
    </row>
    <row r="33" spans="1:17" s="470" customFormat="1">
      <c r="A33" s="467" t="s">
        <v>567</v>
      </c>
      <c r="B33" s="468">
        <f ca="1">SUM(B22:B32)</f>
        <v>74949.345962560095</v>
      </c>
      <c r="C33" s="468">
        <f t="shared" ref="C33:Q33" ca="1" si="18">SUM(C22:C32)</f>
        <v>3268.1613240911502</v>
      </c>
      <c r="D33" s="468">
        <f t="shared" ca="1" si="18"/>
        <v>112292.54064370861</v>
      </c>
      <c r="E33" s="468">
        <f t="shared" si="18"/>
        <v>3854.4735778608356</v>
      </c>
      <c r="F33" s="468">
        <f t="shared" ca="1" si="18"/>
        <v>22410.217961649687</v>
      </c>
      <c r="G33" s="468">
        <f t="shared" si="18"/>
        <v>55349.579174266633</v>
      </c>
      <c r="H33" s="468">
        <f t="shared" si="18"/>
        <v>7742.0213263598653</v>
      </c>
      <c r="I33" s="468">
        <f t="shared" si="18"/>
        <v>0</v>
      </c>
      <c r="J33" s="468">
        <f t="shared" si="18"/>
        <v>183.42603308236025</v>
      </c>
      <c r="K33" s="468">
        <f t="shared" si="18"/>
        <v>0</v>
      </c>
      <c r="L33" s="468">
        <f t="shared" ca="1" si="18"/>
        <v>0</v>
      </c>
      <c r="M33" s="468">
        <f t="shared" si="18"/>
        <v>0</v>
      </c>
      <c r="N33" s="468">
        <f t="shared" ca="1" si="18"/>
        <v>0</v>
      </c>
      <c r="O33" s="468">
        <f t="shared" si="18"/>
        <v>0</v>
      </c>
      <c r="P33" s="468">
        <f t="shared" si="18"/>
        <v>0</v>
      </c>
      <c r="Q33" s="468">
        <f t="shared" ca="1" si="18"/>
        <v>280049.76600357925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13437.205836982783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8883.75</v>
      </c>
      <c r="D8" s="1034">
        <f>'SEAP template'!D76</f>
        <v>10403.126401246078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2101.4315330517079</v>
      </c>
    </row>
    <row r="9" spans="1:16">
      <c r="A9" s="1037" t="s">
        <v>871</v>
      </c>
      <c r="B9" s="1034">
        <f>'SEAP template'!B77</f>
        <v>1341</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3831.4285714285716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14778.205836982783</v>
      </c>
      <c r="C10" s="1038">
        <f>SUM(C4:C9)</f>
        <v>8883.75</v>
      </c>
      <c r="D10" s="1038">
        <f t="shared" ref="D10:H10" si="0">SUM(D8:D9)</f>
        <v>10403.126401246078</v>
      </c>
      <c r="E10" s="1038">
        <f t="shared" si="0"/>
        <v>0</v>
      </c>
      <c r="F10" s="1038">
        <f t="shared" si="0"/>
        <v>0</v>
      </c>
      <c r="G10" s="1038">
        <f t="shared" si="0"/>
        <v>0</v>
      </c>
      <c r="H10" s="1038">
        <f t="shared" si="0"/>
        <v>0</v>
      </c>
      <c r="I10" s="1038">
        <f>SUM(I8:I9)</f>
        <v>0</v>
      </c>
      <c r="J10" s="1038">
        <f>SUM(J8:J9)</f>
        <v>3831.4285714285716</v>
      </c>
      <c r="K10" s="1038">
        <f t="shared" ref="K10:L10" si="1">SUM(K8:K9)</f>
        <v>0</v>
      </c>
      <c r="L10" s="1038">
        <f t="shared" si="1"/>
        <v>0</v>
      </c>
      <c r="M10" s="1038">
        <f>SUM(M8:M9)</f>
        <v>0</v>
      </c>
      <c r="N10" s="1038">
        <f>SUM(N8:N9)</f>
        <v>0</v>
      </c>
      <c r="O10" s="1038">
        <f>SUM(O8:O9)</f>
        <v>0</v>
      </c>
      <c r="P10" s="1038">
        <f>SUM(P8:P9)</f>
        <v>2101.4315330517079</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0.21214649145741221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13816.071428571428</v>
      </c>
      <c r="D17" s="1035">
        <f>'SEAP template'!D87</f>
        <v>16179.016455896783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3268.1613240911502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13816.071428571428</v>
      </c>
      <c r="D20" s="1038">
        <f t="shared" ref="D20:H20" si="2">SUM(D17:D19)</f>
        <v>16179.016455896783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3268.1613240911502</v>
      </c>
    </row>
    <row r="22" spans="1:16">
      <c r="A22" s="471" t="s">
        <v>879</v>
      </c>
      <c r="B22" s="777" t="s">
        <v>873</v>
      </c>
      <c r="C22" s="777">
        <f ca="1">'EF ele_warmte'!B22</f>
        <v>0.23654780166615538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0.21214649145741221</v>
      </c>
      <c r="C17" s="508">
        <f ca="1">'EF ele_warmte'!B22</f>
        <v>0.23654780166615538</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2020-06-20T16:15:28Z</dcterms:modified>
</cp:coreProperties>
</file>