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7" i="18"/>
  <c r="V47" i="18"/>
  <c r="U47" i="18"/>
  <c r="T47" i="18"/>
  <c r="S47" i="18"/>
  <c r="R47" i="18"/>
  <c r="Q47" i="18"/>
  <c r="P47" i="18"/>
  <c r="O47" i="18"/>
  <c r="N47" i="18"/>
  <c r="M47" i="18"/>
  <c r="W46" i="18"/>
  <c r="V46" i="18"/>
  <c r="U46" i="18"/>
  <c r="T46" i="18"/>
  <c r="S46" i="18"/>
  <c r="R46" i="18"/>
  <c r="Q46" i="18"/>
  <c r="P46" i="18"/>
  <c r="O46" i="18"/>
  <c r="N46" i="18"/>
  <c r="M46" i="18"/>
  <c r="W45" i="18"/>
  <c r="V45" i="18"/>
  <c r="U45" i="18"/>
  <c r="T45" i="18"/>
  <c r="S45" i="18"/>
  <c r="R45" i="18"/>
  <c r="Q45" i="18"/>
  <c r="P45" i="18"/>
  <c r="O45" i="18"/>
  <c r="N45" i="18"/>
  <c r="M45" i="18"/>
  <c r="W44" i="18"/>
  <c r="H9" i="18" s="1"/>
  <c r="V44" i="18"/>
  <c r="J9" i="18" s="1"/>
  <c r="U44" i="18"/>
  <c r="T44" i="18"/>
  <c r="I9" i="18" s="1"/>
  <c r="S44" i="18"/>
  <c r="E9" i="18" s="1"/>
  <c r="R44" i="18"/>
  <c r="Q44" i="18"/>
  <c r="P44" i="18"/>
  <c r="C9" i="18" s="1"/>
  <c r="O44" i="18"/>
  <c r="N44" i="18"/>
  <c r="B9" i="18" s="1"/>
  <c r="M44"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B53" i="18" s="1"/>
  <c r="N37" i="18"/>
  <c r="C53" i="18" s="1"/>
  <c r="M37" i="18"/>
  <c r="G22" i="18"/>
  <c r="F22" i="18"/>
  <c r="E22" i="18"/>
  <c r="D22" i="18"/>
  <c r="C22" i="18"/>
  <c r="L20" i="18"/>
  <c r="D20" i="18"/>
  <c r="B17" i="18"/>
  <c r="G12" i="18"/>
  <c r="F12" i="18"/>
  <c r="E12" i="18"/>
  <c r="D12" i="18"/>
  <c r="C12" i="18"/>
  <c r="L10" i="18"/>
  <c r="K10" i="18"/>
  <c r="G10" i="18"/>
  <c r="D10" i="18"/>
  <c r="B8" i="18"/>
  <c r="B6" i="18"/>
  <c r="B5" i="18"/>
  <c r="B4" i="18"/>
  <c r="I56" i="18" l="1"/>
  <c r="H8" i="18" s="1"/>
  <c r="H10" i="18" s="1"/>
  <c r="G56" i="18"/>
  <c r="F56" i="18"/>
  <c r="D56" i="18"/>
  <c r="C56" i="18"/>
  <c r="B56" i="18"/>
  <c r="C8" i="18" s="1"/>
  <c r="C10" i="18" s="1"/>
  <c r="H56" i="18"/>
  <c r="J8" i="18" s="1"/>
  <c r="J10" i="18" s="1"/>
  <c r="I57" i="18"/>
  <c r="H17" i="18" s="1"/>
  <c r="G57" i="18"/>
  <c r="F57" i="18"/>
  <c r="C57" i="18"/>
  <c r="B57" i="18"/>
  <c r="C17" i="18" s="1"/>
  <c r="C20" i="18" s="1"/>
  <c r="B20" i="18"/>
  <c r="F20" i="18"/>
  <c r="O18" i="18"/>
  <c r="H20" i="18"/>
  <c r="G20" i="18"/>
  <c r="K20" i="18"/>
  <c r="B10" i="18"/>
  <c r="O19" i="18"/>
  <c r="O9" i="18"/>
  <c r="D57" i="18"/>
  <c r="H57" i="18"/>
  <c r="E56" i="18"/>
  <c r="E8" i="18" s="1"/>
  <c r="E10" i="18" s="1"/>
  <c r="E57"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24" i="14"/>
  <c r="C26" i="14" s="1"/>
  <c r="B7" i="48"/>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E5" i="48"/>
  <c r="Q5"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J33" i="48"/>
  <c r="E23" i="48"/>
  <c r="E33" i="48" s="1"/>
  <c r="E22" i="16"/>
  <c r="F43" i="14" s="1"/>
  <c r="F46" i="14" s="1"/>
  <c r="F61" i="14" s="1"/>
  <c r="J22" i="16"/>
  <c r="K43" i="14" s="1"/>
  <c r="K46" i="14" s="1"/>
  <c r="K61" i="14" s="1"/>
  <c r="K13" i="14"/>
  <c r="K16" i="14" s="1"/>
  <c r="K27" i="14" s="1"/>
  <c r="J8" i="48"/>
  <c r="J26"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<sst xmlns="http://schemas.openxmlformats.org/spreadsheetml/2006/main" count="2528" uniqueCount="953">
  <si>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</si>
  <si>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</si>
  <si>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</si>
  <si>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</si>
  <si>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</si>
  <si>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</si>
  <si>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</si>
  <si>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</si>
  <si>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</si>
  <si>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</si>
  <si>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</si>
  <si>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</si>
  <si>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</si>
  <si>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</si>
  <si>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</si>
  <si>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</si>
  <si>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</si>
  <si>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</si>
  <si>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</si>
  <si>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</si>
  <si>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</si>
  <si>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</si>
  <si>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</si>
  <si>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</si>
  <si>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</si>
  <si>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</si>
  <si>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</si>
  <si>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</si>
  <si>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</si>
  <si>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</si>
  <si>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</si>
  <si>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</si>
  <si>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</si>
  <si>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</si>
  <si>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</si>
  <si>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</si>
  <si>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</si>
  <si>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</si>
  <si>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</si>
  <si>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</si>
  <si>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</si>
  <si>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</si>
  <si>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</si>
  <si>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</si>
  <si>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</si>
  <si>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</si>
  <si>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</si>
  <si>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</si>
  <si>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</si>
  <si>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</si>
  <si>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</si>
  <si>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</si>
  <si>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</si>
  <si>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</si>
  <si>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</si>
  <si>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</si>
  <si>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</si>
  <si>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</si>
  <si>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</si>
  <si>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</si>
  <si>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</si>
  <si>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</si>
  <si>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</si>
  <si>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</si>
  <si>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</si>
  <si>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</si>
  <si>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</si>
  <si>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</si>
  <si>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</si>
  <si>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</si>
  <si>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</si>
  <si>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</si>
  <si>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</si>
  <si>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</si>
  <si>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</si>
  <si>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</si>
  <si>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</si>
  <si>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</si>
  <si>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</si>
  <si>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</si>
  <si>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</si>
  <si>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</si>
  <si>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</si>
  <si>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</si>
  <si>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</si>
  <si>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</si>
  <si>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</si>
  <si>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</si>
  <si>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</si>
  <si>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</si>
  <si>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</si>
  <si>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</si>
  <si>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</si>
  <si>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</si>
  <si>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</si>
  <si>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</si>
  <si>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</si>
  <si>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</si>
  <si>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</si>
  <si>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</si>
  <si>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</si>
  <si>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</si>
  <si>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</si>
  <si>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</si>
  <si>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</si>
  <si>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</si>
  <si>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</si>
  <si>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</si>
  <si>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</si>
  <si>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</si>
  <si>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</si>
  <si>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</si>
  <si>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</si>
  <si>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</si>
  <si>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</si>
  <si>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</si>
  <si>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</si>
  <si>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</si>
  <si>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</si>
  <si>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</si>
  <si>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</si>
  <si>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</si>
  <si>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</si>
  <si>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</si>
  <si>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</si>
  <si>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</si>
  <si>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</si>
  <si>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</si>
  <si>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</si>
  <si>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</si>
  <si>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</si>
  <si>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</si>
  <si>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</si>
  <si>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</si>
  <si>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</si>
  <si>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</si>
  <si>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</si>
  <si>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</si>
  <si>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</si>
  <si>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</si>
  <si>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</si>
  <si>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</si>
  <si>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</si>
  <si>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</si>
  <si>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</si>
  <si>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</si>
  <si>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</si>
  <si>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</si>
  <si>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</si>
  <si>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</si>
  <si>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</si>
  <si>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</si>
  <si>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</si>
  <si>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</si>
  <si>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</si>
  <si>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</si>
  <si>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</si>
  <si>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</si>
  <si>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</si>
  <si>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</si>
  <si>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</si>
  <si>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</si>
  <si>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</si>
  <si>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</si>
  <si>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</si>
  <si>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</si>
  <si>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</si>
  <si>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</si>
  <si>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</si>
  <si>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</si>
  <si>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</si>
  <si>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</si>
  <si>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</si>
  <si>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</si>
  <si>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</si>
  <si>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</si>
  <si>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</si>
  <si>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</si>
  <si>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</si>
  <si>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</si>
  <si>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</si>
  <si>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</si>
  <si>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</si>
  <si>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</si>
  <si>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</si>
  <si>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</si>
  <si>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</si>
  <si>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</si>
  <si>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</si>
  <si>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</si>
  <si>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</si>
  <si>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</si>
  <si>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</si>
  <si>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</si>
  <si>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</si>
  <si>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</si>
  <si>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</si>
  <si>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</si>
  <si>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</si>
  <si>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</si>
  <si>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</si>
  <si>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</si>
  <si>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</si>
  <si>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</si>
  <si>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</si>
  <si>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</si>
  <si>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</si>
  <si>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</si>
  <si>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</si>
  <si>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</si>
  <si>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</si>
  <si>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</si>
  <si>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</si>
  <si>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</si>
  <si>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</si>
  <si>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</si>
  <si>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</si>
  <si>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</si>
  <si>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</si>
  <si>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</si>
  <si>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</si>
  <si>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</si>
  <si>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</si>
  <si>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</si>
  <si>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</si>
  <si>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</si>
  <si>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</si>
  <si>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</si>
  <si>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</si>
  <si>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</si>
  <si>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</si>
  <si>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</si>
  <si>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</si>
  <si>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</si>
  <si>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</si>
  <si>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</si>
  <si>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</si>
  <si>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</si>
  <si>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</si>
  <si>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</si>
  <si>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</si>
  <si>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</si>
  <si>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</si>
  <si>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</si>
  <si>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</si>
  <si>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</si>
  <si>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</si>
  <si>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</si>
  <si>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</si>
  <si>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</si>
  <si>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</si>
  <si>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</si>
  <si>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</si>
  <si>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</si>
  <si>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</si>
  <si>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</si>
  <si>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</si>
  <si>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</si>
  <si>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</si>
  <si>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</si>
  <si>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</si>
  <si>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</si>
  <si>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</si>
  <si>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</si>
  <si>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</si>
  <si>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</si>
  <si>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</si>
  <si>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</si>
  <si>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</si>
  <si>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</si>
  <si>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</si>
  <si>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</si>
  <si>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</si>
  <si>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</si>
  <si>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</si>
  <si>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</si>
  <si>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</si>
  <si>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</si>
  <si>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</si>
  <si>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</si>
  <si>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</si>
  <si>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</si>
  <si>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</si>
  <si>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</si>
  <si>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</si>
  <si>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</si>
  <si>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</si>
  <si>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</si>
  <si>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</si>
  <si>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</si>
  <si>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</si>
  <si>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</si>
  <si>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</si>
  <si>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</si>
  <si>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</si>
  <si>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</si>
  <si>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</si>
  <si>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</si>
  <si>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</si>
  <si>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</si>
  <si>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</si>
  <si>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</si>
  <si>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</si>
  <si>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</si>
  <si>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</si>
  <si>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</si>
  <si>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</si>
  <si>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</si>
  <si>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</si>
  <si>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</si>
  <si>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</si>
  <si>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</si>
  <si>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</si>
  <si>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</si>
  <si>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</si>
  <si>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</si>
  <si>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</si>
  <si>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</si>
  <si>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</si>
  <si>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</si>
  <si>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</si>
  <si>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</si>
  <si>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</si>
  <si>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</si>
  <si>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</si>
  <si>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</si>
  <si>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</si>
  <si>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</si>
  <si>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</si>
  <si>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</si>
  <si>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</si>
  <si>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</si>
  <si>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</si>
  <si>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</si>
  <si>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</si>
  <si>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</si>
  <si>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</si>
  <si>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</si>
  <si>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</si>
  <si>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</si>
  <si>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</si>
  <si>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</si>
  <si>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</si>
  <si>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</si>
  <si>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</si>
  <si>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</si>
  <si>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</si>
  <si>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</si>
  <si>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</si>
  <si>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</si>
  <si>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</si>
  <si>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</si>
  <si>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</si>
  <si>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</si>
  <si>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</si>
  <si>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</si>
  <si>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</si>
  <si>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</si>
  <si>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</si>
  <si>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</si>
  <si>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</si>
  <si>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</si>
  <si>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</si>
  <si>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</si>
  <si>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</si>
  <si>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</si>
  <si>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</si>
  <si>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</si>
  <si>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</si>
  <si>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</si>
  <si>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</si>
  <si>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</si>
  <si>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</si>
  <si>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</si>
  <si>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</si>
  <si>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</si>
  <si>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</si>
  <si>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</si>
  <si>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</si>
  <si>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</si>
  <si>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</si>
  <si>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</si>
  <si>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</si>
  <si>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</si>
  <si>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</si>
  <si>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</si>
  <si>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</si>
  <si>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</si>
  <si>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</si>
  <si>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</si>
  <si>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</si>
  <si>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</si>
  <si>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</si>
  <si>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</si>
  <si>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</si>
  <si>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</si>
  <si>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</si>
  <si>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</si>
  <si>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</si>
  <si>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</si>
  <si>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</si>
  <si>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</si>
  <si>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</si>
  <si>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</si>
  <si>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</si>
  <si>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</si>
  <si>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</si>
  <si>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</si>
  <si>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</si>
  <si>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</si>
  <si>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</si>
  <si>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</si>
  <si>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</si>
  <si>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</si>
  <si>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</si>
  <si>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</si>
  <si>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</si>
  <si>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</si>
  <si>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</si>
  <si>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</si>
  <si>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</si>
  <si>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</si>
  <si>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</si>
  <si>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</si>
  <si>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</si>
  <si>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</si>
  <si>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</si>
  <si>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</si>
  <si>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</si>
  <si>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</si>
  <si>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</si>
  <si>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</si>
  <si>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</si>
  <si>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</si>
  <si>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</si>
  <si>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</si>
  <si>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</si>
  <si>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</si>
  <si>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</si>
  <si>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</si>
  <si>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</si>
  <si>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</si>
  <si>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</si>
  <si>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</si>
  <si>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</si>
  <si>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</si>
  <si>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</si>
  <si>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</si>
  <si>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</si>
  <si>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</si>
  <si>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</si>
  <si>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</si>
  <si>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</si>
  <si>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</si>
  <si>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</si>
  <si>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</si>
  <si>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</si>
  <si>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</si>
  <si>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</si>
  <si>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</si>
  <si>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</si>
  <si>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</si>
  <si>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</si>
  <si>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</si>
  <si>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</si>
  <si>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</si>
  <si>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</si>
  <si>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</si>
  <si>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</si>
  <si>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</si>
  <si>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</si>
  <si>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</si>
  <si>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</si>
  <si>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</si>
  <si>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</si>
  <si>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</si>
  <si>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</si>
  <si>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</si>
  <si>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</si>
  <si>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</si>
  <si>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</si>
  <si>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</si>
  <si>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</si>
  <si>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</si>
  <si>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</si>
  <si>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</si>
  <si>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</si>
  <si>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</si>
  <si>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</si>
  <si>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</si>
  <si>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</si>
  <si>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</si>
  <si>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</si>
  <si>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</si>
  <si>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</si>
  <si>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</si>
  <si>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</si>
  <si>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</si>
  <si>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</si>
  <si>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</si>
  <si>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</si>
  <si>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</si>
  <si>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</si>
  <si>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</si>
  <si>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</si>
  <si>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</si>
  <si>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</si>
  <si>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</si>
  <si>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</si>
  <si>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</si>
  <si>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</si>
  <si>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</si>
  <si>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</si>
  <si>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</si>
  <si>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</si>
  <si>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</si>
  <si>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</si>
  <si>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</si>
  <si>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</si>
  <si>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</si>
  <si>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</si>
  <si>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</si>
  <si>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</si>
  <si>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</si>
  <si>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</si>
  <si>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</si>
  <si>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</si>
  <si>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</si>
  <si>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</si>
  <si>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</si>
  <si>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</si>
  <si>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</si>
  <si>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</si>
  <si>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</si>
  <si>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</si>
  <si>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</si>
  <si>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</si>
  <si>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</si>
  <si>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</si>
  <si>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</si>
  <si>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</si>
  <si>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</si>
  <si>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</si>
  <si>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</si>
  <si>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</si>
  <si>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</si>
  <si>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</si>
  <si>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</si>
  <si>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</si>
  <si>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</si>
  <si>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</si>
  <si>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</si>
  <si>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</si>
  <si>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</si>
  <si>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</si>
  <si>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</si>
  <si>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</si>
  <si>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</si>
  <si>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</si>
  <si>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</si>
  <si>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</si>
  <si>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</si>
  <si>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</si>
  <si>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</si>
  <si>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</si>
  <si>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</si>
  <si>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</si>
  <si>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</si>
  <si>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</si>
  <si>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</si>
  <si>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</si>
  <si>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</si>
  <si>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</si>
  <si>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</si>
  <si>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</si>
  <si>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</si>
  <si>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</si>
  <si>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</si>
  <si>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</si>
  <si>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</si>
  <si>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</si>
  <si>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</si>
  <si>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</si>
  <si>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</si>
  <si>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</si>
  <si>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</si>
  <si>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</si>
  <si>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</si>
  <si>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</si>
  <si>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</si>
  <si>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</si>
  <si>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</si>
  <si>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</si>
  <si>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</si>
  <si>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</si>
  <si>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</si>
  <si>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</si>
  <si>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</si>
  <si>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</si>
  <si>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</si>
  <si>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</si>
  <si>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</si>
  <si>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</si>
  <si>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</si>
  <si>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</si>
  <si>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</si>
  <si>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</si>
  <si>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</si>
  <si>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</si>
  <si>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</si>
  <si>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</si>
  <si>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</si>
  <si>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</si>
  <si>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</si>
  <si>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</si>
  <si>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</si>
  <si>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</si>
  <si>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</si>
  <si>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</si>
  <si>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</si>
  <si>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</si>
  <si>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</si>
  <si>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</si>
  <si>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</si>
  <si>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</si>
  <si>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</si>
  <si>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</si>
  <si>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</si>
  <si>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</si>
  <si>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</si>
  <si>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</si>
  <si>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</si>
  <si>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</si>
  <si>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</si>
  <si>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</si>
  <si>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</si>
  <si>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</si>
  <si>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</si>
  <si>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</si>
  <si>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</si>
  <si>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</si>
  <si>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</si>
  <si>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</si>
  <si>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</si>
  <si>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</si>
  <si>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</si>
  <si>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</si>
  <si>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</si>
  <si>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</si>
  <si>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</si>
  <si>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</si>
  <si>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</si>
  <si>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</si>
  <si>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</si>
  <si>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</si>
  <si>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</si>
  <si>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</si>
  <si>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</si>
  <si>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</si>
  <si>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</si>
  <si>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</si>
  <si>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</si>
  <si>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</si>
  <si>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</si>
  <si>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</si>
  <si>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</si>
  <si>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</si>
  <si>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</si>
  <si>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</si>
  <si>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</si>
  <si>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</si>
  <si>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</si>
  <si>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</si>
  <si>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</si>
  <si>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</si>
  <si>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</si>
  <si>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</si>
  <si>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</si>
  <si>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</si>
  <si>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</si>
  <si>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</si>
  <si>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</si>
  <si>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</si>
  <si>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</si>
  <si>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</si>
  <si>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</si>
  <si>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</si>
  <si>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</si>
  <si>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</si>
  <si>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</si>
  <si>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</si>
  <si>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</si>
  <si>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</si>
  <si>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</si>
  <si>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</si>
  <si>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</si>
  <si>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</si>
  <si>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</si>
  <si>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</si>
  <si>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</si>
  <si>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</si>
  <si>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</si>
  <si>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</si>
  <si>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</si>
  <si>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</si>
  <si>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</si>
  <si>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</si>
  <si>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</si>
  <si>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</si>
  <si>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</si>
  <si>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</si>
  <si>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</si>
  <si>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</si>
  <si>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</si>
  <si>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</si>
  <si>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</si>
  <si>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</si>
  <si>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</si>
  <si>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</si>
  <si>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</si>
  <si>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</si>
  <si>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</si>
  <si>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</si>
  <si>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</si>
  <si>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</si>
  <si>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</si>
  <si>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</si>
  <si>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</si>
  <si>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</si>
  <si>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</si>
  <si>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</si>
  <si>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</si>
  <si>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</si>
  <si>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</si>
  <si>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</si>
  <si>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</si>
  <si>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</si>
  <si>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</si>
  <si>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</si>
  <si>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</si>
  <si>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</si>
  <si>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</si>
  <si>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</si>
  <si>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</si>
  <si>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</si>
  <si>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</si>
  <si>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</si>
  <si>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</si>
  <si>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</si>
  <si>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</si>
  <si>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</si>
  <si>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</si>
  <si>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</si>
  <si>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</si>
  <si>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</si>
  <si>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</si>
  <si>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</si>
  <si>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</si>
  <si>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</si>
  <si>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</si>
  <si>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</si>
  <si>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</si>
  <si>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</si>
  <si>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</si>
  <si>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</si>
  <si>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</si>
  <si>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</si>
  <si>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</si>
  <si>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</si>
  <si>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</si>
  <si>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</si>
  <si>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</si>
  <si>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</si>
  <si>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</si>
  <si>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</si>
  <si>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</si>
  <si>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</si>
  <si>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</si>
  <si>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</si>
  <si>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</si>
  <si>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</si>
  <si>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</si>
  <si>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</si>
  <si>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</si>
  <si>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</si>
  <si>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</si>
  <si>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</si>
  <si>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</si>
  <si>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</si>
  <si>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</si>
  <si>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</si>
  <si>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</si>
  <si>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</si>
  <si>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</si>
  <si>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</si>
  <si>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</si>
  <si>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</si>
  <si>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</si>
  <si>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</si>
  <si>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</si>
  <si>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</si>
  <si>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</si>
  <si>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</si>
  <si>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</si>
  <si>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</si>
  <si>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</si>
  <si>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</si>
  <si>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</si>
  <si>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</si>
  <si>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</si>
  <si>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</si>
  <si>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</si>
  <si>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</si>
  <si>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</si>
  <si>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</si>
  <si>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</si>
  <si>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</si>
  <si>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</si>
  <si>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</si>
  <si>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</si>
  <si>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</si>
  <si>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</si>
  <si>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</si>
  <si>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</si>
  <si>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</si>
  <si>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</si>
  <si>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</si>
  <si>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</si>
  <si>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</si>
  <si>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</si>
  <si>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</si>
  <si>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</si>
  <si>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</si>
  <si>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</si>
  <si>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</si>
  <si>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</si>
  <si>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</si>
  <si>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</si>
  <si>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</si>
  <si>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</si>
  <si>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</si>
  <si>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</si>
  <si>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</si>
  <si>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</si>
  <si>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</si>
  <si>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</si>
  <si>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</si>
  <si>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</si>
  <si>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</si>
  <si>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</si>
  <si>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</si>
  <si>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</si>
  <si>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</si>
  <si>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</si>
  <si>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</si>
  <si>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</si>
  <si>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</si>
  <si>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</si>
  <si>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</si>
  <si>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</si>
  <si>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</si>
  <si>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</si>
  <si>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</si>
  <si>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</si>
  <si>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</si>
  <si>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</si>
  <si>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</si>
  <si>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</si>
  <si>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</si>
  <si>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</si>
  <si>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</si>
  <si>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</si>
  <si>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</si>
  <si>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</si>
  <si>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</si>
  <si>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</si>
  <si>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</si>
  <si>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</si>
  <si>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</si>
  <si>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</si>
  <si>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</si>
  <si>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</si>
  <si>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</si>
  <si>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</si>
  <si>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</si>
  <si>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</si>
  <si>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</si>
  <si>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</si>
  <si>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</si>
  <si>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</si>
  <si>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</si>
  <si>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</si>
  <si>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</si>
  <si>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</si>
  <si>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</si>
  <si>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</si>
  <si>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</si>
  <si>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</si>
  <si>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</si>
  <si>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</si>
  <si>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</si>
  <si>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</si>
  <si>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</si>
  <si>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</si>
  <si>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</si>
  <si>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</si>
  <si>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</si>
  <si>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</si>
  <si>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</si>
  <si>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</si>
  <si>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</si>
  <si>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</si>
  <si>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</si>
  <si>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13037</t>
  </si>
  <si>
    <t>RIJKEVORSEL</t>
  </si>
  <si>
    <t>Cultuurgrond (ha)</t>
  </si>
  <si>
    <t>Paarden&amp;pony's 200 - 600 kg</t>
  </si>
  <si>
    <t>Paarden&amp;pony's &lt; 200 kg</t>
  </si>
  <si>
    <t>Fluvius</t>
  </si>
  <si>
    <t>referentietaak LNE (2017); Jaarverslag De Lijn</t>
  </si>
  <si>
    <t>VGT Energie cvba</t>
  </si>
  <si>
    <t>Bolksedijk 8, 2310 Rijkevorsel</t>
  </si>
  <si>
    <t>WKK-0014 VGT Rijkevorsel</t>
  </si>
  <si>
    <t>interne verbrandingsmotor</t>
  </si>
  <si>
    <t>WKK interne verbrandinsgmotor (gas)</t>
  </si>
  <si>
    <t>Bolkse dijk 8, 2310 Rijkevorsel</t>
  </si>
  <si>
    <t>IVEKA</t>
  </si>
  <si>
    <t>Tomana bvba</t>
  </si>
  <si>
    <t>Brandgravenweg 7, 2310 Rijkevorsel</t>
  </si>
  <si>
    <t>WKK-0148 Tomana bvba</t>
  </si>
  <si>
    <t>BIO7 nv</t>
  </si>
  <si>
    <t>Berkenrijs 6, 2960 Sint-Lenaarts</t>
  </si>
  <si>
    <t>WKK-0154 Bio7</t>
  </si>
  <si>
    <t>Berkenrijs 6, 2310 Rijkevorsel</t>
  </si>
  <si>
    <t>Hortigro bvba</t>
  </si>
  <si>
    <t>Helhoek 23, 2310 Rijkevorsel</t>
  </si>
  <si>
    <t>WKK-0142 Hortigro bvba</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</si>
  <si>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</si>
  <si>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</si>
  <si>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</si>
  <si>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</si>
  <si>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</si>
  <si>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</si>
  <si>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</si>
  <si>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</si>
  <si>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</si>
  <si>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Stoffels bvba</t>
  </si>
  <si>
    <t>Kleine Gammel 61, 2310 Rijkevorsel</t>
  </si>
  <si>
    <t>WKK-0112 Stoffels</t>
  </si>
  <si>
    <t>Biolectric nv</t>
  </si>
  <si>
    <t>Jan de Malschelaan 4 B, 9140 Temse</t>
  </si>
  <si>
    <t>WKK-0477 Raf Van Riel</t>
  </si>
  <si>
    <t>Helhoek 19 , 2310 Rijkevorsel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</si>
</sst>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101978.62755103374</c:v>
                </c:pt>
                <c:pt idx="1">
                  <c:v>37696.683159395434</c:v>
                </c:pt>
                <c:pt idx="2">
                  <c:v>744.16899999999998</c:v>
                </c:pt>
                <c:pt idx="3">
                  <c:v>201887.78735703288</c:v>
                </c:pt>
                <c:pt idx="4">
                  <c:v>38205.457630839228</c:v>
                </c:pt>
                <c:pt idx="5">
                  <c:v>53162.797322601138</c:v>
                </c:pt>
                <c:pt idx="6">
                  <c:v>1449.7818749888218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101978.62755103374</c:v>
                </c:pt>
                <c:pt idx="1">
                  <c:v>37696.683159395434</c:v>
                </c:pt>
                <c:pt idx="2">
                  <c:v>744.16899999999998</c:v>
                </c:pt>
                <c:pt idx="3">
                  <c:v>201887.78735703288</c:v>
                </c:pt>
                <c:pt idx="4">
                  <c:v>38205.457630839228</c:v>
                </c:pt>
                <c:pt idx="5">
                  <c:v>53162.797322601138</c:v>
                </c:pt>
                <c:pt idx="6">
                  <c:v>1449.7818749888218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16822.134726715176</c:v>
                </c:pt>
                <c:pt idx="2">
                  <c:v>7574.4512057930961</c:v>
                </c:pt>
                <c:pt idx="3">
                  <c:v>152.91367466397605</c:v>
                </c:pt>
                <c:pt idx="4">
                  <c:v>44019.718003038201</c:v>
                </c:pt>
                <c:pt idx="5">
                  <c:v>7963.2265194218107</c:v>
                </c:pt>
                <c:pt idx="6">
                  <c:v>13445.919723390756</c:v>
                </c:pt>
                <c:pt idx="7">
                  <c:v>370.59621643704907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16822.134726715176</c:v>
                </c:pt>
                <c:pt idx="2">
                  <c:v>7574.4512057930961</c:v>
                </c:pt>
                <c:pt idx="3">
                  <c:v>152.91367466397605</c:v>
                </c:pt>
                <c:pt idx="4">
                  <c:v>44019.718003038201</c:v>
                </c:pt>
                <c:pt idx="5">
                  <c:v>7963.2265194218107</c:v>
                </c:pt>
                <c:pt idx="6">
                  <c:v>13445.919723390756</c:v>
                </c:pt>
                <c:pt idx="7">
                  <c:v>370.59621643704907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13037</v>
      </c>
      <c r="B6" s="395"/>
      <c r="C6" s="396"/>
    </row>
    <row r="7" spans="1:7" s="393" customFormat="1" ht="15.75" customHeight="1">
      <c r="A7" s="397" t="str">
        <f>txtMunicipality</f>
        <v>RIJKEVORSEL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0.20548245716225219</v>
      </c>
      <c r="C17" s="508">
        <f ca="1">'EF ele_warmte'!B22</f>
        <v>0.21229168805184187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0.20548245716225219</v>
      </c>
      <c r="C29" s="509">
        <f ca="1">'EF ele_warmte'!B22</f>
        <v>0.21229168805184187</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4475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2827</v>
      </c>
      <c r="C14" s="332"/>
      <c r="D14" s="332"/>
      <c r="E14" s="332"/>
      <c r="F14" s="332"/>
    </row>
    <row r="15" spans="1:6">
      <c r="A15" s="1306" t="s">
        <v>183</v>
      </c>
      <c r="B15" s="1307">
        <v>1592</v>
      </c>
      <c r="C15" s="332"/>
      <c r="D15" s="332"/>
      <c r="E15" s="332"/>
      <c r="F15" s="332"/>
    </row>
    <row r="16" spans="1:6">
      <c r="A16" s="1306" t="s">
        <v>6</v>
      </c>
      <c r="B16" s="1307">
        <v>2299</v>
      </c>
      <c r="C16" s="332"/>
      <c r="D16" s="332"/>
      <c r="E16" s="332"/>
      <c r="F16" s="332"/>
    </row>
    <row r="17" spans="1:6">
      <c r="A17" s="1306" t="s">
        <v>7</v>
      </c>
      <c r="B17" s="1307">
        <v>640</v>
      </c>
      <c r="C17" s="332"/>
      <c r="D17" s="332"/>
      <c r="E17" s="332"/>
      <c r="F17" s="332"/>
    </row>
    <row r="18" spans="1:6">
      <c r="A18" s="1306" t="s">
        <v>8</v>
      </c>
      <c r="B18" s="1307">
        <v>1878</v>
      </c>
      <c r="C18" s="332"/>
      <c r="D18" s="332"/>
      <c r="E18" s="332"/>
      <c r="F18" s="332"/>
    </row>
    <row r="19" spans="1:6">
      <c r="A19" s="1306" t="s">
        <v>9</v>
      </c>
      <c r="B19" s="1307">
        <v>1630</v>
      </c>
      <c r="C19" s="332"/>
      <c r="D19" s="332"/>
      <c r="E19" s="332"/>
      <c r="F19" s="332"/>
    </row>
    <row r="20" spans="1:6">
      <c r="A20" s="1306" t="s">
        <v>10</v>
      </c>
      <c r="B20" s="1307">
        <v>1417</v>
      </c>
      <c r="C20" s="332"/>
      <c r="D20" s="332"/>
      <c r="E20" s="332"/>
      <c r="F20" s="332"/>
    </row>
    <row r="21" spans="1:6">
      <c r="A21" s="1306" t="s">
        <v>11</v>
      </c>
      <c r="B21" s="1307">
        <v>19041</v>
      </c>
      <c r="C21" s="332"/>
      <c r="D21" s="332"/>
      <c r="E21" s="332"/>
      <c r="F21" s="332"/>
    </row>
    <row r="22" spans="1:6">
      <c r="A22" s="1306" t="s">
        <v>12</v>
      </c>
      <c r="B22" s="1307">
        <v>37656</v>
      </c>
      <c r="C22" s="332"/>
      <c r="D22" s="332"/>
      <c r="E22" s="332"/>
      <c r="F22" s="332"/>
    </row>
    <row r="23" spans="1:6">
      <c r="A23" s="1306" t="s">
        <v>13</v>
      </c>
      <c r="B23" s="1307">
        <v>599</v>
      </c>
      <c r="C23" s="332"/>
      <c r="D23" s="332"/>
      <c r="E23" s="332"/>
      <c r="F23" s="332"/>
    </row>
    <row r="24" spans="1:6">
      <c r="A24" s="1306" t="s">
        <v>14</v>
      </c>
      <c r="B24" s="1307">
        <v>58</v>
      </c>
      <c r="C24" s="332"/>
      <c r="D24" s="332"/>
      <c r="E24" s="332"/>
      <c r="F24" s="332"/>
    </row>
    <row r="25" spans="1:6">
      <c r="A25" s="1306" t="s">
        <v>15</v>
      </c>
      <c r="B25" s="1307">
        <v>3094</v>
      </c>
      <c r="C25" s="332"/>
      <c r="D25" s="332"/>
      <c r="E25" s="332"/>
      <c r="F25" s="332"/>
    </row>
    <row r="26" spans="1:6">
      <c r="A26" s="1306" t="s">
        <v>16</v>
      </c>
      <c r="B26" s="1307">
        <v>124</v>
      </c>
      <c r="C26" s="332"/>
      <c r="D26" s="332"/>
      <c r="E26" s="332"/>
      <c r="F26" s="332"/>
    </row>
    <row r="27" spans="1:6">
      <c r="A27" s="1306" t="s">
        <v>17</v>
      </c>
      <c r="B27" s="1307">
        <v>0</v>
      </c>
      <c r="C27" s="332"/>
      <c r="D27" s="332"/>
      <c r="E27" s="332"/>
      <c r="F27" s="332"/>
    </row>
    <row r="28" spans="1:6" s="43" customFormat="1">
      <c r="A28" s="1308" t="s">
        <v>18</v>
      </c>
      <c r="B28" s="1309">
        <v>571417</v>
      </c>
      <c r="C28" s="338"/>
      <c r="D28" s="338"/>
      <c r="E28" s="338"/>
      <c r="F28" s="338"/>
    </row>
    <row r="29" spans="1:6">
      <c r="A29" s="1308" t="s">
        <v>916</v>
      </c>
      <c r="B29" s="1309">
        <v>90</v>
      </c>
      <c r="C29" s="338"/>
      <c r="D29" s="338"/>
      <c r="E29" s="338"/>
      <c r="F29" s="338"/>
    </row>
    <row r="30" spans="1:6">
      <c r="A30" s="1301" t="s">
        <v>917</v>
      </c>
      <c r="B30" s="1310">
        <v>16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7</v>
      </c>
      <c r="F35" s="1307">
        <v>9782707.0144315492</v>
      </c>
    </row>
    <row r="36" spans="1:6">
      <c r="A36" s="1306" t="s">
        <v>24</v>
      </c>
      <c r="B36" s="1306" t="s">
        <v>26</v>
      </c>
      <c r="C36" s="1307">
        <v>0</v>
      </c>
      <c r="D36" s="1307">
        <v>0</v>
      </c>
      <c r="E36" s="1307">
        <v>3</v>
      </c>
      <c r="F36" s="1307">
        <v>339800.13993171998</v>
      </c>
    </row>
    <row r="37" spans="1:6">
      <c r="A37" s="1306" t="s">
        <v>24</v>
      </c>
      <c r="B37" s="1306" t="s">
        <v>27</v>
      </c>
      <c r="C37" s="1307">
        <v>0</v>
      </c>
      <c r="D37" s="1307">
        <v>0</v>
      </c>
      <c r="E37" s="1307">
        <v>0</v>
      </c>
      <c r="F37" s="1307">
        <v>0</v>
      </c>
    </row>
    <row r="38" spans="1:6">
      <c r="A38" s="1306" t="s">
        <v>24</v>
      </c>
      <c r="B38" s="1306" t="s">
        <v>28</v>
      </c>
      <c r="C38" s="1307">
        <v>4</v>
      </c>
      <c r="D38" s="1307">
        <v>85922905.680595607</v>
      </c>
      <c r="E38" s="1307">
        <v>4</v>
      </c>
      <c r="F38" s="1307">
        <v>1008302.7996845701</v>
      </c>
    </row>
    <row r="39" spans="1:6">
      <c r="A39" s="1306" t="s">
        <v>29</v>
      </c>
      <c r="B39" s="1306" t="s">
        <v>30</v>
      </c>
      <c r="C39" s="1307">
        <v>3033</v>
      </c>
      <c r="D39" s="1307">
        <v>58579141.886129498</v>
      </c>
      <c r="E39" s="1307">
        <v>4506</v>
      </c>
      <c r="F39" s="1307">
        <v>20203827.242512099</v>
      </c>
    </row>
    <row r="40" spans="1:6">
      <c r="A40" s="1306" t="s">
        <v>29</v>
      </c>
      <c r="B40" s="1306" t="s">
        <v>28</v>
      </c>
      <c r="C40" s="1307">
        <v>0</v>
      </c>
      <c r="D40" s="1307">
        <v>0</v>
      </c>
      <c r="E40" s="1307">
        <v>0</v>
      </c>
      <c r="F40" s="1307">
        <v>0</v>
      </c>
    </row>
    <row r="41" spans="1:6">
      <c r="A41" s="1306" t="s">
        <v>31</v>
      </c>
      <c r="B41" s="1306" t="s">
        <v>32</v>
      </c>
      <c r="C41" s="1307">
        <v>43</v>
      </c>
      <c r="D41" s="1307">
        <v>1306030.3671804499</v>
      </c>
      <c r="E41" s="1307">
        <v>113</v>
      </c>
      <c r="F41" s="1307">
        <v>3333451.50716969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22</v>
      </c>
      <c r="F44" s="1307">
        <v>516422.30033599201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21692.248413629601</v>
      </c>
    </row>
    <row r="48" spans="1:6">
      <c r="A48" s="1306" t="s">
        <v>31</v>
      </c>
      <c r="B48" s="1306" t="s">
        <v>28</v>
      </c>
      <c r="C48" s="1307">
        <v>20</v>
      </c>
      <c r="D48" s="1307">
        <v>17673440.304624099</v>
      </c>
      <c r="E48" s="1307">
        <v>24</v>
      </c>
      <c r="F48" s="1307">
        <v>8841643.6221954003</v>
      </c>
    </row>
    <row r="49" spans="1:6">
      <c r="A49" s="1306" t="s">
        <v>31</v>
      </c>
      <c r="B49" s="1306" t="s">
        <v>39</v>
      </c>
      <c r="C49" s="1307">
        <v>0</v>
      </c>
      <c r="D49" s="1307">
        <v>0</v>
      </c>
      <c r="E49" s="1307">
        <v>0</v>
      </c>
      <c r="F49" s="1307">
        <v>0</v>
      </c>
    </row>
    <row r="50" spans="1:6">
      <c r="A50" s="1306" t="s">
        <v>31</v>
      </c>
      <c r="B50" s="1306" t="s">
        <v>40</v>
      </c>
      <c r="C50" s="1307">
        <v>7</v>
      </c>
      <c r="D50" s="1307">
        <v>660462.94728892797</v>
      </c>
      <c r="E50" s="1307">
        <v>9</v>
      </c>
      <c r="F50" s="1307">
        <v>418843.59459059802</v>
      </c>
    </row>
    <row r="51" spans="1:6">
      <c r="A51" s="1306" t="s">
        <v>41</v>
      </c>
      <c r="B51" s="1306" t="s">
        <v>42</v>
      </c>
      <c r="C51" s="1307">
        <v>12</v>
      </c>
      <c r="D51" s="1307">
        <v>278462115.90271401</v>
      </c>
      <c r="E51" s="1307">
        <v>143</v>
      </c>
      <c r="F51" s="1307">
        <v>5657792.6777315699</v>
      </c>
    </row>
    <row r="52" spans="1:6">
      <c r="A52" s="1306" t="s">
        <v>41</v>
      </c>
      <c r="B52" s="1306" t="s">
        <v>28</v>
      </c>
      <c r="C52" s="1307">
        <v>11</v>
      </c>
      <c r="D52" s="1307">
        <v>4213683.6803335696</v>
      </c>
      <c r="E52" s="1307">
        <v>5</v>
      </c>
      <c r="F52" s="1307">
        <v>47041.021508407997</v>
      </c>
    </row>
    <row r="53" spans="1:6">
      <c r="A53" s="1306" t="s">
        <v>43</v>
      </c>
      <c r="B53" s="1306" t="s">
        <v>44</v>
      </c>
      <c r="C53" s="1307">
        <v>62</v>
      </c>
      <c r="D53" s="1307">
        <v>1285243.3124762501</v>
      </c>
      <c r="E53" s="1307">
        <v>125</v>
      </c>
      <c r="F53" s="1307">
        <v>649496.29011167702</v>
      </c>
    </row>
    <row r="54" spans="1:6">
      <c r="A54" s="1306" t="s">
        <v>45</v>
      </c>
      <c r="B54" s="1306" t="s">
        <v>46</v>
      </c>
      <c r="C54" s="1307">
        <v>0</v>
      </c>
      <c r="D54" s="1307">
        <v>0</v>
      </c>
      <c r="E54" s="1307">
        <v>1</v>
      </c>
      <c r="F54" s="1307">
        <v>744169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5</v>
      </c>
      <c r="D57" s="1307">
        <v>149610.84147365001</v>
      </c>
      <c r="E57" s="1307">
        <v>61</v>
      </c>
      <c r="F57" s="1307">
        <v>1453576.66257126</v>
      </c>
    </row>
    <row r="58" spans="1:6">
      <c r="A58" s="1306" t="s">
        <v>48</v>
      </c>
      <c r="B58" s="1306" t="s">
        <v>50</v>
      </c>
      <c r="C58" s="1307">
        <v>3</v>
      </c>
      <c r="D58" s="1307">
        <v>121186.559735384</v>
      </c>
      <c r="E58" s="1307">
        <v>9</v>
      </c>
      <c r="F58" s="1307">
        <v>105060.197164022</v>
      </c>
    </row>
    <row r="59" spans="1:6">
      <c r="A59" s="1306" t="s">
        <v>48</v>
      </c>
      <c r="B59" s="1306" t="s">
        <v>51</v>
      </c>
      <c r="C59" s="1307">
        <v>38</v>
      </c>
      <c r="D59" s="1307">
        <v>3384784.3397173001</v>
      </c>
      <c r="E59" s="1307">
        <v>96</v>
      </c>
      <c r="F59" s="1307">
        <v>4116541.1444595498</v>
      </c>
    </row>
    <row r="60" spans="1:6">
      <c r="A60" s="1306" t="s">
        <v>48</v>
      </c>
      <c r="B60" s="1306" t="s">
        <v>52</v>
      </c>
      <c r="C60" s="1307">
        <v>31</v>
      </c>
      <c r="D60" s="1307">
        <v>1394821.8690345199</v>
      </c>
      <c r="E60" s="1307">
        <v>46</v>
      </c>
      <c r="F60" s="1307">
        <v>1740592.3999779499</v>
      </c>
    </row>
    <row r="61" spans="1:6">
      <c r="A61" s="1306" t="s">
        <v>48</v>
      </c>
      <c r="B61" s="1306" t="s">
        <v>53</v>
      </c>
      <c r="C61" s="1307">
        <v>47</v>
      </c>
      <c r="D61" s="1307">
        <v>3129557.6623550602</v>
      </c>
      <c r="E61" s="1307">
        <v>117</v>
      </c>
      <c r="F61" s="1307">
        <v>1481098.4040640099</v>
      </c>
    </row>
    <row r="62" spans="1:6">
      <c r="A62" s="1306" t="s">
        <v>48</v>
      </c>
      <c r="B62" s="1306" t="s">
        <v>54</v>
      </c>
      <c r="C62" s="1307">
        <v>3</v>
      </c>
      <c r="D62" s="1307">
        <v>312312.274826976</v>
      </c>
      <c r="E62" s="1307">
        <v>4</v>
      </c>
      <c r="F62" s="1307">
        <v>81598.6546450553</v>
      </c>
    </row>
    <row r="63" spans="1:6">
      <c r="A63" s="1306" t="s">
        <v>48</v>
      </c>
      <c r="B63" s="1306" t="s">
        <v>28</v>
      </c>
      <c r="C63" s="1307">
        <v>68</v>
      </c>
      <c r="D63" s="1307">
        <v>4706977.1115561305</v>
      </c>
      <c r="E63" s="1307">
        <v>109</v>
      </c>
      <c r="F63" s="1307">
        <v>10619134.5660607</v>
      </c>
    </row>
    <row r="64" spans="1:6">
      <c r="A64" s="1306" t="s">
        <v>55</v>
      </c>
      <c r="B64" s="1306" t="s">
        <v>56</v>
      </c>
      <c r="C64" s="1307">
        <v>0</v>
      </c>
      <c r="D64" s="1307">
        <v>0</v>
      </c>
      <c r="E64" s="1307">
        <v>0</v>
      </c>
      <c r="F64" s="1307">
        <v>0</v>
      </c>
    </row>
    <row r="65" spans="1:6">
      <c r="A65" s="1306" t="s">
        <v>55</v>
      </c>
      <c r="B65" s="1306" t="s">
        <v>28</v>
      </c>
      <c r="C65" s="1307">
        <v>1</v>
      </c>
      <c r="D65" s="1307">
        <v>28482.148781802</v>
      </c>
      <c r="E65" s="1307">
        <v>1</v>
      </c>
      <c r="F65" s="1307">
        <v>8642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104576.089703825</v>
      </c>
      <c r="E68" s="1310">
        <v>10</v>
      </c>
      <c r="F68" s="1310">
        <v>429941.44583665399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46942293</v>
      </c>
      <c r="E73" s="456"/>
      <c r="F73" s="332"/>
    </row>
    <row r="74" spans="1:6">
      <c r="A74" s="1306" t="s">
        <v>63</v>
      </c>
      <c r="B74" s="1306" t="s">
        <v>724</v>
      </c>
      <c r="C74" s="1320" t="s">
        <v>725</v>
      </c>
      <c r="D74" s="1321">
        <v>5830579.9356731037</v>
      </c>
      <c r="E74" s="456"/>
      <c r="F74" s="332"/>
    </row>
    <row r="75" spans="1:6">
      <c r="A75" s="1306" t="s">
        <v>64</v>
      </c>
      <c r="B75" s="1306" t="s">
        <v>722</v>
      </c>
      <c r="C75" s="1320" t="s">
        <v>726</v>
      </c>
      <c r="D75" s="1321">
        <v>8868358</v>
      </c>
      <c r="E75" s="456"/>
      <c r="F75" s="332"/>
    </row>
    <row r="76" spans="1:6">
      <c r="A76" s="1306" t="s">
        <v>64</v>
      </c>
      <c r="B76" s="1306" t="s">
        <v>724</v>
      </c>
      <c r="C76" s="1320" t="s">
        <v>727</v>
      </c>
      <c r="D76" s="1321">
        <v>80262.935673103668</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383622.12865379266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2612.83819857559</v>
      </c>
      <c r="C91" s="332"/>
      <c r="D91" s="332"/>
      <c r="E91" s="332"/>
      <c r="F91" s="332"/>
    </row>
    <row r="92" spans="1:6">
      <c r="A92" s="1301" t="s">
        <v>68</v>
      </c>
      <c r="B92" s="1302">
        <v>1459.7613010219909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1914</v>
      </c>
      <c r="C97" s="332"/>
      <c r="D97" s="332"/>
      <c r="E97" s="332"/>
      <c r="F97" s="332"/>
    </row>
    <row r="98" spans="1:6">
      <c r="A98" s="1306" t="s">
        <v>71</v>
      </c>
      <c r="B98" s="1307">
        <v>6</v>
      </c>
      <c r="C98" s="332"/>
      <c r="D98" s="332"/>
      <c r="E98" s="332"/>
      <c r="F98" s="332"/>
    </row>
    <row r="99" spans="1:6">
      <c r="A99" s="1306" t="s">
        <v>72</v>
      </c>
      <c r="B99" s="1307">
        <v>114</v>
      </c>
      <c r="C99" s="332"/>
      <c r="D99" s="332"/>
      <c r="E99" s="332"/>
      <c r="F99" s="332"/>
    </row>
    <row r="100" spans="1:6">
      <c r="A100" s="1306" t="s">
        <v>73</v>
      </c>
      <c r="B100" s="1307">
        <v>381</v>
      </c>
      <c r="C100" s="332"/>
      <c r="D100" s="332"/>
      <c r="E100" s="332"/>
      <c r="F100" s="332"/>
    </row>
    <row r="101" spans="1:6">
      <c r="A101" s="1306" t="s">
        <v>74</v>
      </c>
      <c r="B101" s="1307">
        <v>105</v>
      </c>
      <c r="C101" s="332"/>
      <c r="D101" s="332"/>
      <c r="E101" s="332"/>
      <c r="F101" s="332"/>
    </row>
    <row r="102" spans="1:6">
      <c r="A102" s="1306" t="s">
        <v>75</v>
      </c>
      <c r="B102" s="1307">
        <v>41</v>
      </c>
      <c r="C102" s="332"/>
      <c r="D102" s="332"/>
      <c r="E102" s="332"/>
      <c r="F102" s="332"/>
    </row>
    <row r="103" spans="1:6">
      <c r="A103" s="1306" t="s">
        <v>76</v>
      </c>
      <c r="B103" s="1307">
        <v>117</v>
      </c>
      <c r="C103" s="332"/>
      <c r="D103" s="332"/>
      <c r="E103" s="332"/>
      <c r="F103" s="332"/>
    </row>
    <row r="104" spans="1:6">
      <c r="A104" s="1306" t="s">
        <v>77</v>
      </c>
      <c r="B104" s="1307">
        <v>1106</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12</v>
      </c>
      <c r="C123" s="1307">
        <v>7</v>
      </c>
      <c r="D123" s="332"/>
      <c r="E123" s="332"/>
      <c r="F123" s="332"/>
    </row>
    <row r="124" spans="1:6" s="43" customFormat="1">
      <c r="A124" s="1308" t="s">
        <v>88</v>
      </c>
      <c r="B124" s="1329">
        <v>2</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70</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62647.229069364243</v>
      </c>
      <c r="C3" s="43" t="s">
        <v>169</v>
      </c>
      <c r="D3" s="43"/>
      <c r="E3" s="156"/>
      <c r="F3" s="43"/>
      <c r="G3" s="43"/>
      <c r="H3" s="43"/>
      <c r="I3" s="43"/>
      <c r="J3" s="43"/>
      <c r="K3" s="96"/>
    </row>
    <row r="4" spans="1:11">
      <c r="A4" s="363" t="s">
        <v>170</v>
      </c>
      <c r="B4" s="49">
        <f>IF(ISERROR('SEAP template'!B78+'SEAP template'!C78),0,'SEAP template'!B78+'SEAP template'!C78)</f>
        <v>126971.61199959758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26090.438823529414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0.20548245716225219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37272.055462184879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175570.01785714287</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0.21229168805184187</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744.16899999999998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744.16899999999998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0.20548245716225219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152.91367466397605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20203.827242512099</v>
      </c>
      <c r="C5" s="17">
        <f>IF(ISERROR('Eigen informatie GS &amp; warmtenet'!B57),0,'Eigen informatie GS &amp; warmtenet'!B57)</f>
        <v>0</v>
      </c>
      <c r="D5" s="30">
        <f>(SUM(HH_hh_gas_kWh,HH_rest_gas_kWh)/1000)*0.902</f>
        <v>52838.385981288804</v>
      </c>
      <c r="E5" s="17">
        <f>B46*B57</f>
        <v>6151.5724716806571</v>
      </c>
      <c r="F5" s="17">
        <f>B51*B62</f>
        <v>0</v>
      </c>
      <c r="G5" s="18"/>
      <c r="H5" s="17"/>
      <c r="I5" s="17"/>
      <c r="J5" s="17">
        <f>B50*B61+C50*C61</f>
        <v>180.64782016832177</v>
      </c>
      <c r="K5" s="17"/>
      <c r="L5" s="17"/>
      <c r="M5" s="17"/>
      <c r="N5" s="17">
        <f>B48*B59+C48*C59</f>
        <v>19394.312503474932</v>
      </c>
      <c r="O5" s="17">
        <f>B69*B70*B71</f>
        <v>120.37666666666668</v>
      </c>
      <c r="P5" s="17">
        <f>B77*B78*B79/1000-B77*B78*B79/1000/B80</f>
        <v>476.66666666666663</v>
      </c>
    </row>
    <row r="6" spans="1:16">
      <c r="A6" s="16" t="s">
        <v>633</v>
      </c>
      <c r="B6" s="779">
        <f>kWh_PV_kleiner_dan_10kW</f>
        <v>2612.83819857559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22816.665441087691</v>
      </c>
      <c r="C8" s="21">
        <f>C5</f>
        <v>0</v>
      </c>
      <c r="D8" s="21">
        <f>D5</f>
        <v>52838.385981288804</v>
      </c>
      <c r="E8" s="21">
        <f>E5</f>
        <v>6151.5724716806571</v>
      </c>
      <c r="F8" s="21">
        <f>F5</f>
        <v>0</v>
      </c>
      <c r="G8" s="21"/>
      <c r="H8" s="21"/>
      <c r="I8" s="21"/>
      <c r="J8" s="21">
        <f>J5</f>
        <v>180.64782016832177</v>
      </c>
      <c r="K8" s="21"/>
      <c r="L8" s="21">
        <f>L5</f>
        <v>0</v>
      </c>
      <c r="M8" s="21">
        <f>M5</f>
        <v>0</v>
      </c>
      <c r="N8" s="21">
        <f>N5</f>
        <v>19394.312503474932</v>
      </c>
      <c r="O8" s="21">
        <f>O5</f>
        <v>120.37666666666668</v>
      </c>
      <c r="P8" s="21">
        <f>P5</f>
        <v>476.66666666666663</v>
      </c>
    </row>
    <row r="9" spans="1:16">
      <c r="B9" s="19"/>
      <c r="C9" s="19"/>
      <c r="D9" s="261"/>
      <c r="E9" s="19"/>
      <c r="F9" s="19"/>
      <c r="G9" s="19"/>
      <c r="H9" s="19"/>
      <c r="I9" s="19"/>
      <c r="J9" s="19"/>
      <c r="K9" s="19"/>
      <c r="L9" s="19"/>
      <c r="M9" s="19"/>
      <c r="N9" s="19"/>
      <c r="O9" s="19"/>
      <c r="P9" s="19"/>
    </row>
    <row r="10" spans="1:16">
      <c r="A10" s="24" t="s">
        <v>213</v>
      </c>
      <c r="B10" s="25">
        <f ca="1">'EF ele_warmte'!B12</f>
        <v>0.20548245716225219</v>
      </c>
      <c r="C10" s="25">
        <f ca="1">'EF ele_warmte'!B22</f>
        <v>0.21229168805184187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4688.4244790837411</v>
      </c>
      <c r="C12" s="23">
        <f ca="1">C10*C8</f>
        <v>0</v>
      </c>
      <c r="D12" s="23">
        <f>D8*D10</f>
        <v>10673.353968220339</v>
      </c>
      <c r="E12" s="23">
        <f>E10*E8</f>
        <v>1396.4069510715092</v>
      </c>
      <c r="F12" s="23">
        <f>F10*F8</f>
        <v>0</v>
      </c>
      <c r="G12" s="23"/>
      <c r="H12" s="23"/>
      <c r="I12" s="23"/>
      <c r="J12" s="23">
        <f>J10*J8</f>
        <v>63.949328339585904</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1914</v>
      </c>
      <c r="C18" s="168" t="s">
        <v>110</v>
      </c>
      <c r="D18" s="230"/>
      <c r="E18" s="15"/>
    </row>
    <row r="19" spans="1:7">
      <c r="A19" s="173" t="s">
        <v>71</v>
      </c>
      <c r="B19" s="37">
        <f>aantalw2001_ander</f>
        <v>6</v>
      </c>
      <c r="C19" s="168" t="s">
        <v>110</v>
      </c>
      <c r="D19" s="231"/>
      <c r="E19" s="15"/>
    </row>
    <row r="20" spans="1:7">
      <c r="A20" s="173" t="s">
        <v>72</v>
      </c>
      <c r="B20" s="37">
        <f>aantalw2001_propaan</f>
        <v>114</v>
      </c>
      <c r="C20" s="169">
        <f>IF(ISERROR(B20/SUM($B$20,$B$21,$B$22)*100),0,B20/SUM($B$20,$B$21,$B$22)*100)</f>
        <v>19</v>
      </c>
      <c r="D20" s="231"/>
      <c r="E20" s="15"/>
    </row>
    <row r="21" spans="1:7">
      <c r="A21" s="173" t="s">
        <v>73</v>
      </c>
      <c r="B21" s="37">
        <f>aantalw2001_elektriciteit</f>
        <v>381</v>
      </c>
      <c r="C21" s="169">
        <f>IF(ISERROR(B21/SUM($B$20,$B$21,$B$22)*100),0,B21/SUM($B$20,$B$21,$B$22)*100)</f>
        <v>63.5</v>
      </c>
      <c r="D21" s="231"/>
      <c r="E21" s="15"/>
    </row>
    <row r="22" spans="1:7">
      <c r="A22" s="173" t="s">
        <v>74</v>
      </c>
      <c r="B22" s="37">
        <f>aantalw2001_hout</f>
        <v>105</v>
      </c>
      <c r="C22" s="169">
        <f>IF(ISERROR(B22/SUM($B$20,$B$21,$B$22)*100),0,B22/SUM($B$20,$B$21,$B$22)*100)</f>
        <v>17.5</v>
      </c>
      <c r="D22" s="231"/>
      <c r="E22" s="15"/>
    </row>
    <row r="23" spans="1:7">
      <c r="A23" s="173" t="s">
        <v>75</v>
      </c>
      <c r="B23" s="37">
        <f>aantalw2001_niet_gespec</f>
        <v>41</v>
      </c>
      <c r="C23" s="168" t="s">
        <v>110</v>
      </c>
      <c r="D23" s="230"/>
      <c r="E23" s="15"/>
    </row>
    <row r="24" spans="1:7">
      <c r="A24" s="173" t="s">
        <v>76</v>
      </c>
      <c r="B24" s="37">
        <f>aantalw2001_steenkool</f>
        <v>117</v>
      </c>
      <c r="C24" s="168" t="s">
        <v>110</v>
      </c>
      <c r="D24" s="231"/>
      <c r="E24" s="15"/>
    </row>
    <row r="25" spans="1:7">
      <c r="A25" s="173" t="s">
        <v>77</v>
      </c>
      <c r="B25" s="37">
        <f>aantalw2001_stookolie</f>
        <v>1106</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4475</v>
      </c>
      <c r="C28" s="36"/>
      <c r="D28" s="230"/>
    </row>
    <row r="29" spans="1:7" s="15" customFormat="1">
      <c r="A29" s="232" t="s">
        <v>743</v>
      </c>
      <c r="B29" s="37">
        <f>SUM(HH_hh_gas_aantal,HH_rest_gas_aantal)</f>
        <v>3033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3033</v>
      </c>
      <c r="C32" s="169">
        <f>IF(ISERROR(B32/SUM($B$32,$B$34,$B$35,$B$36,$B$38,$B$39)*100),0,B32/SUM($B$32,$B$34,$B$35,$B$36,$B$38,$B$39)*100)</f>
        <v>68.157303370786508</v>
      </c>
      <c r="D32" s="235"/>
      <c r="G32" s="15"/>
    </row>
    <row r="33" spans="1:7">
      <c r="A33" s="173" t="s">
        <v>71</v>
      </c>
      <c r="B33" s="34" t="s">
        <v>110</v>
      </c>
      <c r="C33" s="169"/>
      <c r="D33" s="235"/>
      <c r="G33" s="15"/>
    </row>
    <row r="34" spans="1:7">
      <c r="A34" s="173" t="s">
        <v>72</v>
      </c>
      <c r="B34" s="33">
        <f>IF((($B$28-$B$32-$B$39-$B$77-$B$38)*C20/100)&lt;0,0,($B$28-$B$32-$B$39-$B$77-$B$38)*C20/100)</f>
        <v>268.26100000000002</v>
      </c>
      <c r="C34" s="169">
        <f>IF(ISERROR(B34/SUM($B$32,$B$34,$B$35,$B$36,$B$38,$B$39)*100),0,B34/SUM($B$32,$B$34,$B$35,$B$36,$B$38,$B$39)*100)</f>
        <v>6.0283370786516848</v>
      </c>
      <c r="D34" s="235"/>
      <c r="G34" s="15"/>
    </row>
    <row r="35" spans="1:7">
      <c r="A35" s="173" t="s">
        <v>73</v>
      </c>
      <c r="B35" s="33">
        <f>IF((($B$28-$B$32-$B$39-$B$77-$B$38)*C21/100)&lt;0,0,($B$28-$B$32-$B$39-$B$77-$B$38)*C21/100)</f>
        <v>896.55650000000014</v>
      </c>
      <c r="C35" s="169">
        <f>IF(ISERROR(B35/SUM($B$32,$B$34,$B$35,$B$36,$B$38,$B$39)*100),0,B35/SUM($B$32,$B$34,$B$35,$B$36,$B$38,$B$39)*100)</f>
        <v>20.147337078651685</v>
      </c>
      <c r="D35" s="235"/>
      <c r="G35" s="15"/>
    </row>
    <row r="36" spans="1:7">
      <c r="A36" s="173" t="s">
        <v>74</v>
      </c>
      <c r="B36" s="33">
        <f>IF((($B$28-$B$32-$B$39-$B$77-$B$38)*C22/100)&lt;0,0,($B$28-$B$32-$B$39-$B$77-$B$38)*C22/100)</f>
        <v>247.08250000000001</v>
      </c>
      <c r="C36" s="169">
        <f>IF(ISERROR(B36/SUM($B$32,$B$34,$B$35,$B$36,$B$38,$B$39)*100),0,B36/SUM($B$32,$B$34,$B$35,$B$36,$B$38,$B$39)*100)</f>
        <v>5.5524157303370778</v>
      </c>
      <c r="D36" s="235"/>
      <c r="G36" s="15"/>
    </row>
    <row r="37" spans="1:7">
      <c r="A37" s="173" t="s">
        <v>75</v>
      </c>
      <c r="B37" s="34" t="s">
        <v>110</v>
      </c>
      <c r="C37" s="169"/>
      <c r="D37" s="175"/>
      <c r="G37" s="15"/>
    </row>
    <row r="38" spans="1:7">
      <c r="A38" s="173" t="s">
        <v>76</v>
      </c>
      <c r="B38" s="33">
        <f>IF((B24-(B29-B18)*0.1)&lt;0,0,B24-(B29-B18)*0.1)</f>
        <v>5.0999999999999943</v>
      </c>
      <c r="C38" s="169">
        <f>IF(ISERROR(B38/SUM($B$32,$B$34,$B$35,$B$36,$B$38,$B$39)*100),0,B38/SUM($B$32,$B$34,$B$35,$B$36,$B$38,$B$39)*100)</f>
        <v>0.11460674157303355</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3033</v>
      </c>
      <c r="C44" s="34" t="s">
        <v>110</v>
      </c>
      <c r="D44" s="176"/>
    </row>
    <row r="45" spans="1:7">
      <c r="A45" s="173" t="s">
        <v>71</v>
      </c>
      <c r="B45" s="33" t="str">
        <f t="shared" si="0"/>
        <v>-</v>
      </c>
      <c r="C45" s="34" t="s">
        <v>110</v>
      </c>
      <c r="D45" s="176"/>
    </row>
    <row r="46" spans="1:7">
      <c r="A46" s="173" t="s">
        <v>72</v>
      </c>
      <c r="B46" s="33">
        <f t="shared" si="0"/>
        <v>268.26100000000002</v>
      </c>
      <c r="C46" s="34" t="s">
        <v>110</v>
      </c>
      <c r="D46" s="176"/>
    </row>
    <row r="47" spans="1:7">
      <c r="A47" s="173" t="s">
        <v>73</v>
      </c>
      <c r="B47" s="33">
        <f t="shared" si="0"/>
        <v>896.55650000000014</v>
      </c>
      <c r="C47" s="34" t="s">
        <v>110</v>
      </c>
      <c r="D47" s="176"/>
    </row>
    <row r="48" spans="1:7">
      <c r="A48" s="173" t="s">
        <v>74</v>
      </c>
      <c r="B48" s="33">
        <f t="shared" si="0"/>
        <v>247.08250000000001</v>
      </c>
      <c r="C48" s="33">
        <f>B48*10</f>
        <v>2470.8250000000003</v>
      </c>
      <c r="D48" s="236"/>
    </row>
    <row r="49" spans="1:6">
      <c r="A49" s="173" t="s">
        <v>75</v>
      </c>
      <c r="B49" s="33" t="str">
        <f t="shared" si="0"/>
        <v>-</v>
      </c>
      <c r="C49" s="34" t="s">
        <v>110</v>
      </c>
      <c r="D49" s="236"/>
    </row>
    <row r="50" spans="1:6">
      <c r="A50" s="173" t="s">
        <v>76</v>
      </c>
      <c r="B50" s="33">
        <f t="shared" si="0"/>
        <v>5.0999999999999943</v>
      </c>
      <c r="C50" s="33">
        <f>B50*2</f>
        <v>10.199999999999989</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19597.602028942547</v>
      </c>
      <c r="C5" s="17">
        <f>IF(ISERROR('Eigen informatie GS &amp; warmtenet'!B58),0,'Eigen informatie GS &amp; warmtenet'!B58)</f>
        <v>0</v>
      </c>
      <c r="D5" s="30">
        <f>SUM(D6:D12)</f>
        <v>11905.724094146517</v>
      </c>
      <c r="E5" s="17">
        <f>SUM(E6:E12)</f>
        <v>298.81326604582353</v>
      </c>
      <c r="F5" s="17">
        <f>SUM(F6:F12)</f>
        <v>4025.097033663088</v>
      </c>
      <c r="G5" s="18"/>
      <c r="H5" s="17"/>
      <c r="I5" s="17"/>
      <c r="J5" s="17">
        <f>SUM(J6:J12)</f>
        <v>0</v>
      </c>
      <c r="K5" s="17"/>
      <c r="L5" s="17"/>
      <c r="M5" s="17"/>
      <c r="N5" s="17">
        <f>SUM(N6:N12)</f>
        <v>1869.4467365974574</v>
      </c>
      <c r="O5" s="17">
        <f>B38*B39*B40</f>
        <v>0</v>
      </c>
      <c r="P5" s="17">
        <f>B46*B47*B48/1000-B46*B47*B48/1000/B49</f>
        <v>0</v>
      </c>
      <c r="R5" s="32"/>
    </row>
    <row r="6" spans="1:18">
      <c r="A6" s="32" t="s">
        <v>53</v>
      </c>
      <c r="B6" s="37">
        <f>B26</f>
        <v>1481.0984040640099</v>
      </c>
      <c r="C6" s="33"/>
      <c r="D6" s="37">
        <f>IF(ISERROR(TER_kantoor_gas_kWh/1000),0,TER_kantoor_gas_kWh/1000)*0.902</f>
        <v>2822.8610114442645</v>
      </c>
      <c r="E6" s="33">
        <f>$C$26*'E Balans VL '!I12/100/3.6*1000000</f>
        <v>5.754380866590739</v>
      </c>
      <c r="F6" s="33">
        <f>$C$26*('E Balans VL '!L12+'E Balans VL '!N12)/100/3.6*1000000</f>
        <v>225.26159033713233</v>
      </c>
      <c r="G6" s="34"/>
      <c r="H6" s="33"/>
      <c r="I6" s="33"/>
      <c r="J6" s="33">
        <f>$C$26*('E Balans VL '!D12+'E Balans VL '!E12)/100/3.6*1000000</f>
        <v>0</v>
      </c>
      <c r="K6" s="33"/>
      <c r="L6" s="33"/>
      <c r="M6" s="33"/>
      <c r="N6" s="33">
        <f>$C$26*'E Balans VL '!Y12/100/3.6*1000000</f>
        <v>0.81626265185848779</v>
      </c>
      <c r="O6" s="33"/>
      <c r="P6" s="33"/>
      <c r="R6" s="32"/>
    </row>
    <row r="7" spans="1:18">
      <c r="A7" s="32" t="s">
        <v>52</v>
      </c>
      <c r="B7" s="37">
        <f t="shared" ref="B7:B12" si="0">B27</f>
        <v>1740.59239997795</v>
      </c>
      <c r="C7" s="33"/>
      <c r="D7" s="37">
        <f>IF(ISERROR(TER_horeca_gas_kWh/1000),0,TER_horeca_gas_kWh/1000)*0.902</f>
        <v>1258.1293258691371</v>
      </c>
      <c r="E7" s="33">
        <f>$C$27*'E Balans VL '!I9/100/3.6*1000000</f>
        <v>98.048035248064124</v>
      </c>
      <c r="F7" s="33">
        <f>$C$27*('E Balans VL '!L9+'E Balans VL '!N9)/100/3.6*1000000</f>
        <v>501.88264101393838</v>
      </c>
      <c r="G7" s="34"/>
      <c r="H7" s="33"/>
      <c r="I7" s="33"/>
      <c r="J7" s="33">
        <f>$C$27*('E Balans VL '!D9+'E Balans VL '!E9)/100/3.6*1000000</f>
        <v>0</v>
      </c>
      <c r="K7" s="33"/>
      <c r="L7" s="33"/>
      <c r="M7" s="33"/>
      <c r="N7" s="33">
        <f>$C$27*'E Balans VL '!Y9/100/3.6*1000000</f>
        <v>0.48056851666478834</v>
      </c>
      <c r="O7" s="33"/>
      <c r="P7" s="33"/>
      <c r="R7" s="32"/>
    </row>
    <row r="8" spans="1:18">
      <c r="A8" s="6" t="s">
        <v>51</v>
      </c>
      <c r="B8" s="37">
        <f t="shared" si="0"/>
        <v>4116.5411444595502</v>
      </c>
      <c r="C8" s="33"/>
      <c r="D8" s="37">
        <f>IF(ISERROR(TER_handel_gas_kWh/1000),0,TER_handel_gas_kWh/1000)*0.902</f>
        <v>3053.0754744250048</v>
      </c>
      <c r="E8" s="33">
        <f>$C$28*'E Balans VL '!I13/100/3.6*1000000</f>
        <v>59.33332392648451</v>
      </c>
      <c r="F8" s="33">
        <f>$C$28*('E Balans VL '!L13+'E Balans VL '!N13)/100/3.6*1000000</f>
        <v>715.13906456683094</v>
      </c>
      <c r="G8" s="34"/>
      <c r="H8" s="33"/>
      <c r="I8" s="33"/>
      <c r="J8" s="33">
        <f>$C$28*('E Balans VL '!D13+'E Balans VL '!E13)/100/3.6*1000000</f>
        <v>0</v>
      </c>
      <c r="K8" s="33"/>
      <c r="L8" s="33"/>
      <c r="M8" s="33"/>
      <c r="N8" s="33">
        <f>$C$28*'E Balans VL '!Y13/100/3.6*1000000</f>
        <v>12.333615531601296</v>
      </c>
      <c r="O8" s="33"/>
      <c r="P8" s="33"/>
      <c r="R8" s="32"/>
    </row>
    <row r="9" spans="1:18">
      <c r="A9" s="32" t="s">
        <v>50</v>
      </c>
      <c r="B9" s="37">
        <f t="shared" si="0"/>
        <v>105.060197164022</v>
      </c>
      <c r="C9" s="33"/>
      <c r="D9" s="37">
        <f>IF(ISERROR(TER_gezond_gas_kWh/1000),0,TER_gezond_gas_kWh/1000)*0.902</f>
        <v>109.31027688131637</v>
      </c>
      <c r="E9" s="33">
        <f>$C$29*'E Balans VL '!I10/100/3.6*1000000</f>
        <v>0.11223152117426821</v>
      </c>
      <c r="F9" s="33">
        <f>$C$29*('E Balans VL '!L10+'E Balans VL '!N10)/100/3.6*1000000</f>
        <v>17.138511056658114</v>
      </c>
      <c r="G9" s="34"/>
      <c r="H9" s="33"/>
      <c r="I9" s="33"/>
      <c r="J9" s="33">
        <f>$C$29*('E Balans VL '!D10+'E Balans VL '!E10)/100/3.6*1000000</f>
        <v>0</v>
      </c>
      <c r="K9" s="33"/>
      <c r="L9" s="33"/>
      <c r="M9" s="33"/>
      <c r="N9" s="33">
        <f>$C$29*'E Balans VL '!Y10/100/3.6*1000000</f>
        <v>1.0815347836510489</v>
      </c>
      <c r="O9" s="33"/>
      <c r="P9" s="33"/>
      <c r="R9" s="32"/>
    </row>
    <row r="10" spans="1:18">
      <c r="A10" s="32" t="s">
        <v>49</v>
      </c>
      <c r="B10" s="37">
        <f t="shared" si="0"/>
        <v>1453.5766625712599</v>
      </c>
      <c r="C10" s="33"/>
      <c r="D10" s="37">
        <f>IF(ISERROR(TER_ander_gas_kWh/1000),0,TER_ander_gas_kWh/1000)*0.902</f>
        <v>134.94897900923232</v>
      </c>
      <c r="E10" s="33">
        <f>$C$30*'E Balans VL '!I14/100/3.6*1000000</f>
        <v>6.6847779657413877</v>
      </c>
      <c r="F10" s="33">
        <f>$C$30*('E Balans VL '!L14+'E Balans VL '!N14)/100/3.6*1000000</f>
        <v>435.68277570145767</v>
      </c>
      <c r="G10" s="34"/>
      <c r="H10" s="33"/>
      <c r="I10" s="33"/>
      <c r="J10" s="33">
        <f>$C$30*('E Balans VL '!D14+'E Balans VL '!E14)/100/3.6*1000000</f>
        <v>0</v>
      </c>
      <c r="K10" s="33"/>
      <c r="L10" s="33"/>
      <c r="M10" s="33"/>
      <c r="N10" s="33">
        <f>$C$30*'E Balans VL '!Y14/100/3.6*1000000</f>
        <v>1011.7853088624368</v>
      </c>
      <c r="O10" s="33"/>
      <c r="P10" s="33"/>
      <c r="R10" s="32"/>
    </row>
    <row r="11" spans="1:18">
      <c r="A11" s="32" t="s">
        <v>54</v>
      </c>
      <c r="B11" s="37">
        <f t="shared" si="0"/>
        <v>81.598654645055305</v>
      </c>
      <c r="C11" s="33"/>
      <c r="D11" s="37">
        <f>IF(ISERROR(TER_onderwijs_gas_kWh/1000),0,TER_onderwijs_gas_kWh/1000)*0.902</f>
        <v>281.70567189393239</v>
      </c>
      <c r="E11" s="33">
        <f>$C$31*'E Balans VL '!I11/100/3.6*1000000</f>
        <v>7.5693483122665856E-2</v>
      </c>
      <c r="F11" s="33">
        <f>$C$31*('E Balans VL '!L11+'E Balans VL '!N11)/100/3.6*1000000</f>
        <v>28.663731966565809</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10619.1345660607</v>
      </c>
      <c r="C12" s="33"/>
      <c r="D12" s="37">
        <f>IF(ISERROR(TER_rest_gas_kWh/1000),0,TER_rest_gas_kWh/1000)*0.902</f>
        <v>4245.6933546236296</v>
      </c>
      <c r="E12" s="33">
        <f>$C$32*'E Balans VL '!I8/100/3.6*1000000</f>
        <v>128.80482303464586</v>
      </c>
      <c r="F12" s="33">
        <f>$C$32*('E Balans VL '!L8+'E Balans VL '!N8)/100/3.6*1000000</f>
        <v>2101.3287190205046</v>
      </c>
      <c r="G12" s="34"/>
      <c r="H12" s="33"/>
      <c r="I12" s="33"/>
      <c r="J12" s="33">
        <f>$C$32*('E Balans VL '!D8+'E Balans VL '!E8)/100/3.6*1000000</f>
        <v>0</v>
      </c>
      <c r="K12" s="33"/>
      <c r="L12" s="33"/>
      <c r="M12" s="33"/>
      <c r="N12" s="33">
        <f>$C$32*'E Balans VL '!Y8/100/3.6*1000000</f>
        <v>842.94944625124515</v>
      </c>
      <c r="O12" s="33"/>
      <c r="P12" s="33"/>
      <c r="R12" s="32"/>
    </row>
    <row r="13" spans="1:18">
      <c r="A13" s="16" t="s">
        <v>496</v>
      </c>
      <c r="B13" s="249">
        <f ca="1">'lokale energieproductie'!N46+'lokale energieproductie'!N39</f>
        <v>0</v>
      </c>
      <c r="C13" s="249">
        <f ca="1">'lokale energieproductie'!O46+'lokale energieproductie'!O39</f>
        <v>0</v>
      </c>
      <c r="D13" s="310">
        <f ca="1">('lokale energieproductie'!P39+'lokale energieproductie'!P46)*(-1)</f>
        <v>0</v>
      </c>
      <c r="E13" s="250"/>
      <c r="F13" s="310">
        <f ca="1">('lokale energieproductie'!S39+'lokale energieproductie'!S46)*(-1)</f>
        <v>0</v>
      </c>
      <c r="G13" s="251"/>
      <c r="H13" s="250"/>
      <c r="I13" s="250"/>
      <c r="J13" s="250"/>
      <c r="K13" s="250"/>
      <c r="L13" s="310">
        <f ca="1">('lokale energieproductie'!U39+'lokale energieproductie'!T39+'lokale energieproductie'!U46+'lokale energieproductie'!T46)*(-1)</f>
        <v>0</v>
      </c>
      <c r="M13" s="250"/>
      <c r="N13" s="310">
        <f ca="1">('lokale energieproductie'!Q39+'lokale energieproductie'!R39+'lokale energieproductie'!V39+'lokale energieproductie'!Q46+'lokale energieproductie'!R46+'lokale energieproductie'!V46)*(-1)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19597.602028942547</v>
      </c>
      <c r="C16" s="21">
        <f t="shared" ca="1" si="1"/>
        <v>0</v>
      </c>
      <c r="D16" s="21">
        <f t="shared" ca="1" si="1"/>
        <v>11905.724094146517</v>
      </c>
      <c r="E16" s="21">
        <f t="shared" si="1"/>
        <v>298.81326604582353</v>
      </c>
      <c r="F16" s="21">
        <f t="shared" ca="1" si="1"/>
        <v>4025.097033663088</v>
      </c>
      <c r="G16" s="21">
        <f t="shared" si="1"/>
        <v>0</v>
      </c>
      <c r="H16" s="21">
        <f t="shared" si="1"/>
        <v>0</v>
      </c>
      <c r="I16" s="21">
        <f t="shared" si="1"/>
        <v>0</v>
      </c>
      <c r="J16" s="21">
        <f t="shared" si="1"/>
        <v>0</v>
      </c>
      <c r="K16" s="21">
        <f t="shared" si="1"/>
        <v>0</v>
      </c>
      <c r="L16" s="21">
        <f t="shared" ca="1" si="1"/>
        <v>0</v>
      </c>
      <c r="M16" s="21">
        <f t="shared" si="1"/>
        <v>0</v>
      </c>
      <c r="N16" s="21">
        <f t="shared" ca="1" si="1"/>
        <v>1869.4467365974574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0.20548245716225219</v>
      </c>
      <c r="C18" s="25">
        <f ca="1">'EF ele_warmte'!B22</f>
        <v>0.21229168805184187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4026.9634193950537</v>
      </c>
      <c r="C20" s="23">
        <f t="shared" ref="C20:P20" ca="1" si="2">C16*C18</f>
        <v>0</v>
      </c>
      <c r="D20" s="23">
        <f t="shared" ca="1" si="2"/>
        <v>2404.9562670175965</v>
      </c>
      <c r="E20" s="23">
        <f t="shared" si="2"/>
        <v>67.830611392401948</v>
      </c>
      <c r="F20" s="23">
        <f t="shared" ca="1" si="2"/>
        <v>1074.7009079880445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1481.0984040640099</v>
      </c>
      <c r="C26" s="39">
        <f>IF(ISERROR(B26*3.6/1000000/'E Balans VL '!Z12*100),0,B26*3.6/1000000/'E Balans VL '!Z12*100)</f>
        <v>3.1459263743096946E-2</v>
      </c>
      <c r="D26" s="239" t="s">
        <v>689</v>
      </c>
      <c r="F26" s="6"/>
    </row>
    <row r="27" spans="1:18">
      <c r="A27" s="233" t="s">
        <v>52</v>
      </c>
      <c r="B27" s="33">
        <f>IF(ISERROR(TER_horeca_ele_kWh/1000),0,TER_horeca_ele_kWh/1000)</f>
        <v>1740.59239997795</v>
      </c>
      <c r="C27" s="39">
        <f>IF(ISERROR(B27*3.6/1000000/'E Balans VL '!Z9*100),0,B27*3.6/1000000/'E Balans VL '!Z9*100)</f>
        <v>0.13534165944228252</v>
      </c>
      <c r="D27" s="239" t="s">
        <v>689</v>
      </c>
      <c r="F27" s="6"/>
    </row>
    <row r="28" spans="1:18">
      <c r="A28" s="173" t="s">
        <v>51</v>
      </c>
      <c r="B28" s="33">
        <f>IF(ISERROR(TER_handel_ele_kWh/1000),0,TER_handel_ele_kWh/1000)</f>
        <v>4116.5411444595502</v>
      </c>
      <c r="C28" s="39">
        <f>IF(ISERROR(B28*3.6/1000000/'E Balans VL '!Z13*100),0,B28*3.6/1000000/'E Balans VL '!Z13*100)</f>
        <v>0.11777908682727638</v>
      </c>
      <c r="D28" s="239" t="s">
        <v>689</v>
      </c>
      <c r="F28" s="6"/>
    </row>
    <row r="29" spans="1:18">
      <c r="A29" s="233" t="s">
        <v>50</v>
      </c>
      <c r="B29" s="33">
        <f>IF(ISERROR(TER_gezond_ele_kWh/1000),0,TER_gezond_ele_kWh/1000)</f>
        <v>105.060197164022</v>
      </c>
      <c r="C29" s="39">
        <f>IF(ISERROR(B29*3.6/1000000/'E Balans VL '!Z10*100),0,B29*3.6/1000000/'E Balans VL '!Z10*100)</f>
        <v>1.1454002797070182E-2</v>
      </c>
      <c r="D29" s="239" t="s">
        <v>689</v>
      </c>
      <c r="F29" s="6"/>
    </row>
    <row r="30" spans="1:18">
      <c r="A30" s="233" t="s">
        <v>49</v>
      </c>
      <c r="B30" s="33">
        <f>IF(ISERROR(TER_ander_ele_kWh/1000),0,TER_ander_ele_kWh/1000)</f>
        <v>1453.5766625712599</v>
      </c>
      <c r="C30" s="39">
        <f>IF(ISERROR(B30*3.6/1000000/'E Balans VL '!Z14*100),0,B30*3.6/1000000/'E Balans VL '!Z14*100)</f>
        <v>0.10636944280647118</v>
      </c>
      <c r="D30" s="239" t="s">
        <v>689</v>
      </c>
      <c r="F30" s="6"/>
    </row>
    <row r="31" spans="1:18">
      <c r="A31" s="233" t="s">
        <v>54</v>
      </c>
      <c r="B31" s="33">
        <f>IF(ISERROR(TER_onderwijs_ele_kWh/1000),0,TER_onderwijs_ele_kWh/1000)</f>
        <v>81.598654645055305</v>
      </c>
      <c r="C31" s="39">
        <f>IF(ISERROR(B31*3.6/1000000/'E Balans VL '!Z11*100),0,B31*3.6/1000000/'E Balans VL '!Z11*100)</f>
        <v>1.6389150378949439E-2</v>
      </c>
      <c r="D31" s="239" t="s">
        <v>689</v>
      </c>
    </row>
    <row r="32" spans="1:18">
      <c r="A32" s="233" t="s">
        <v>259</v>
      </c>
      <c r="B32" s="33">
        <f>IF(ISERROR(TER_rest_ele_kWh/1000),0,TER_rest_ele_kWh/1000)</f>
        <v>10619.1345660607</v>
      </c>
      <c r="C32" s="39">
        <f>IF(ISERROR(B32*3.6/1000000/'E Balans VL '!Z8*100),0,B32*3.6/1000000/'E Balans VL '!Z8*100)</f>
        <v>8.653950228806262E-2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13132.053272705311</v>
      </c>
      <c r="C5" s="17">
        <f>IF(ISERROR('Eigen informatie GS &amp; warmtenet'!B59),0,'Eigen informatie GS &amp; warmtenet'!B59)</f>
        <v>0</v>
      </c>
      <c r="D5" s="30">
        <f>SUM(D6:D15)</f>
        <v>17715.220124422318</v>
      </c>
      <c r="E5" s="17">
        <f>SUM(E6:E15)</f>
        <v>1444.7651359243271</v>
      </c>
      <c r="F5" s="17">
        <f>SUM(F6:F15)</f>
        <v>5057.5265736335705</v>
      </c>
      <c r="G5" s="18"/>
      <c r="H5" s="17"/>
      <c r="I5" s="17"/>
      <c r="J5" s="17">
        <f>SUM(J6:J15)</f>
        <v>22.667229413655917</v>
      </c>
      <c r="K5" s="17"/>
      <c r="L5" s="17"/>
      <c r="M5" s="17"/>
      <c r="N5" s="17">
        <f>SUM(N6:N15)</f>
        <v>833.22529474004386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516.42230033599196</v>
      </c>
      <c r="C8" s="33"/>
      <c r="D8" s="37">
        <f>IF( ISERROR(IND_metaal_Gas_kWH/1000),0,IND_metaal_Gas_kWH/1000)*0.902</f>
        <v>0</v>
      </c>
      <c r="E8" s="33">
        <f>C30*'E Balans VL '!I18/100/3.6*1000000</f>
        <v>14.833586877163622</v>
      </c>
      <c r="F8" s="33">
        <f>C30*'E Balans VL '!L18/100/3.6*1000000+C30*'E Balans VL '!N18/100/3.6*1000000</f>
        <v>132.4523878079732</v>
      </c>
      <c r="G8" s="34"/>
      <c r="H8" s="33"/>
      <c r="I8" s="33"/>
      <c r="J8" s="40">
        <f>C30*'E Balans VL '!D18/100/3.6*1000000+C30*'E Balans VL '!E18/100/3.6*1000000</f>
        <v>0</v>
      </c>
      <c r="K8" s="33"/>
      <c r="L8" s="33"/>
      <c r="M8" s="33"/>
      <c r="N8" s="33">
        <f>C30*'E Balans VL '!Y18/100/3.6*1000000</f>
        <v>14.021919621389184</v>
      </c>
      <c r="O8" s="33"/>
      <c r="P8" s="33"/>
      <c r="R8" s="32"/>
    </row>
    <row r="9" spans="1:18">
      <c r="A9" s="6" t="s">
        <v>32</v>
      </c>
      <c r="B9" s="37">
        <f t="shared" si="0"/>
        <v>3333.4515071696901</v>
      </c>
      <c r="C9" s="33"/>
      <c r="D9" s="37">
        <f>IF( ISERROR(IND_andere_gas_kWh/1000),0,IND_andere_gas_kWh/1000)*0.902</f>
        <v>1178.0393911967658</v>
      </c>
      <c r="E9" s="33">
        <f>C31*'E Balans VL '!I19/100/3.6*1000000</f>
        <v>902.28336328380431</v>
      </c>
      <c r="F9" s="33">
        <f>C31*'E Balans VL '!L19/100/3.6*1000000+C31*'E Balans VL '!N19/100/3.6*1000000</f>
        <v>2220.4314566311041</v>
      </c>
      <c r="G9" s="34"/>
      <c r="H9" s="33"/>
      <c r="I9" s="33"/>
      <c r="J9" s="40">
        <f>C31*'E Balans VL '!D19/100/3.6*1000000+C31*'E Balans VL '!E19/100/3.6*1000000</f>
        <v>0</v>
      </c>
      <c r="K9" s="33"/>
      <c r="L9" s="33"/>
      <c r="M9" s="33"/>
      <c r="N9" s="33">
        <f>C31*'E Balans VL '!Y19/100/3.6*1000000</f>
        <v>281.82124333654292</v>
      </c>
      <c r="O9" s="33"/>
      <c r="P9" s="33"/>
      <c r="R9" s="32"/>
    </row>
    <row r="10" spans="1:18">
      <c r="A10" s="6" t="s">
        <v>40</v>
      </c>
      <c r="B10" s="37">
        <f t="shared" si="0"/>
        <v>418.843594590598</v>
      </c>
      <c r="C10" s="33"/>
      <c r="D10" s="37">
        <f>IF( ISERROR(IND_voed_gas_kWh/1000),0,IND_voed_gas_kWh/1000)*0.902</f>
        <v>595.73757845461296</v>
      </c>
      <c r="E10" s="33">
        <f>C32*'E Balans VL '!I20/100/3.6*1000000</f>
        <v>34.161845842928223</v>
      </c>
      <c r="F10" s="33">
        <f>C32*'E Balans VL '!L20/100/3.6*1000000+C32*'E Balans VL '!N20/100/3.6*1000000</f>
        <v>624.53380035516375</v>
      </c>
      <c r="G10" s="34"/>
      <c r="H10" s="33"/>
      <c r="I10" s="33"/>
      <c r="J10" s="40">
        <f>C32*'E Balans VL '!D20/100/3.6*1000000+C32*'E Balans VL '!E20/100/3.6*1000000</f>
        <v>5.540792348513012E-3</v>
      </c>
      <c r="K10" s="33"/>
      <c r="L10" s="33"/>
      <c r="M10" s="33"/>
      <c r="N10" s="33">
        <f>C32*'E Balans VL '!Y20/100/3.6*1000000</f>
        <v>123.0414686938953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21.692248413629599</v>
      </c>
      <c r="C13" s="33"/>
      <c r="D13" s="37">
        <f>IF( ISERROR(IND_papier_gas_kWh/1000),0,IND_papier_gas_kWh/1000)*0.902</f>
        <v>0</v>
      </c>
      <c r="E13" s="33">
        <f>C35*'E Balans VL '!I23/100/3.6*1000000</f>
        <v>0.22726582058653758</v>
      </c>
      <c r="F13" s="33">
        <f>C35*'E Balans VL '!L23/100/3.6*1000000+C35*'E Balans VL '!N23/100/3.6*1000000</f>
        <v>1.6186794214900191</v>
      </c>
      <c r="G13" s="34"/>
      <c r="H13" s="33"/>
      <c r="I13" s="33"/>
      <c r="J13" s="40">
        <f>C35*'E Balans VL '!D23/100/3.6*1000000+C35*'E Balans VL '!E23/100/3.6*1000000</f>
        <v>0</v>
      </c>
      <c r="K13" s="33"/>
      <c r="L13" s="33"/>
      <c r="M13" s="33"/>
      <c r="N13" s="33">
        <f>C35*'E Balans VL '!Y23/100/3.6*1000000</f>
        <v>4.0017507920755699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8841.6436221954009</v>
      </c>
      <c r="C15" s="33"/>
      <c r="D15" s="37">
        <f>IF( ISERROR(IND_rest_gas_kWh/1000),0,IND_rest_gas_kWh/1000)*0.902</f>
        <v>15941.443154770937</v>
      </c>
      <c r="E15" s="33">
        <f>C37*'E Balans VL '!I15/100/3.6*1000000</f>
        <v>493.25907409984433</v>
      </c>
      <c r="F15" s="33">
        <f>C37*'E Balans VL '!L15/100/3.6*1000000+C37*'E Balans VL '!N15/100/3.6*1000000</f>
        <v>2078.4902494178396</v>
      </c>
      <c r="G15" s="34"/>
      <c r="H15" s="33"/>
      <c r="I15" s="33"/>
      <c r="J15" s="40">
        <f>C37*'E Balans VL '!D15/100/3.6*1000000+C37*'E Balans VL '!E15/100/3.6*1000000</f>
        <v>22.661688621307405</v>
      </c>
      <c r="K15" s="33"/>
      <c r="L15" s="33"/>
      <c r="M15" s="33"/>
      <c r="N15" s="33">
        <f>C37*'E Balans VL '!Y15/100/3.6*1000000</f>
        <v>410.33891229614085</v>
      </c>
      <c r="O15" s="33"/>
      <c r="P15" s="33"/>
      <c r="R15" s="32"/>
    </row>
    <row r="16" spans="1:18">
      <c r="A16" s="16" t="s">
        <v>496</v>
      </c>
      <c r="B16" s="249">
        <f>'lokale energieproductie'!N45+'lokale energieproductie'!N38</f>
        <v>0</v>
      </c>
      <c r="C16" s="249">
        <f>'lokale energieproductie'!O45+'lokale energieproductie'!O38</f>
        <v>0</v>
      </c>
      <c r="D16" s="310">
        <f>('lokale energieproductie'!P38+'lokale energieproductie'!P45)*(-1)</f>
        <v>0</v>
      </c>
      <c r="E16" s="250"/>
      <c r="F16" s="310">
        <f>('lokale energieproductie'!S38+'lokale energieproductie'!S45)*(-1)</f>
        <v>0</v>
      </c>
      <c r="G16" s="251"/>
      <c r="H16" s="250"/>
      <c r="I16" s="250"/>
      <c r="J16" s="250"/>
      <c r="K16" s="250"/>
      <c r="L16" s="310">
        <f>('lokale energieproductie'!T38+'lokale energieproductie'!U38+'lokale energieproductie'!T45+'lokale energieproductie'!U45)*(-1)</f>
        <v>0</v>
      </c>
      <c r="M16" s="250"/>
      <c r="N16" s="310">
        <f>('lokale energieproductie'!Q38+'lokale energieproductie'!R38+'lokale energieproductie'!V38+'lokale energieproductie'!Q45+'lokale energieproductie'!R45+'lokale energieproductie'!V45)*(-1)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13132.053272705311</v>
      </c>
      <c r="C18" s="21">
        <f>C5+C16</f>
        <v>0</v>
      </c>
      <c r="D18" s="21">
        <f>MAX((D5+D16),0)</f>
        <v>17715.220124422318</v>
      </c>
      <c r="E18" s="21">
        <f>MAX((E5+E16),0)</f>
        <v>1444.7651359243271</v>
      </c>
      <c r="F18" s="21">
        <f>MAX((F5+F16),0)</f>
        <v>5057.5265736335705</v>
      </c>
      <c r="G18" s="21"/>
      <c r="H18" s="21"/>
      <c r="I18" s="21"/>
      <c r="J18" s="21">
        <f>MAX((J5+J16),0)</f>
        <v>22.667229413655917</v>
      </c>
      <c r="K18" s="21"/>
      <c r="L18" s="21">
        <f>MAX((L5+L16),0)</f>
        <v>0</v>
      </c>
      <c r="M18" s="21"/>
      <c r="N18" s="21">
        <f>MAX((N5+N16),0)</f>
        <v>833.22529474004386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0.20548245716225219</v>
      </c>
      <c r="C20" s="25">
        <f ca="1">'EF ele_warmte'!B22</f>
        <v>0.21229168805184187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2698.4065740610827</v>
      </c>
      <c r="C22" s="23">
        <f ca="1">C18*C20</f>
        <v>0</v>
      </c>
      <c r="D22" s="23">
        <f>D18*D20</f>
        <v>3578.4744651333085</v>
      </c>
      <c r="E22" s="23">
        <f>E18*E20</f>
        <v>327.96168585482224</v>
      </c>
      <c r="F22" s="23">
        <f>F18*F20</f>
        <v>1350.3595951601633</v>
      </c>
      <c r="G22" s="23"/>
      <c r="H22" s="23"/>
      <c r="I22" s="23"/>
      <c r="J22" s="23">
        <f>J18*J20</f>
        <v>8.0241992124341941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516.42230033599196</v>
      </c>
      <c r="C30" s="39">
        <f>IF(ISERROR(B30*3.6/1000000/'E Balans VL '!Z18*100),0,B30*3.6/1000000/'E Balans VL '!Z18*100)</f>
        <v>5.0814636067359309E-2</v>
      </c>
      <c r="D30" s="239" t="s">
        <v>689</v>
      </c>
    </row>
    <row r="31" spans="1:18">
      <c r="A31" s="6" t="s">
        <v>32</v>
      </c>
      <c r="B31" s="37">
        <f>IF( ISERROR(IND_ander_ele_kWh/1000),0,IND_ander_ele_kWh/1000)</f>
        <v>3333.4515071696901</v>
      </c>
      <c r="C31" s="39">
        <f>IF(ISERROR(B31*3.6/1000000/'E Balans VL '!Z19*100),0,B31*3.6/1000000/'E Balans VL '!Z19*100)</f>
        <v>0.14516915406916628</v>
      </c>
      <c r="D31" s="239" t="s">
        <v>689</v>
      </c>
    </row>
    <row r="32" spans="1:18">
      <c r="A32" s="173" t="s">
        <v>40</v>
      </c>
      <c r="B32" s="37">
        <f>IF( ISERROR(IND_voed_ele_kWh/1000),0,IND_voed_ele_kWh/1000)</f>
        <v>418.843594590598</v>
      </c>
      <c r="C32" s="39">
        <f>IF(ISERROR(B32*3.6/1000000/'E Balans VL '!Z20*100),0,B32*3.6/1000000/'E Balans VL '!Z20*100)</f>
        <v>7.9469531691816961E-2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21.692248413629599</v>
      </c>
      <c r="C35" s="39">
        <f>IF(ISERROR(B35*3.6/1000000/'E Balans VL '!Z22*100),0,B35*3.6/1000000/'E Balans VL '!Z22*100)</f>
        <v>3.0501479537253114E-3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8841.6436221954009</v>
      </c>
      <c r="C37" s="39">
        <f>IF(ISERROR(B37*3.6/1000000/'E Balans VL '!Z15*100),0,B37*3.6/1000000/'E Balans VL '!Z15*100)</f>
        <v>6.8135723885893659E-2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5704.8336992399772</v>
      </c>
      <c r="C5" s="17">
        <f>'Eigen informatie GS &amp; warmtenet'!B60</f>
        <v>0</v>
      </c>
      <c r="D5" s="30">
        <f>IF(ISERROR(SUM(LB_lb_gas_kWh,LB_rest_gas_kWh)/1000),0,SUM(LB_lb_gas_kWh,LB_rest_gas_kWh)/1000)*0.902</f>
        <v>254973.57122390892</v>
      </c>
      <c r="E5" s="17">
        <f>B17*'E Balans VL '!I25/3.6*1000000/100</f>
        <v>71.888253930496333</v>
      </c>
      <c r="F5" s="17">
        <f>B17*('E Balans VL '!L25/3.6*1000000+'E Balans VL '!N25/3.6*1000000)/100</f>
        <v>19683.105408614574</v>
      </c>
      <c r="G5" s="18"/>
      <c r="H5" s="17"/>
      <c r="I5" s="17"/>
      <c r="J5" s="17">
        <f>('E Balans VL '!D25+'E Balans VL '!E25)/3.6*1000000*landbouw!B17/100</f>
        <v>857.94213810497854</v>
      </c>
      <c r="K5" s="17"/>
      <c r="L5" s="17">
        <f>L6*(-1)</f>
        <v>0</v>
      </c>
      <c r="M5" s="17"/>
      <c r="N5" s="17">
        <f>N6*(-1)</f>
        <v>37464.321428571428</v>
      </c>
      <c r="O5" s="17"/>
      <c r="P5" s="17"/>
      <c r="R5" s="32"/>
    </row>
    <row r="6" spans="1:18">
      <c r="A6" s="16" t="s">
        <v>496</v>
      </c>
      <c r="B6" s="17" t="s">
        <v>210</v>
      </c>
      <c r="C6" s="17">
        <f>'lokale energieproductie'!O47+'lokale energieproductie'!O40</f>
        <v>175570.01785714287</v>
      </c>
      <c r="D6" s="310">
        <f>('lokale energieproductie'!P40+'lokale energieproductie'!P47)*(-1)</f>
        <v>-313675.71428571432</v>
      </c>
      <c r="E6" s="250"/>
      <c r="F6" s="310">
        <f>('lokale energieproductie'!S40+'lokale energieproductie'!S47)*(-1)</f>
        <v>0</v>
      </c>
      <c r="G6" s="251"/>
      <c r="H6" s="250"/>
      <c r="I6" s="250"/>
      <c r="J6" s="250"/>
      <c r="K6" s="250"/>
      <c r="L6" s="310">
        <f>('lokale energieproductie'!T40+'lokale energieproductie'!U40+'lokale energieproductie'!T47+'lokale energieproductie'!U47)*(-1)</f>
        <v>0</v>
      </c>
      <c r="M6" s="250"/>
      <c r="N6" s="1030">
        <f>('lokale energieproductie'!V40+'lokale energieproductie'!R40+'lokale energieproductie'!Q40+'lokale energieproductie'!Q47+'lokale energieproductie'!R47+'lokale energieproductie'!V47)*(-1)</f>
        <v>-37464.321428571428</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5704.8336992399772</v>
      </c>
      <c r="C8" s="21">
        <f>C5+C6</f>
        <v>175570.01785714287</v>
      </c>
      <c r="D8" s="21">
        <f>MAX((D5+D6),0)</f>
        <v>0</v>
      </c>
      <c r="E8" s="21">
        <f>MAX((E5+E6),0)</f>
        <v>71.888253930496333</v>
      </c>
      <c r="F8" s="21">
        <f>MAX((F5+F6),0)</f>
        <v>19683.105408614574</v>
      </c>
      <c r="G8" s="21"/>
      <c r="H8" s="21"/>
      <c r="I8" s="21"/>
      <c r="J8" s="21">
        <f>MAX((J5+J6),0)</f>
        <v>857.94213810497854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0.20548245716225219</v>
      </c>
      <c r="C10" s="31">
        <f ca="1">'EF ele_warmte'!B22</f>
        <v>0.21229168805184187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1172.2432462218512</v>
      </c>
      <c r="C12" s="23">
        <f ca="1">C8*C10</f>
        <v>37272.055462184879</v>
      </c>
      <c r="D12" s="23">
        <f>D8*D10</f>
        <v>0</v>
      </c>
      <c r="E12" s="23">
        <f>E8*E10</f>
        <v>16.318633642222668</v>
      </c>
      <c r="F12" s="23">
        <f>F8*F10</f>
        <v>5255.3891441000915</v>
      </c>
      <c r="G12" s="23"/>
      <c r="H12" s="23"/>
      <c r="I12" s="23"/>
      <c r="J12" s="23">
        <f>J8*J10</f>
        <v>303.7115168891624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0.79564449512284541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695.01007476116979</v>
      </c>
      <c r="C26" s="249">
        <f>B26*'GWP N2O_CH4'!B5</f>
        <v>14595.211569984565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384.02036900934792</v>
      </c>
      <c r="C27" s="249">
        <f>B27*'GWP N2O_CH4'!B5</f>
        <v>8064.4277491963066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11.233970881740728</v>
      </c>
      <c r="C28" s="249">
        <f>B28*'GWP N2O_CH4'!B4</f>
        <v>3482.5309733396257</v>
      </c>
      <c r="D28" s="50"/>
    </row>
    <row r="29" spans="1:4">
      <c r="A29" s="41" t="s">
        <v>276</v>
      </c>
      <c r="B29" s="249">
        <f>B34*'ha_N2O bodem landbouw'!B4</f>
        <v>16.839376488103085</v>
      </c>
      <c r="C29" s="249">
        <f>B29*'GWP N2O_CH4'!B4</f>
        <v>5220.2067113119565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4.2046240453331944E-3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8.6736141973539513E-6</v>
      </c>
      <c r="C5" s="444" t="s">
        <v>210</v>
      </c>
      <c r="D5" s="429">
        <f>SUM(D6:D11)</f>
        <v>1.4277723662972054E-5</v>
      </c>
      <c r="E5" s="429">
        <f>SUM(E6:E11)</f>
        <v>5.0461775501203896E-4</v>
      </c>
      <c r="F5" s="442" t="s">
        <v>210</v>
      </c>
      <c r="G5" s="429">
        <f>SUM(G6:G11)</f>
        <v>0.15655935874454027</v>
      </c>
      <c r="H5" s="429">
        <f>SUM(H6:H11)</f>
        <v>2.6043163105578564E-2</v>
      </c>
      <c r="I5" s="444" t="s">
        <v>210</v>
      </c>
      <c r="J5" s="444" t="s">
        <v>210</v>
      </c>
      <c r="K5" s="444" t="s">
        <v>210</v>
      </c>
      <c r="L5" s="444" t="s">
        <v>210</v>
      </c>
      <c r="M5" s="429">
        <f>SUM(M6:M11)</f>
        <v>8.2559794183729041E-3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7.2953698214548509E-6</v>
      </c>
      <c r="C6" s="883"/>
      <c r="D6" s="883">
        <f>vkm_GW_PW*SUMIFS(TableVerdeelsleutelVkm[CNG],TableVerdeelsleutelVkm[Voertuigtype],"Lichte voertuigen")*SUMIFS(TableECFTransport[EnergieConsumptieFactor (PJ per km)],TableECFTransport[Index],CONCATENATE($A6,"_CNG_CNG"))</f>
        <v>1.0811520778254349E-5</v>
      </c>
      <c r="E6" s="883">
        <f>vkm_GW_PW*SUMIFS(TableVerdeelsleutelVkm[LPG],TableVerdeelsleutelVkm[Voertuigtype],"Lichte voertuigen")*SUMIFS(TableECFTransport[EnergieConsumptieFactor (PJ per km)],TableECFTransport[Index],CONCATENATE($A6,"_LPG_LPG"))</f>
        <v>3.872291685698825E-4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7.7931035067664467E-2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1.9908596811815473E-2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4.4262108801616509E-3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5.5205065838227999E-2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1.2826535591884066E-6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2.4925948905684357E-3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1.3782443758991E-6</v>
      </c>
      <c r="C8" s="883"/>
      <c r="D8" s="432">
        <f>vkm_NGW_PW*SUMIFS(TableVerdeelsleutelVkm[CNG],TableVerdeelsleutelVkm[Voertuigtype],"Lichte voertuigen")*SUMIFS(TableECFTransport[EnergieConsumptieFactor (PJ per km)],TableECFTransport[Index],CONCATENATE($A8,"_CNG_CNG"))</f>
        <v>3.4662028847177048E-6</v>
      </c>
      <c r="E8" s="432">
        <f>vkm_NGW_PW*SUMIFS(TableVerdeelsleutelVkm[LPG],TableVerdeelsleutelVkm[Voertuigtype],"Lichte voertuigen")*SUMIFS(TableECFTransport[EnergieConsumptieFactor (PJ per km)],TableECFTransport[Index],CONCATENATE($A8,"_LPG_LPG"))</f>
        <v>1.1738858644215643E-4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2.2441653254205204E-2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6.1332572048870358E-3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1.2928525030882758E-3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9.8160458444260311E-4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2.643531686854183E-8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4.4321144554541397E-5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2.4093372770427641</v>
      </c>
      <c r="C14" s="21"/>
      <c r="D14" s="21">
        <f t="shared" ref="D14:M14" si="0">((D5)*10^9/3600)+D12</f>
        <v>3.9660343508255704</v>
      </c>
      <c r="E14" s="21">
        <f t="shared" si="0"/>
        <v>140.17159861445526</v>
      </c>
      <c r="F14" s="21"/>
      <c r="G14" s="21">
        <f t="shared" si="0"/>
        <v>43488.710762372299</v>
      </c>
      <c r="H14" s="21">
        <f t="shared" si="0"/>
        <v>7234.2119737718231</v>
      </c>
      <c r="I14" s="21"/>
      <c r="J14" s="21"/>
      <c r="K14" s="21"/>
      <c r="L14" s="21"/>
      <c r="M14" s="21">
        <f t="shared" si="0"/>
        <v>2293.3276162146954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0.20548245716225219</v>
      </c>
      <c r="C16" s="56">
        <f ca="1">'EF ele_warmte'!B22</f>
        <v>0.21229168805184187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0.49507654381935712</v>
      </c>
      <c r="C18" s="23"/>
      <c r="D18" s="23">
        <f t="shared" ref="D18:M18" si="1">D14*D16</f>
        <v>0.80113893886676524</v>
      </c>
      <c r="E18" s="23">
        <f t="shared" si="1"/>
        <v>31.818952885481345</v>
      </c>
      <c r="F18" s="23"/>
      <c r="G18" s="23">
        <f t="shared" si="1"/>
        <v>11611.485773553404</v>
      </c>
      <c r="H18" s="23">
        <f t="shared" si="1"/>
        <v>1801.3187814691839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4.9968029182523473E-3</v>
      </c>
      <c r="H50" s="321">
        <f t="shared" si="2"/>
        <v>0</v>
      </c>
      <c r="I50" s="321">
        <f t="shared" si="2"/>
        <v>0</v>
      </c>
      <c r="J50" s="321">
        <f t="shared" si="2"/>
        <v>0</v>
      </c>
      <c r="K50" s="321">
        <f t="shared" si="2"/>
        <v>0</v>
      </c>
      <c r="L50" s="321">
        <f t="shared" si="2"/>
        <v>0</v>
      </c>
      <c r="M50" s="321">
        <f t="shared" si="2"/>
        <v>2.2241183170741138E-4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4.9968029182523473E-3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2.2241183170741138E-4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1388.0008106256519</v>
      </c>
      <c r="H54" s="21">
        <f t="shared" si="3"/>
        <v>0</v>
      </c>
      <c r="I54" s="21">
        <f t="shared" si="3"/>
        <v>0</v>
      </c>
      <c r="J54" s="21">
        <f t="shared" si="3"/>
        <v>0</v>
      </c>
      <c r="K54" s="21">
        <f t="shared" si="3"/>
        <v>0</v>
      </c>
      <c r="L54" s="21">
        <f t="shared" si="3"/>
        <v>0</v>
      </c>
      <c r="M54" s="21">
        <f t="shared" si="3"/>
        <v>61.781064363169833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0.20548245716225219</v>
      </c>
      <c r="C56" s="56">
        <f ca="1">'EF ele_warmte'!B22</f>
        <v>0.21229168805184187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370.59621643704907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20341.771028942549</v>
      </c>
      <c r="D10" s="686">
        <f ca="1">tertiair!C16</f>
        <v>0</v>
      </c>
      <c r="E10" s="686">
        <f ca="1">tertiair!D16</f>
        <v>11905.724094146517</v>
      </c>
      <c r="F10" s="686">
        <f>tertiair!E16</f>
        <v>298.81326604582353</v>
      </c>
      <c r="G10" s="686">
        <f ca="1">tertiair!F16</f>
        <v>4025.097033663088</v>
      </c>
      <c r="H10" s="686">
        <f>tertiair!G16</f>
        <v>0</v>
      </c>
      <c r="I10" s="686">
        <f>tertiair!H16</f>
        <v>0</v>
      </c>
      <c r="J10" s="686">
        <f>tertiair!I16</f>
        <v>0</v>
      </c>
      <c r="K10" s="686">
        <f>tertiair!J16</f>
        <v>0</v>
      </c>
      <c r="L10" s="686">
        <f>tertiair!K16</f>
        <v>0</v>
      </c>
      <c r="M10" s="686">
        <f ca="1">tertiair!L16</f>
        <v>0</v>
      </c>
      <c r="N10" s="686">
        <f>tertiair!M16</f>
        <v>0</v>
      </c>
      <c r="O10" s="686">
        <f ca="1">tertiair!N16</f>
        <v>1869.4467365974574</v>
      </c>
      <c r="P10" s="686">
        <f>tertiair!O16</f>
        <v>0</v>
      </c>
      <c r="Q10" s="687">
        <f>tertiair!P16</f>
        <v>0</v>
      </c>
      <c r="R10" s="689">
        <f ca="1">SUM(C10:Q10)</f>
        <v>38440.852159395436</v>
      </c>
      <c r="S10" s="67"/>
    </row>
    <row r="11" spans="1:19" s="454" customFormat="1">
      <c r="A11" s="801" t="s">
        <v>224</v>
      </c>
      <c r="B11" s="806"/>
      <c r="C11" s="686">
        <f>huishoudens!B8</f>
        <v>22816.665441087691</v>
      </c>
      <c r="D11" s="686">
        <f>huishoudens!C8</f>
        <v>0</v>
      </c>
      <c r="E11" s="686">
        <f>huishoudens!D8</f>
        <v>52838.385981288804</v>
      </c>
      <c r="F11" s="686">
        <f>huishoudens!E8</f>
        <v>6151.5724716806571</v>
      </c>
      <c r="G11" s="686">
        <f>huishoudens!F8</f>
        <v>0</v>
      </c>
      <c r="H11" s="686">
        <f>huishoudens!G8</f>
        <v>0</v>
      </c>
      <c r="I11" s="686">
        <f>huishoudens!H8</f>
        <v>0</v>
      </c>
      <c r="J11" s="686">
        <f>huishoudens!I8</f>
        <v>0</v>
      </c>
      <c r="K11" s="686">
        <f>huishoudens!J8</f>
        <v>180.64782016832177</v>
      </c>
      <c r="L11" s="686">
        <f>huishoudens!K8</f>
        <v>0</v>
      </c>
      <c r="M11" s="686">
        <f>huishoudens!L8</f>
        <v>0</v>
      </c>
      <c r="N11" s="686">
        <f>huishoudens!M8</f>
        <v>0</v>
      </c>
      <c r="O11" s="686">
        <f>huishoudens!N8</f>
        <v>19394.312503474932</v>
      </c>
      <c r="P11" s="686">
        <f>huishoudens!O8</f>
        <v>120.37666666666668</v>
      </c>
      <c r="Q11" s="687">
        <f>huishoudens!P8</f>
        <v>476.66666666666663</v>
      </c>
      <c r="R11" s="689">
        <f>SUM(C11:Q11)</f>
        <v>101978.62755103374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13132.053272705311</v>
      </c>
      <c r="D13" s="686">
        <f>industrie!C18</f>
        <v>0</v>
      </c>
      <c r="E13" s="686">
        <f>industrie!D18</f>
        <v>17715.220124422318</v>
      </c>
      <c r="F13" s="686">
        <f>industrie!E18</f>
        <v>1444.7651359243271</v>
      </c>
      <c r="G13" s="686">
        <f>industrie!F18</f>
        <v>5057.5265736335705</v>
      </c>
      <c r="H13" s="686">
        <f>industrie!G18</f>
        <v>0</v>
      </c>
      <c r="I13" s="686">
        <f>industrie!H18</f>
        <v>0</v>
      </c>
      <c r="J13" s="686">
        <f>industrie!I18</f>
        <v>0</v>
      </c>
      <c r="K13" s="686">
        <f>industrie!J18</f>
        <v>22.667229413655917</v>
      </c>
      <c r="L13" s="686">
        <f>industrie!K18</f>
        <v>0</v>
      </c>
      <c r="M13" s="686">
        <f>industrie!L18</f>
        <v>0</v>
      </c>
      <c r="N13" s="686">
        <f>industrie!M18</f>
        <v>0</v>
      </c>
      <c r="O13" s="686">
        <f>industrie!N18</f>
        <v>833.22529474004386</v>
      </c>
      <c r="P13" s="686">
        <f>industrie!O18</f>
        <v>0</v>
      </c>
      <c r="Q13" s="687">
        <f>industrie!P18</f>
        <v>0</v>
      </c>
      <c r="R13" s="689">
        <f>SUM(C13:Q13)</f>
        <v>38205.457630839228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56290.489742735546</v>
      </c>
      <c r="D16" s="721">
        <f t="shared" ref="D16:R16" ca="1" si="0">SUM(D9:D15)</f>
        <v>0</v>
      </c>
      <c r="E16" s="721">
        <f t="shared" ca="1" si="0"/>
        <v>82459.33019985765</v>
      </c>
      <c r="F16" s="721">
        <f t="shared" si="0"/>
        <v>7895.1508736508076</v>
      </c>
      <c r="G16" s="721">
        <f t="shared" ca="1" si="0"/>
        <v>9082.6236072966585</v>
      </c>
      <c r="H16" s="721">
        <f t="shared" si="0"/>
        <v>0</v>
      </c>
      <c r="I16" s="721">
        <f t="shared" si="0"/>
        <v>0</v>
      </c>
      <c r="J16" s="721">
        <f t="shared" si="0"/>
        <v>0</v>
      </c>
      <c r="K16" s="721">
        <f t="shared" si="0"/>
        <v>203.31504958197769</v>
      </c>
      <c r="L16" s="721">
        <f t="shared" si="0"/>
        <v>0</v>
      </c>
      <c r="M16" s="721">
        <f t="shared" ca="1" si="0"/>
        <v>0</v>
      </c>
      <c r="N16" s="721">
        <f t="shared" si="0"/>
        <v>0</v>
      </c>
      <c r="O16" s="721">
        <f t="shared" ca="1" si="0"/>
        <v>22096.984534812433</v>
      </c>
      <c r="P16" s="721">
        <f t="shared" si="0"/>
        <v>120.37666666666668</v>
      </c>
      <c r="Q16" s="721">
        <f t="shared" si="0"/>
        <v>476.66666666666663</v>
      </c>
      <c r="R16" s="721">
        <f t="shared" ca="1" si="0"/>
        <v>178624.93734126841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1388.0008106256519</v>
      </c>
      <c r="I19" s="686">
        <f>transport!H54</f>
        <v>0</v>
      </c>
      <c r="J19" s="686">
        <f>transport!I54</f>
        <v>0</v>
      </c>
      <c r="K19" s="686">
        <f>transport!J54</f>
        <v>0</v>
      </c>
      <c r="L19" s="686">
        <f>transport!K54</f>
        <v>0</v>
      </c>
      <c r="M19" s="686">
        <f>transport!L54</f>
        <v>0</v>
      </c>
      <c r="N19" s="686">
        <f>transport!M54</f>
        <v>61.781064363169833</v>
      </c>
      <c r="O19" s="686">
        <f>transport!N54</f>
        <v>0</v>
      </c>
      <c r="P19" s="686">
        <f>transport!O54</f>
        <v>0</v>
      </c>
      <c r="Q19" s="687">
        <f>transport!P54</f>
        <v>0</v>
      </c>
      <c r="R19" s="689">
        <f>SUM(C19:Q19)</f>
        <v>1449.7818749888218</v>
      </c>
      <c r="S19" s="67"/>
    </row>
    <row r="20" spans="1:19" s="454" customFormat="1">
      <c r="A20" s="801" t="s">
        <v>306</v>
      </c>
      <c r="B20" s="806"/>
      <c r="C20" s="686">
        <f>transport!B14</f>
        <v>2.4093372770427641</v>
      </c>
      <c r="D20" s="686">
        <f>transport!C14</f>
        <v>0</v>
      </c>
      <c r="E20" s="686">
        <f>transport!D14</f>
        <v>3.9660343508255704</v>
      </c>
      <c r="F20" s="686">
        <f>transport!E14</f>
        <v>140.17159861445526</v>
      </c>
      <c r="G20" s="686">
        <f>transport!F14</f>
        <v>0</v>
      </c>
      <c r="H20" s="686">
        <f>transport!G14</f>
        <v>43488.710762372299</v>
      </c>
      <c r="I20" s="686">
        <f>transport!H14</f>
        <v>7234.2119737718231</v>
      </c>
      <c r="J20" s="686">
        <f>transport!I14</f>
        <v>0</v>
      </c>
      <c r="K20" s="686">
        <f>transport!J14</f>
        <v>0</v>
      </c>
      <c r="L20" s="686">
        <f>transport!K14</f>
        <v>0</v>
      </c>
      <c r="M20" s="686">
        <f>transport!L14</f>
        <v>0</v>
      </c>
      <c r="N20" s="686">
        <f>transport!M14</f>
        <v>2293.3276162146954</v>
      </c>
      <c r="O20" s="686">
        <f>transport!N14</f>
        <v>0</v>
      </c>
      <c r="P20" s="686">
        <f>transport!O14</f>
        <v>0</v>
      </c>
      <c r="Q20" s="687">
        <f>transport!P14</f>
        <v>0</v>
      </c>
      <c r="R20" s="689">
        <f>SUM(C20:Q20)</f>
        <v>53162.797322601138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2.4093372770427641</v>
      </c>
      <c r="D22" s="804">
        <f t="shared" ref="D22:R22" si="1">SUM(D18:D21)</f>
        <v>0</v>
      </c>
      <c r="E22" s="804">
        <f t="shared" si="1"/>
        <v>3.9660343508255704</v>
      </c>
      <c r="F22" s="804">
        <f t="shared" si="1"/>
        <v>140.17159861445526</v>
      </c>
      <c r="G22" s="804">
        <f t="shared" si="1"/>
        <v>0</v>
      </c>
      <c r="H22" s="804">
        <f t="shared" si="1"/>
        <v>44876.711572997949</v>
      </c>
      <c r="I22" s="804">
        <f t="shared" si="1"/>
        <v>7234.2119737718231</v>
      </c>
      <c r="J22" s="804">
        <f t="shared" si="1"/>
        <v>0</v>
      </c>
      <c r="K22" s="804">
        <f t="shared" si="1"/>
        <v>0</v>
      </c>
      <c r="L22" s="804">
        <f t="shared" si="1"/>
        <v>0</v>
      </c>
      <c r="M22" s="804">
        <f t="shared" si="1"/>
        <v>0</v>
      </c>
      <c r="N22" s="804">
        <f t="shared" si="1"/>
        <v>2355.108680577865</v>
      </c>
      <c r="O22" s="804">
        <f t="shared" si="1"/>
        <v>0</v>
      </c>
      <c r="P22" s="804">
        <f t="shared" si="1"/>
        <v>0</v>
      </c>
      <c r="Q22" s="804">
        <f t="shared" si="1"/>
        <v>0</v>
      </c>
      <c r="R22" s="804">
        <f t="shared" si="1"/>
        <v>54612.579197589963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5704.8336992399772</v>
      </c>
      <c r="D24" s="686">
        <f>+landbouw!C8</f>
        <v>175570.01785714287</v>
      </c>
      <c r="E24" s="686">
        <f>+landbouw!D8</f>
        <v>0</v>
      </c>
      <c r="F24" s="686">
        <f>+landbouw!E8</f>
        <v>71.888253930496333</v>
      </c>
      <c r="G24" s="686">
        <f>+landbouw!F8</f>
        <v>19683.105408614574</v>
      </c>
      <c r="H24" s="686">
        <f>+landbouw!G8</f>
        <v>0</v>
      </c>
      <c r="I24" s="686">
        <f>+landbouw!H8</f>
        <v>0</v>
      </c>
      <c r="J24" s="686">
        <f>+landbouw!I8</f>
        <v>0</v>
      </c>
      <c r="K24" s="686">
        <f>+landbouw!J8</f>
        <v>857.94213810497854</v>
      </c>
      <c r="L24" s="686">
        <f>+landbouw!K8</f>
        <v>0</v>
      </c>
      <c r="M24" s="686">
        <f>+landbouw!L8</f>
        <v>0</v>
      </c>
      <c r="N24" s="686">
        <f>+landbouw!M8</f>
        <v>0</v>
      </c>
      <c r="O24" s="686">
        <f>+landbouw!N8</f>
        <v>0</v>
      </c>
      <c r="P24" s="686">
        <f>+landbouw!O8</f>
        <v>0</v>
      </c>
      <c r="Q24" s="687">
        <f>+landbouw!P8</f>
        <v>0</v>
      </c>
      <c r="R24" s="689">
        <f>SUM(C24:Q24)</f>
        <v>201887.78735703288</v>
      </c>
      <c r="S24" s="67"/>
    </row>
    <row r="25" spans="1:19" s="454" customFormat="1" ht="15" thickBot="1">
      <c r="A25" s="823" t="s">
        <v>856</v>
      </c>
      <c r="B25" s="991"/>
      <c r="C25" s="992">
        <f>IF(Onbekend_ele_kWh="---",0,Onbekend_ele_kWh)/1000+IF(REST_rest_ele_kWh="---",0,REST_rest_ele_kWh)/1000</f>
        <v>649.49629011167701</v>
      </c>
      <c r="D25" s="992"/>
      <c r="E25" s="992">
        <f>IF(onbekend_gas_kWh="---",0,onbekend_gas_kWh)/1000+IF(REST_rest_gas_kWh="---",0,REST_rest_gas_kWh)/1000</f>
        <v>1285.2433124762501</v>
      </c>
      <c r="F25" s="992"/>
      <c r="G25" s="992"/>
      <c r="H25" s="992"/>
      <c r="I25" s="992"/>
      <c r="J25" s="992"/>
      <c r="K25" s="992"/>
      <c r="L25" s="992"/>
      <c r="M25" s="992"/>
      <c r="N25" s="992"/>
      <c r="O25" s="992"/>
      <c r="P25" s="992"/>
      <c r="Q25" s="993"/>
      <c r="R25" s="689">
        <f>SUM(C25:Q25)</f>
        <v>1934.739602587927</v>
      </c>
      <c r="S25" s="67"/>
    </row>
    <row r="26" spans="1:19" s="454" customFormat="1" ht="15.75" thickBot="1">
      <c r="A26" s="694" t="s">
        <v>857</v>
      </c>
      <c r="B26" s="809"/>
      <c r="C26" s="804">
        <f>SUM(C24:C25)</f>
        <v>6354.3299893516541</v>
      </c>
      <c r="D26" s="804">
        <f t="shared" ref="D26:R26" si="2">SUM(D24:D25)</f>
        <v>175570.01785714287</v>
      </c>
      <c r="E26" s="804">
        <f t="shared" si="2"/>
        <v>1285.2433124762501</v>
      </c>
      <c r="F26" s="804">
        <f t="shared" si="2"/>
        <v>71.888253930496333</v>
      </c>
      <c r="G26" s="804">
        <f t="shared" si="2"/>
        <v>19683.105408614574</v>
      </c>
      <c r="H26" s="804">
        <f t="shared" si="2"/>
        <v>0</v>
      </c>
      <c r="I26" s="804">
        <f t="shared" si="2"/>
        <v>0</v>
      </c>
      <c r="J26" s="804">
        <f t="shared" si="2"/>
        <v>0</v>
      </c>
      <c r="K26" s="804">
        <f t="shared" si="2"/>
        <v>857.94213810497854</v>
      </c>
      <c r="L26" s="804">
        <f t="shared" si="2"/>
        <v>0</v>
      </c>
      <c r="M26" s="804">
        <f t="shared" si="2"/>
        <v>0</v>
      </c>
      <c r="N26" s="804">
        <f t="shared" si="2"/>
        <v>0</v>
      </c>
      <c r="O26" s="804">
        <f t="shared" si="2"/>
        <v>0</v>
      </c>
      <c r="P26" s="804">
        <f t="shared" si="2"/>
        <v>0</v>
      </c>
      <c r="Q26" s="804">
        <f t="shared" si="2"/>
        <v>0</v>
      </c>
      <c r="R26" s="804">
        <f t="shared" si="2"/>
        <v>203822.52695962079</v>
      </c>
      <c r="S26" s="67"/>
    </row>
    <row r="27" spans="1:19" s="454" customFormat="1" ht="17.25" thickTop="1" thickBot="1">
      <c r="A27" s="695" t="s">
        <v>115</v>
      </c>
      <c r="B27" s="796"/>
      <c r="C27" s="696">
        <f ca="1">C22+C16+C26</f>
        <v>62647.229069364243</v>
      </c>
      <c r="D27" s="696">
        <f t="shared" ref="D27:R27" ca="1" si="3">D22+D16+D26</f>
        <v>175570.01785714287</v>
      </c>
      <c r="E27" s="696">
        <f t="shared" ca="1" si="3"/>
        <v>83748.539546684726</v>
      </c>
      <c r="F27" s="696">
        <f t="shared" si="3"/>
        <v>8107.210726195759</v>
      </c>
      <c r="G27" s="696">
        <f t="shared" ca="1" si="3"/>
        <v>28765.729015911231</v>
      </c>
      <c r="H27" s="696">
        <f t="shared" si="3"/>
        <v>44876.711572997949</v>
      </c>
      <c r="I27" s="696">
        <f t="shared" si="3"/>
        <v>7234.2119737718231</v>
      </c>
      <c r="J27" s="696">
        <f t="shared" si="3"/>
        <v>0</v>
      </c>
      <c r="K27" s="696">
        <f t="shared" si="3"/>
        <v>1061.2571876869563</v>
      </c>
      <c r="L27" s="696">
        <f t="shared" si="3"/>
        <v>0</v>
      </c>
      <c r="M27" s="696">
        <f t="shared" ca="1" si="3"/>
        <v>0</v>
      </c>
      <c r="N27" s="696">
        <f t="shared" si="3"/>
        <v>2355.108680577865</v>
      </c>
      <c r="O27" s="696">
        <f t="shared" ca="1" si="3"/>
        <v>22096.984534812433</v>
      </c>
      <c r="P27" s="696">
        <f t="shared" si="3"/>
        <v>120.37666666666668</v>
      </c>
      <c r="Q27" s="696">
        <f t="shared" si="3"/>
        <v>476.66666666666663</v>
      </c>
      <c r="R27" s="696">
        <f t="shared" ca="1" si="3"/>
        <v>437060.04349847918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4179.8770940590293</v>
      </c>
      <c r="D40" s="686">
        <f ca="1">tertiair!C20</f>
        <v>0</v>
      </c>
      <c r="E40" s="686">
        <f ca="1">tertiair!D20</f>
        <v>2404.9562670175965</v>
      </c>
      <c r="F40" s="686">
        <f>tertiair!E20</f>
        <v>67.830611392401948</v>
      </c>
      <c r="G40" s="686">
        <f ca="1">tertiair!F20</f>
        <v>1074.7009079880445</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7727.3648804570721</v>
      </c>
    </row>
    <row r="41" spans="1:18">
      <c r="A41" s="814" t="s">
        <v>224</v>
      </c>
      <c r="B41" s="821"/>
      <c r="C41" s="686">
        <f ca="1">huishoudens!B12</f>
        <v>4688.4244790837411</v>
      </c>
      <c r="D41" s="686">
        <f ca="1">huishoudens!C12</f>
        <v>0</v>
      </c>
      <c r="E41" s="686">
        <f>huishoudens!D12</f>
        <v>10673.353968220339</v>
      </c>
      <c r="F41" s="686">
        <f>huishoudens!E12</f>
        <v>1396.4069510715092</v>
      </c>
      <c r="G41" s="686">
        <f>huishoudens!F12</f>
        <v>0</v>
      </c>
      <c r="H41" s="686">
        <f>huishoudens!G12</f>
        <v>0</v>
      </c>
      <c r="I41" s="686">
        <f>huishoudens!H12</f>
        <v>0</v>
      </c>
      <c r="J41" s="686">
        <f>huishoudens!I12</f>
        <v>0</v>
      </c>
      <c r="K41" s="686">
        <f>huishoudens!J12</f>
        <v>63.949328339585904</v>
      </c>
      <c r="L41" s="686">
        <f>huishoudens!K12</f>
        <v>0</v>
      </c>
      <c r="M41" s="686">
        <f>huishoudens!L12</f>
        <v>0</v>
      </c>
      <c r="N41" s="686">
        <f>huishoudens!M12</f>
        <v>0</v>
      </c>
      <c r="O41" s="686">
        <f>huishoudens!N12</f>
        <v>0</v>
      </c>
      <c r="P41" s="686">
        <f>huishoudens!O12</f>
        <v>0</v>
      </c>
      <c r="Q41" s="763">
        <f>huishoudens!P12</f>
        <v>0</v>
      </c>
      <c r="R41" s="842">
        <f t="shared" ca="1" si="4"/>
        <v>16822.134726715176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2698.4065740610827</v>
      </c>
      <c r="D43" s="686">
        <f ca="1">industrie!C22</f>
        <v>0</v>
      </c>
      <c r="E43" s="686">
        <f>industrie!D22</f>
        <v>3578.4744651333085</v>
      </c>
      <c r="F43" s="686">
        <f>industrie!E22</f>
        <v>327.96168585482224</v>
      </c>
      <c r="G43" s="686">
        <f>industrie!F22</f>
        <v>1350.3595951601633</v>
      </c>
      <c r="H43" s="686">
        <f>industrie!G22</f>
        <v>0</v>
      </c>
      <c r="I43" s="686">
        <f>industrie!H22</f>
        <v>0</v>
      </c>
      <c r="J43" s="686">
        <f>industrie!I22</f>
        <v>0</v>
      </c>
      <c r="K43" s="686">
        <f>industrie!J22</f>
        <v>8.0241992124341941</v>
      </c>
      <c r="L43" s="686">
        <f>industrie!K22</f>
        <v>0</v>
      </c>
      <c r="M43" s="686">
        <f>industrie!L22</f>
        <v>0</v>
      </c>
      <c r="N43" s="686">
        <f>industrie!M22</f>
        <v>0</v>
      </c>
      <c r="O43" s="686">
        <f>industrie!N22</f>
        <v>0</v>
      </c>
      <c r="P43" s="686">
        <f>industrie!O22</f>
        <v>0</v>
      </c>
      <c r="Q43" s="763">
        <f>industrie!P22</f>
        <v>0</v>
      </c>
      <c r="R43" s="841">
        <f t="shared" ca="1" si="4"/>
        <v>7963.2265194218107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11566.708147203852</v>
      </c>
      <c r="D46" s="721">
        <f t="shared" ref="D46:Q46" ca="1" si="5">SUM(D39:D45)</f>
        <v>0</v>
      </c>
      <c r="E46" s="721">
        <f t="shared" ca="1" si="5"/>
        <v>16656.784700371245</v>
      </c>
      <c r="F46" s="721">
        <f t="shared" si="5"/>
        <v>1792.1992483187335</v>
      </c>
      <c r="G46" s="721">
        <f t="shared" ca="1" si="5"/>
        <v>2425.0605031482078</v>
      </c>
      <c r="H46" s="721">
        <f t="shared" si="5"/>
        <v>0</v>
      </c>
      <c r="I46" s="721">
        <f t="shared" si="5"/>
        <v>0</v>
      </c>
      <c r="J46" s="721">
        <f t="shared" si="5"/>
        <v>0</v>
      </c>
      <c r="K46" s="721">
        <f t="shared" si="5"/>
        <v>71.973527552020101</v>
      </c>
      <c r="L46" s="721">
        <f t="shared" si="5"/>
        <v>0</v>
      </c>
      <c r="M46" s="721">
        <f t="shared" ca="1" si="5"/>
        <v>0</v>
      </c>
      <c r="N46" s="721">
        <f t="shared" si="5"/>
        <v>0</v>
      </c>
      <c r="O46" s="721">
        <f t="shared" ca="1" si="5"/>
        <v>0</v>
      </c>
      <c r="P46" s="721">
        <f t="shared" si="5"/>
        <v>0</v>
      </c>
      <c r="Q46" s="721">
        <f t="shared" si="5"/>
        <v>0</v>
      </c>
      <c r="R46" s="721">
        <f ca="1">SUM(R39:R45)</f>
        <v>32512.726126594061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370.59621643704907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370.59621643704907</v>
      </c>
    </row>
    <row r="50" spans="1:18">
      <c r="A50" s="817" t="s">
        <v>306</v>
      </c>
      <c r="B50" s="827"/>
      <c r="C50" s="692">
        <f ca="1">transport!B18</f>
        <v>0.49507654381935712</v>
      </c>
      <c r="D50" s="692">
        <f>transport!C18</f>
        <v>0</v>
      </c>
      <c r="E50" s="692">
        <f>transport!D18</f>
        <v>0.80113893886676524</v>
      </c>
      <c r="F50" s="692">
        <f>transport!E18</f>
        <v>31.818952885481345</v>
      </c>
      <c r="G50" s="692">
        <f>transport!F18</f>
        <v>0</v>
      </c>
      <c r="H50" s="692">
        <f>transport!G18</f>
        <v>11611.485773553404</v>
      </c>
      <c r="I50" s="692">
        <f>transport!H18</f>
        <v>1801.3187814691839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13445.919723390756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0.49507654381935712</v>
      </c>
      <c r="D52" s="721">
        <f t="shared" ref="D52:Q52" ca="1" si="6">SUM(D48:D51)</f>
        <v>0</v>
      </c>
      <c r="E52" s="721">
        <f t="shared" si="6"/>
        <v>0.80113893886676524</v>
      </c>
      <c r="F52" s="721">
        <f t="shared" si="6"/>
        <v>31.818952885481345</v>
      </c>
      <c r="G52" s="721">
        <f t="shared" si="6"/>
        <v>0</v>
      </c>
      <c r="H52" s="721">
        <f t="shared" si="6"/>
        <v>11982.081989990453</v>
      </c>
      <c r="I52" s="721">
        <f t="shared" si="6"/>
        <v>1801.3187814691839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13816.515939827805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1172.2432462218512</v>
      </c>
      <c r="D54" s="692">
        <f ca="1">+landbouw!C12</f>
        <v>37272.055462184879</v>
      </c>
      <c r="E54" s="692">
        <f>+landbouw!D12</f>
        <v>0</v>
      </c>
      <c r="F54" s="692">
        <f>+landbouw!E12</f>
        <v>16.318633642222668</v>
      </c>
      <c r="G54" s="692">
        <f>+landbouw!F12</f>
        <v>5255.3891441000915</v>
      </c>
      <c r="H54" s="692">
        <f>+landbouw!G12</f>
        <v>0</v>
      </c>
      <c r="I54" s="692">
        <f>+landbouw!H12</f>
        <v>0</v>
      </c>
      <c r="J54" s="692">
        <f>+landbouw!I12</f>
        <v>0</v>
      </c>
      <c r="K54" s="692">
        <f>+landbouw!J12</f>
        <v>303.7115168891624</v>
      </c>
      <c r="L54" s="692">
        <f>+landbouw!K12</f>
        <v>0</v>
      </c>
      <c r="M54" s="692">
        <f>+landbouw!L12</f>
        <v>0</v>
      </c>
      <c r="N54" s="692">
        <f>+landbouw!M12</f>
        <v>0</v>
      </c>
      <c r="O54" s="692">
        <f>+landbouw!N12</f>
        <v>0</v>
      </c>
      <c r="P54" s="692">
        <f>+landbouw!O12</f>
        <v>0</v>
      </c>
      <c r="Q54" s="693">
        <f>+landbouw!P12</f>
        <v>0</v>
      </c>
      <c r="R54" s="720">
        <f ca="1">SUM(C54:Q54)</f>
        <v>44019.718003038201</v>
      </c>
    </row>
    <row r="55" spans="1:18" ht="15" thickBot="1">
      <c r="A55" s="817" t="s">
        <v>856</v>
      </c>
      <c r="B55" s="827"/>
      <c r="C55" s="692">
        <f ca="1">C25*'EF ele_warmte'!B12</f>
        <v>133.4600936099144</v>
      </c>
      <c r="D55" s="692"/>
      <c r="E55" s="692">
        <f>E25*EF_CO2_aardgas</f>
        <v>259.61914912020256</v>
      </c>
      <c r="F55" s="692"/>
      <c r="G55" s="692"/>
      <c r="H55" s="692"/>
      <c r="I55" s="692"/>
      <c r="J55" s="692"/>
      <c r="K55" s="692"/>
      <c r="L55" s="692"/>
      <c r="M55" s="692"/>
      <c r="N55" s="692"/>
      <c r="O55" s="692"/>
      <c r="P55" s="692"/>
      <c r="Q55" s="693"/>
      <c r="R55" s="720">
        <f ca="1">SUM(C55:Q55)</f>
        <v>393.07924273011696</v>
      </c>
    </row>
    <row r="56" spans="1:18" ht="15.75" thickBot="1">
      <c r="A56" s="815" t="s">
        <v>857</v>
      </c>
      <c r="B56" s="828"/>
      <c r="C56" s="721">
        <f ca="1">SUM(C54:C55)</f>
        <v>1305.7033398317656</v>
      </c>
      <c r="D56" s="721">
        <f t="shared" ref="D56:Q56" ca="1" si="7">SUM(D54:D55)</f>
        <v>37272.055462184879</v>
      </c>
      <c r="E56" s="721">
        <f t="shared" si="7"/>
        <v>259.61914912020256</v>
      </c>
      <c r="F56" s="721">
        <f t="shared" si="7"/>
        <v>16.318633642222668</v>
      </c>
      <c r="G56" s="721">
        <f t="shared" si="7"/>
        <v>5255.3891441000915</v>
      </c>
      <c r="H56" s="721">
        <f t="shared" si="7"/>
        <v>0</v>
      </c>
      <c r="I56" s="721">
        <f t="shared" si="7"/>
        <v>0</v>
      </c>
      <c r="J56" s="721">
        <f t="shared" si="7"/>
        <v>0</v>
      </c>
      <c r="K56" s="721">
        <f t="shared" si="7"/>
        <v>303.7115168891624</v>
      </c>
      <c r="L56" s="721">
        <f t="shared" si="7"/>
        <v>0</v>
      </c>
      <c r="M56" s="721">
        <f t="shared" si="7"/>
        <v>0</v>
      </c>
      <c r="N56" s="721">
        <f t="shared" si="7"/>
        <v>0</v>
      </c>
      <c r="O56" s="721">
        <f t="shared" si="7"/>
        <v>0</v>
      </c>
      <c r="P56" s="721">
        <f t="shared" si="7"/>
        <v>0</v>
      </c>
      <c r="Q56" s="722">
        <f t="shared" si="7"/>
        <v>0</v>
      </c>
      <c r="R56" s="723">
        <f ca="1">SUM(R54:R55)</f>
        <v>44412.797245768321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12872.906563579436</v>
      </c>
      <c r="D61" s="729">
        <f t="shared" ref="D61:Q61" ca="1" si="8">D46+D52+D56</f>
        <v>37272.055462184879</v>
      </c>
      <c r="E61" s="729">
        <f t="shared" ca="1" si="8"/>
        <v>16917.204988430312</v>
      </c>
      <c r="F61" s="729">
        <f t="shared" si="8"/>
        <v>1840.3368348464376</v>
      </c>
      <c r="G61" s="729">
        <f t="shared" ca="1" si="8"/>
        <v>7680.4496472482988</v>
      </c>
      <c r="H61" s="729">
        <f t="shared" si="8"/>
        <v>11982.081989990453</v>
      </c>
      <c r="I61" s="729">
        <f t="shared" si="8"/>
        <v>1801.3187814691839</v>
      </c>
      <c r="J61" s="729">
        <f t="shared" si="8"/>
        <v>0</v>
      </c>
      <c r="K61" s="729">
        <f t="shared" si="8"/>
        <v>375.68504444118253</v>
      </c>
      <c r="L61" s="729">
        <f t="shared" si="8"/>
        <v>0</v>
      </c>
      <c r="M61" s="729">
        <f t="shared" ca="1" si="8"/>
        <v>0</v>
      </c>
      <c r="N61" s="729">
        <f t="shared" si="8"/>
        <v>0</v>
      </c>
      <c r="O61" s="729">
        <f t="shared" ca="1" si="8"/>
        <v>0</v>
      </c>
      <c r="P61" s="729">
        <f t="shared" si="8"/>
        <v>0</v>
      </c>
      <c r="Q61" s="729">
        <f t="shared" si="8"/>
        <v>0</v>
      </c>
      <c r="R61" s="729">
        <f ca="1">R46+R52+R56</f>
        <v>90742.039312190187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0.20548245716225216</v>
      </c>
      <c r="D63" s="772">
        <f t="shared" ca="1" si="9"/>
        <v>0.21229168805184187</v>
      </c>
      <c r="E63" s="998">
        <f t="shared" ca="1" si="9"/>
        <v>0.20199999999999999</v>
      </c>
      <c r="F63" s="772">
        <f t="shared" si="9"/>
        <v>0.22700000000000004</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4072.5994995975807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13112.512499999997</v>
      </c>
      <c r="C76" s="739">
        <f>'lokale energieproductie'!B8*IFERROR(SUM(D76:H76)/SUM(D76:O76),0)</f>
        <v>109786.5</v>
      </c>
      <c r="D76" s="1008">
        <f>'lokale energieproductie'!C8</f>
        <v>129160.58823529413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15426.485294117645</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26090.438823529414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17185.111999597579</v>
      </c>
      <c r="C78" s="744">
        <f>SUM(C72:C77)</f>
        <v>109786.5</v>
      </c>
      <c r="D78" s="745">
        <f t="shared" ref="D78:H78" si="10">SUM(D76:D77)</f>
        <v>129160.58823529413</v>
      </c>
      <c r="E78" s="745">
        <f t="shared" si="10"/>
        <v>0</v>
      </c>
      <c r="F78" s="745">
        <f t="shared" si="10"/>
        <v>0</v>
      </c>
      <c r="G78" s="745">
        <f t="shared" si="10"/>
        <v>0</v>
      </c>
      <c r="H78" s="745">
        <f t="shared" si="10"/>
        <v>0</v>
      </c>
      <c r="I78" s="745">
        <f>SUM(I76:I77)</f>
        <v>0</v>
      </c>
      <c r="J78" s="745">
        <f>SUM(J76:J77)</f>
        <v>15426.485294117645</v>
      </c>
      <c r="K78" s="745">
        <f t="shared" ref="K78:L78" si="11">SUM(K76:K77)</f>
        <v>0</v>
      </c>
      <c r="L78" s="745">
        <f t="shared" si="11"/>
        <v>0</v>
      </c>
      <c r="M78" s="745">
        <f>SUM(M76:M77)</f>
        <v>0</v>
      </c>
      <c r="N78" s="745">
        <f>SUM(N76:N77)</f>
        <v>0</v>
      </c>
      <c r="O78" s="852">
        <f>SUM(O76:O77)</f>
        <v>0</v>
      </c>
      <c r="P78" s="746">
        <v>0</v>
      </c>
      <c r="Q78" s="746">
        <f>SUM(Q76:Q77)</f>
        <v>26090.438823529414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18732.160714285714</v>
      </c>
      <c r="C87" s="755">
        <f>'lokale energieproductie'!B17*IFERROR(SUM(D87:H87)/SUM(D87:O87),0)</f>
        <v>156837.85714285716</v>
      </c>
      <c r="D87" s="766">
        <f>'lokale energieproductie'!C17</f>
        <v>184515.12605042019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22037.836134453781</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37272.055462184879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18732.160714285714</v>
      </c>
      <c r="C90" s="744">
        <f>SUM(C87:C89)</f>
        <v>156837.85714285716</v>
      </c>
      <c r="D90" s="744">
        <f t="shared" ref="D90:H90" si="12">SUM(D87:D89)</f>
        <v>184515.12605042019</v>
      </c>
      <c r="E90" s="744">
        <f t="shared" si="12"/>
        <v>0</v>
      </c>
      <c r="F90" s="744">
        <f t="shared" si="12"/>
        <v>0</v>
      </c>
      <c r="G90" s="744">
        <f t="shared" si="12"/>
        <v>0</v>
      </c>
      <c r="H90" s="744">
        <f t="shared" si="12"/>
        <v>0</v>
      </c>
      <c r="I90" s="744">
        <f>SUM(I87:I89)</f>
        <v>0</v>
      </c>
      <c r="J90" s="744">
        <f>SUM(J87:J89)</f>
        <v>22037.836134453781</v>
      </c>
      <c r="K90" s="744">
        <f t="shared" ref="K90:L90" si="13">SUM(K87:K89)</f>
        <v>0</v>
      </c>
      <c r="L90" s="744">
        <f t="shared" si="13"/>
        <v>0</v>
      </c>
      <c r="M90" s="744">
        <f>SUM(M87:M89)</f>
        <v>0</v>
      </c>
      <c r="N90" s="744">
        <f>SUM(N87:N89)</f>
        <v>0</v>
      </c>
      <c r="O90" s="744">
        <f>SUM(O87:O89)</f>
        <v>0</v>
      </c>
      <c r="P90" s="744">
        <v>0</v>
      </c>
      <c r="Q90" s="744">
        <f>SUM(Q87:Q89)</f>
        <v>37272.055462184879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9"/>
  <sheetViews>
    <sheetView showGridLines="0" topLeftCell="A267" zoomScale="65" zoomScaleNormal="65" workbookViewId="0">
      <selection activeCell="M36" sqref="M36"/>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4072.5994995975807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N37</f>
        <v>122899.0125</v>
      </c>
      <c r="C8" s="556">
        <f>B56</f>
        <v>129160.58823529413</v>
      </c>
      <c r="D8" s="1015"/>
      <c r="E8" s="1015">
        <f>E56</f>
        <v>0</v>
      </c>
      <c r="F8" s="1016"/>
      <c r="G8" s="557"/>
      <c r="H8" s="1015">
        <f>I56</f>
        <v>0</v>
      </c>
      <c r="I8" s="1015">
        <f>G56+F56</f>
        <v>0</v>
      </c>
      <c r="J8" s="1015">
        <f>H56+D56+C56</f>
        <v>15426.485294117645</v>
      </c>
      <c r="K8" s="1015"/>
      <c r="L8" s="1015"/>
      <c r="M8" s="1015"/>
      <c r="N8" s="558"/>
      <c r="O8" s="559">
        <f>C8*$C$12+D8*$D$12+E8*$E$12+F8*$F$12+G8*$G$12+H8*$H$12+I8*$I$12+J8*$J$12</f>
        <v>26090.438823529414</v>
      </c>
      <c r="P8" s="1254"/>
      <c r="Q8" s="1255"/>
      <c r="S8" s="1027"/>
      <c r="T8" s="1275"/>
      <c r="U8" s="1275"/>
    </row>
    <row r="9" spans="1:21" s="544" customFormat="1" ht="17.45" customHeight="1" thickBot="1">
      <c r="A9" s="560" t="s">
        <v>247</v>
      </c>
      <c r="B9" s="561">
        <f>N44+'Eigen informatie GS &amp; warmtenet'!B12</f>
        <v>0</v>
      </c>
      <c r="C9" s="562">
        <f>P44+IF(ISERROR(('Eigen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S44+IF(ISERROR('Eigen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W44+IF(ISERROR('Eigen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(T44+U44)+IF(ISERROR('Eigen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V44+Q44+R44+IF(ISERROR('Eigen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126971.61199959758</v>
      </c>
      <c r="C10" s="569">
        <f t="shared" ref="C10:L10" si="0">SUM(C8:C9)</f>
        <v>129160.58823529413</v>
      </c>
      <c r="D10" s="569">
        <f t="shared" si="0"/>
        <v>0</v>
      </c>
      <c r="E10" s="569">
        <f t="shared" si="0"/>
        <v>0</v>
      </c>
      <c r="F10" s="569">
        <f t="shared" si="0"/>
        <v>0</v>
      </c>
      <c r="G10" s="569">
        <f t="shared" si="0"/>
        <v>0</v>
      </c>
      <c r="H10" s="569">
        <f t="shared" si="0"/>
        <v>0</v>
      </c>
      <c r="I10" s="569">
        <f t="shared" si="0"/>
        <v>0</v>
      </c>
      <c r="J10" s="569">
        <f t="shared" si="0"/>
        <v>15426.485294117645</v>
      </c>
      <c r="K10" s="569">
        <f t="shared" si="0"/>
        <v>0</v>
      </c>
      <c r="L10" s="569">
        <f t="shared" si="0"/>
        <v>0</v>
      </c>
      <c r="M10" s="1018"/>
      <c r="N10" s="1018"/>
      <c r="O10" s="570">
        <f>SUM(O4:O9)</f>
        <v>26090.438823529414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O37</f>
        <v>175570.01785714287</v>
      </c>
      <c r="C17" s="581">
        <f>B57</f>
        <v>184515.12605042019</v>
      </c>
      <c r="D17" s="582"/>
      <c r="E17" s="582">
        <f>E57</f>
        <v>0</v>
      </c>
      <c r="F17" s="1021"/>
      <c r="G17" s="583"/>
      <c r="H17" s="581">
        <f>I57</f>
        <v>0</v>
      </c>
      <c r="I17" s="582">
        <f>G57+F57</f>
        <v>0</v>
      </c>
      <c r="J17" s="582">
        <f>H57+D57+C57</f>
        <v>22037.836134453781</v>
      </c>
      <c r="K17" s="582"/>
      <c r="L17" s="582"/>
      <c r="M17" s="582"/>
      <c r="N17" s="1022"/>
      <c r="O17" s="584">
        <f>C17*$C$22+E17*$E$22+H17*$H$22+I17*$I$22+J17*$J$22+D17*$D$22+F17*$F$22+G17*$G$22+K17*$K$22+L17*$L$22</f>
        <v>37272.055462184879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175570.01785714287</v>
      </c>
      <c r="C20" s="568">
        <f>SUM(C17:C19)</f>
        <v>184515.12605042019</v>
      </c>
      <c r="D20" s="568">
        <f t="shared" ref="D20:L20" si="1">SUM(D17:D19)</f>
        <v>0</v>
      </c>
      <c r="E20" s="568">
        <f t="shared" si="1"/>
        <v>0</v>
      </c>
      <c r="F20" s="568">
        <f t="shared" si="1"/>
        <v>0</v>
      </c>
      <c r="G20" s="568">
        <f t="shared" si="1"/>
        <v>0</v>
      </c>
      <c r="H20" s="568">
        <f t="shared" si="1"/>
        <v>0</v>
      </c>
      <c r="I20" s="568">
        <f t="shared" si="1"/>
        <v>0</v>
      </c>
      <c r="J20" s="568">
        <f t="shared" si="1"/>
        <v>22037.836134453781</v>
      </c>
      <c r="K20" s="568">
        <f t="shared" si="1"/>
        <v>0</v>
      </c>
      <c r="L20" s="568">
        <f t="shared" si="1"/>
        <v>0</v>
      </c>
      <c r="M20" s="568"/>
      <c r="N20" s="568"/>
      <c r="O20" s="588">
        <f>SUM(O17:O19)</f>
        <v>37272.055462184879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13037</v>
      </c>
      <c r="C28" s="787">
        <v>2310</v>
      </c>
      <c r="D28" s="640" t="s">
        <v>920</v>
      </c>
      <c r="E28" s="639" t="s">
        <v>921</v>
      </c>
      <c r="F28" s="639" t="s">
        <v>922</v>
      </c>
      <c r="G28" s="639" t="s">
        <v>923</v>
      </c>
      <c r="H28" s="639" t="s">
        <v>924</v>
      </c>
      <c r="I28" s="639" t="s">
        <v>925</v>
      </c>
      <c r="J28" s="786">
        <v>39240</v>
      </c>
      <c r="K28" s="786">
        <v>38534</v>
      </c>
      <c r="L28" s="639" t="s">
        <v>926</v>
      </c>
      <c r="M28" s="639">
        <v>5145</v>
      </c>
      <c r="N28" s="639">
        <v>23152.499999999996</v>
      </c>
      <c r="O28" s="639">
        <v>33074.999999999993</v>
      </c>
      <c r="P28" s="639">
        <v>66150</v>
      </c>
      <c r="Q28" s="639">
        <v>0</v>
      </c>
      <c r="R28" s="639">
        <v>0</v>
      </c>
      <c r="S28" s="639">
        <v>0</v>
      </c>
      <c r="T28" s="639">
        <v>0</v>
      </c>
      <c r="U28" s="639">
        <v>0</v>
      </c>
      <c r="V28" s="639">
        <v>0</v>
      </c>
      <c r="W28" s="639">
        <v>0</v>
      </c>
      <c r="X28" s="639">
        <v>10</v>
      </c>
      <c r="Y28" s="639" t="s">
        <v>111</v>
      </c>
      <c r="Z28" s="641" t="s">
        <v>111</v>
      </c>
    </row>
    <row r="29" spans="1:26" s="593" customFormat="1" ht="25.5">
      <c r="A29" s="592"/>
      <c r="B29" s="787">
        <v>13037</v>
      </c>
      <c r="C29" s="787">
        <v>2310</v>
      </c>
      <c r="D29" s="640" t="s">
        <v>927</v>
      </c>
      <c r="E29" s="639" t="s">
        <v>928</v>
      </c>
      <c r="F29" s="639" t="s">
        <v>929</v>
      </c>
      <c r="G29" s="639" t="s">
        <v>923</v>
      </c>
      <c r="H29" s="639" t="s">
        <v>924</v>
      </c>
      <c r="I29" s="639" t="s">
        <v>928</v>
      </c>
      <c r="J29" s="786">
        <v>39682</v>
      </c>
      <c r="K29" s="786">
        <v>39728</v>
      </c>
      <c r="L29" s="639" t="s">
        <v>926</v>
      </c>
      <c r="M29" s="639">
        <v>2425</v>
      </c>
      <c r="N29" s="639">
        <v>10912.5</v>
      </c>
      <c r="O29" s="639">
        <v>15589.285714285714</v>
      </c>
      <c r="P29" s="639">
        <v>31178.571428571431</v>
      </c>
      <c r="Q29" s="639">
        <v>0</v>
      </c>
      <c r="R29" s="639">
        <v>0</v>
      </c>
      <c r="S29" s="639">
        <v>0</v>
      </c>
      <c r="T29" s="639">
        <v>0</v>
      </c>
      <c r="U29" s="639">
        <v>0</v>
      </c>
      <c r="V29" s="639">
        <v>0</v>
      </c>
      <c r="W29" s="639">
        <v>0</v>
      </c>
      <c r="X29" s="639">
        <v>10</v>
      </c>
      <c r="Y29" s="639" t="s">
        <v>111</v>
      </c>
      <c r="Z29" s="641" t="s">
        <v>111</v>
      </c>
    </row>
    <row r="30" spans="1:26" s="593" customFormat="1" ht="25.5">
      <c r="A30" s="592"/>
      <c r="B30" s="787">
        <v>13037</v>
      </c>
      <c r="C30" s="787">
        <v>2310</v>
      </c>
      <c r="D30" s="640" t="s">
        <v>930</v>
      </c>
      <c r="E30" s="639" t="s">
        <v>931</v>
      </c>
      <c r="F30" s="639" t="s">
        <v>932</v>
      </c>
      <c r="G30" s="639" t="s">
        <v>923</v>
      </c>
      <c r="H30" s="639" t="s">
        <v>924</v>
      </c>
      <c r="I30" s="639" t="s">
        <v>933</v>
      </c>
      <c r="J30" s="786">
        <v>39710</v>
      </c>
      <c r="K30" s="786">
        <v>39749</v>
      </c>
      <c r="L30" s="639" t="s">
        <v>926</v>
      </c>
      <c r="M30" s="639">
        <v>2905</v>
      </c>
      <c r="N30" s="639">
        <v>13072.5</v>
      </c>
      <c r="O30" s="639">
        <v>18675</v>
      </c>
      <c r="P30" s="639">
        <v>0</v>
      </c>
      <c r="Q30" s="639">
        <v>37350</v>
      </c>
      <c r="R30" s="639">
        <v>0</v>
      </c>
      <c r="S30" s="639">
        <v>0</v>
      </c>
      <c r="T30" s="639">
        <v>0</v>
      </c>
      <c r="U30" s="639">
        <v>0</v>
      </c>
      <c r="V30" s="639">
        <v>0</v>
      </c>
      <c r="W30" s="639">
        <v>0</v>
      </c>
      <c r="X30" s="639">
        <v>10</v>
      </c>
      <c r="Y30" s="639" t="s">
        <v>111</v>
      </c>
      <c r="Z30" s="641" t="s">
        <v>111</v>
      </c>
    </row>
    <row r="31" spans="1:26" s="593" customFormat="1" ht="25.5">
      <c r="A31" s="592"/>
      <c r="B31" s="787">
        <v>13037</v>
      </c>
      <c r="C31" s="787">
        <v>2310</v>
      </c>
      <c r="D31" s="640" t="s">
        <v>934</v>
      </c>
      <c r="E31" s="639" t="s">
        <v>935</v>
      </c>
      <c r="F31" s="639" t="s">
        <v>936</v>
      </c>
      <c r="G31" s="639" t="s">
        <v>923</v>
      </c>
      <c r="H31" s="639" t="s">
        <v>924</v>
      </c>
      <c r="I31" s="639" t="s">
        <v>935</v>
      </c>
      <c r="J31" s="786">
        <v>39717</v>
      </c>
      <c r="K31" s="786">
        <v>39722</v>
      </c>
      <c r="L31" s="639" t="s">
        <v>926</v>
      </c>
      <c r="M31" s="639">
        <v>1400</v>
      </c>
      <c r="N31" s="639">
        <v>6300</v>
      </c>
      <c r="O31" s="639">
        <v>9000</v>
      </c>
      <c r="P31" s="639">
        <v>18000</v>
      </c>
      <c r="Q31" s="639">
        <v>0</v>
      </c>
      <c r="R31" s="639">
        <v>0</v>
      </c>
      <c r="S31" s="639">
        <v>0</v>
      </c>
      <c r="T31" s="639">
        <v>0</v>
      </c>
      <c r="U31" s="639">
        <v>0</v>
      </c>
      <c r="V31" s="639">
        <v>0</v>
      </c>
      <c r="W31" s="639">
        <v>0</v>
      </c>
      <c r="X31" s="639">
        <v>10</v>
      </c>
      <c r="Y31" s="639" t="s">
        <v>111</v>
      </c>
      <c r="Z31" s="641" t="s">
        <v>111</v>
      </c>
    </row>
    <row r="32" spans="1:26" s="593" customFormat="1" ht="25.5">
      <c r="A32" s="592"/>
      <c r="B32" s="787">
        <v>13037</v>
      </c>
      <c r="C32" s="787">
        <v>2310</v>
      </c>
      <c r="D32" s="640" t="s">
        <v>937</v>
      </c>
      <c r="E32" s="639" t="s">
        <v>938</v>
      </c>
      <c r="F32" s="639" t="s">
        <v>939</v>
      </c>
      <c r="G32" s="639" t="s">
        <v>923</v>
      </c>
      <c r="H32" s="639" t="s">
        <v>924</v>
      </c>
      <c r="I32" s="639" t="s">
        <v>938</v>
      </c>
      <c r="J32" s="786">
        <v>39791</v>
      </c>
      <c r="K32" s="786">
        <v>39819</v>
      </c>
      <c r="L32" s="639" t="s">
        <v>926</v>
      </c>
      <c r="M32" s="639">
        <v>4028</v>
      </c>
      <c r="N32" s="639">
        <v>18125.999999999996</v>
      </c>
      <c r="O32" s="639">
        <v>25894.28571428571</v>
      </c>
      <c r="P32" s="639">
        <v>51788.57142857142</v>
      </c>
      <c r="Q32" s="639">
        <v>0</v>
      </c>
      <c r="R32" s="639">
        <v>0</v>
      </c>
      <c r="S32" s="639">
        <v>0</v>
      </c>
      <c r="T32" s="639">
        <v>0</v>
      </c>
      <c r="U32" s="639">
        <v>0</v>
      </c>
      <c r="V32" s="639">
        <v>0</v>
      </c>
      <c r="W32" s="639">
        <v>0</v>
      </c>
      <c r="X32" s="639">
        <v>10</v>
      </c>
      <c r="Y32" s="639" t="s">
        <v>111</v>
      </c>
      <c r="Z32" s="641" t="s">
        <v>111</v>
      </c>
    </row>
    <row r="33" spans="1:26" s="593" customFormat="1" ht="25.5">
      <c r="A33" s="592"/>
      <c r="B33" s="787">
        <v>13037</v>
      </c>
      <c r="C33" s="787">
        <v>2310</v>
      </c>
      <c r="D33" s="640" t="s">
        <v>940</v>
      </c>
      <c r="E33" s="639" t="s">
        <v>941</v>
      </c>
      <c r="F33" s="639" t="s">
        <v>942</v>
      </c>
      <c r="G33" s="639" t="s">
        <v>923</v>
      </c>
      <c r="H33" s="639" t="s">
        <v>924</v>
      </c>
      <c r="I33" s="639" t="s">
        <v>941</v>
      </c>
      <c r="J33" s="786">
        <v>39826</v>
      </c>
      <c r="K33" s="786">
        <v>39826</v>
      </c>
      <c r="L33" s="639" t="s">
        <v>926</v>
      </c>
      <c r="M33" s="639">
        <v>2941</v>
      </c>
      <c r="N33" s="639">
        <v>13234.5</v>
      </c>
      <c r="O33" s="639">
        <v>18906.428571428572</v>
      </c>
      <c r="P33" s="639">
        <v>37812.857142857145</v>
      </c>
      <c r="Q33" s="639">
        <v>0</v>
      </c>
      <c r="R33" s="639">
        <v>0</v>
      </c>
      <c r="S33" s="639">
        <v>0</v>
      </c>
      <c r="T33" s="639">
        <v>0</v>
      </c>
      <c r="U33" s="639">
        <v>0</v>
      </c>
      <c r="V33" s="639">
        <v>0</v>
      </c>
      <c r="W33" s="639">
        <v>0</v>
      </c>
      <c r="X33" s="639">
        <v>10</v>
      </c>
      <c r="Y33" s="639" t="s">
        <v>111</v>
      </c>
      <c r="Z33" s="641" t="s">
        <v>111</v>
      </c>
    </row>
    <row r="34" spans="1:26" s="593" customFormat="1" ht="25.5">
      <c r="A34" s="592"/>
      <c r="B34" s="787">
        <v>13037</v>
      </c>
      <c r="C34" s="787">
        <v>2310</v>
      </c>
      <c r="D34" s="640" t="s">
        <v>943</v>
      </c>
      <c r="E34" s="639" t="s">
        <v>944</v>
      </c>
      <c r="F34" s="639" t="s">
        <v>945</v>
      </c>
      <c r="G34" s="639" t="s">
        <v>923</v>
      </c>
      <c r="H34" s="639" t="s">
        <v>924</v>
      </c>
      <c r="I34" s="639" t="s">
        <v>944</v>
      </c>
      <c r="J34" s="786">
        <v>39959</v>
      </c>
      <c r="K34" s="786">
        <v>39959</v>
      </c>
      <c r="L34" s="639" t="s">
        <v>926</v>
      </c>
      <c r="M34" s="639">
        <v>1558</v>
      </c>
      <c r="N34" s="639">
        <v>7011</v>
      </c>
      <c r="O34" s="639">
        <v>10015.714285714286</v>
      </c>
      <c r="P34" s="639">
        <v>20031.428571428572</v>
      </c>
      <c r="Q34" s="639">
        <v>0</v>
      </c>
      <c r="R34" s="639">
        <v>0</v>
      </c>
      <c r="S34" s="639">
        <v>0</v>
      </c>
      <c r="T34" s="639">
        <v>0</v>
      </c>
      <c r="U34" s="639">
        <v>0</v>
      </c>
      <c r="V34" s="639">
        <v>0</v>
      </c>
      <c r="W34" s="639">
        <v>0</v>
      </c>
      <c r="X34" s="639">
        <v>10</v>
      </c>
      <c r="Y34" s="639" t="s">
        <v>111</v>
      </c>
      <c r="Z34" s="641" t="s">
        <v>111</v>
      </c>
    </row>
    <row r="35" spans="1:26" s="593" customFormat="1" ht="25.5">
      <c r="A35" s="592"/>
      <c r="B35" s="787">
        <v>13037</v>
      </c>
      <c r="C35" s="787">
        <v>2310</v>
      </c>
      <c r="D35" s="640" t="s">
        <v>946</v>
      </c>
      <c r="E35" s="639" t="s">
        <v>947</v>
      </c>
      <c r="F35" s="639" t="s">
        <v>948</v>
      </c>
      <c r="G35" s="639" t="s">
        <v>923</v>
      </c>
      <c r="H35" s="639" t="s">
        <v>924</v>
      </c>
      <c r="I35" s="639" t="s">
        <v>947</v>
      </c>
      <c r="J35" s="786">
        <v>40941</v>
      </c>
      <c r="K35" s="786">
        <v>39554</v>
      </c>
      <c r="L35" s="639" t="s">
        <v>926</v>
      </c>
      <c r="M35" s="639">
        <v>6900</v>
      </c>
      <c r="N35" s="639">
        <v>31050</v>
      </c>
      <c r="O35" s="639">
        <v>44357.142857142855</v>
      </c>
      <c r="P35" s="639">
        <v>88714.285714285725</v>
      </c>
      <c r="Q35" s="639">
        <v>0</v>
      </c>
      <c r="R35" s="639">
        <v>0</v>
      </c>
      <c r="S35" s="639">
        <v>0</v>
      </c>
      <c r="T35" s="639">
        <v>0</v>
      </c>
      <c r="U35" s="639">
        <v>0</v>
      </c>
      <c r="V35" s="639">
        <v>0</v>
      </c>
      <c r="W35" s="639">
        <v>0</v>
      </c>
      <c r="X35" s="639">
        <v>10</v>
      </c>
      <c r="Y35" s="639" t="s">
        <v>111</v>
      </c>
      <c r="Z35" s="641" t="s">
        <v>111</v>
      </c>
    </row>
    <row r="36" spans="1:26" s="593" customFormat="1" ht="25.5">
      <c r="A36" s="592"/>
      <c r="B36" s="787">
        <v>13037</v>
      </c>
      <c r="C36" s="787">
        <v>2310</v>
      </c>
      <c r="D36" s="640" t="s">
        <v>949</v>
      </c>
      <c r="E36" s="639" t="s">
        <v>950</v>
      </c>
      <c r="F36" s="639" t="s">
        <v>951</v>
      </c>
      <c r="G36" s="639" t="s">
        <v>923</v>
      </c>
      <c r="H36" s="639" t="s">
        <v>924</v>
      </c>
      <c r="I36" s="639" t="s">
        <v>952</v>
      </c>
      <c r="J36" s="786">
        <v>41172</v>
      </c>
      <c r="K36" s="786">
        <v>41275</v>
      </c>
      <c r="L36" s="639" t="s">
        <v>926</v>
      </c>
      <c r="M36" s="639">
        <v>9.6999999999999993</v>
      </c>
      <c r="N36" s="639">
        <v>40.012499999999996</v>
      </c>
      <c r="O36" s="639">
        <v>57.160714285714278</v>
      </c>
      <c r="P36" s="639">
        <v>0</v>
      </c>
      <c r="Q36" s="639">
        <v>114.32142857142857</v>
      </c>
      <c r="R36" s="639">
        <v>0</v>
      </c>
      <c r="S36" s="639">
        <v>0</v>
      </c>
      <c r="T36" s="639">
        <v>0</v>
      </c>
      <c r="U36" s="639">
        <v>0</v>
      </c>
      <c r="V36" s="639">
        <v>0</v>
      </c>
      <c r="W36" s="639">
        <v>0</v>
      </c>
      <c r="X36" s="639">
        <v>10</v>
      </c>
      <c r="Y36" s="639" t="s">
        <v>111</v>
      </c>
      <c r="Z36" s="641" t="s">
        <v>111</v>
      </c>
    </row>
    <row r="37" spans="1:26" s="576" customFormat="1">
      <c r="A37" s="595" t="s">
        <v>279</v>
      </c>
      <c r="B37" s="596"/>
      <c r="C37" s="596"/>
      <c r="D37" s="596"/>
      <c r="E37" s="596"/>
      <c r="F37" s="596"/>
      <c r="G37" s="596"/>
      <c r="H37" s="596"/>
      <c r="I37" s="596"/>
      <c r="J37" s="596"/>
      <c r="K37" s="596"/>
      <c r="L37" s="597"/>
      <c r="M37" s="597">
        <f>SUM(M28:M36)</f>
        <v>27311.7</v>
      </c>
      <c r="N37" s="597">
        <f>SUM(N28:N36)</f>
        <v>122899.0125</v>
      </c>
      <c r="O37" s="597">
        <f>SUM(O28:O36)</f>
        <v>175570.01785714287</v>
      </c>
      <c r="P37" s="597">
        <f>SUM(P28:P36)</f>
        <v>313675.71428571432</v>
      </c>
      <c r="Q37" s="597">
        <f>SUM(Q28:Q36)</f>
        <v>37464.321428571428</v>
      </c>
      <c r="R37" s="597">
        <f>SUM(R28:R36)</f>
        <v>0</v>
      </c>
      <c r="S37" s="597">
        <f>SUM(S28:S36)</f>
        <v>0</v>
      </c>
      <c r="T37" s="597">
        <f>SUM(T28:T36)</f>
        <v>0</v>
      </c>
      <c r="U37" s="597">
        <f>SUM(U28:U36)</f>
        <v>0</v>
      </c>
      <c r="V37" s="597">
        <f>SUM(V28:V36)</f>
        <v>0</v>
      </c>
      <c r="W37" s="597">
        <f>SUM(W28:W36)</f>
        <v>0</v>
      </c>
      <c r="X37" s="598"/>
      <c r="Y37" s="598"/>
      <c r="Z37" s="599"/>
    </row>
    <row r="38" spans="1:26" s="576" customFormat="1">
      <c r="A38" s="595" t="s">
        <v>286</v>
      </c>
      <c r="B38" s="596"/>
      <c r="C38" s="596"/>
      <c r="D38" s="596"/>
      <c r="E38" s="596"/>
      <c r="F38" s="596"/>
      <c r="G38" s="596"/>
      <c r="H38" s="596"/>
      <c r="I38" s="596"/>
      <c r="J38" s="596"/>
      <c r="K38" s="596"/>
      <c r="L38" s="597"/>
      <c r="M38" s="597">
        <f>SUMIF($Z$28:$Z$36,"industrie",M28:M36)</f>
        <v>0</v>
      </c>
      <c r="N38" s="597">
        <f>SUMIF($Z$28:$Z$36,"industrie",N28:N36)</f>
        <v>0</v>
      </c>
      <c r="O38" s="597">
        <f>SUMIF($Z$28:$Z$36,"industrie",O28:O36)</f>
        <v>0</v>
      </c>
      <c r="P38" s="597">
        <f>SUMIF($Z$28:$Z$36,"industrie",P28:P36)</f>
        <v>0</v>
      </c>
      <c r="Q38" s="597">
        <f>SUMIF($Z$28:$Z$36,"industrie",Q28:Q36)</f>
        <v>0</v>
      </c>
      <c r="R38" s="597">
        <f>SUMIF($Z$28:$Z$36,"industrie",R28:R36)</f>
        <v>0</v>
      </c>
      <c r="S38" s="597">
        <f>SUMIF($Z$28:$Z$36,"industrie",S28:S36)</f>
        <v>0</v>
      </c>
      <c r="T38" s="597">
        <f>SUMIF($Z$28:$Z$36,"industrie",T28:T36)</f>
        <v>0</v>
      </c>
      <c r="U38" s="597">
        <f>SUMIF($Z$28:$Z$36,"industrie",U28:U36)</f>
        <v>0</v>
      </c>
      <c r="V38" s="597">
        <f>SUMIF($Z$28:$Z$36,"industrie",V28:V36)</f>
        <v>0</v>
      </c>
      <c r="W38" s="597">
        <f>SUMIF($Z$28:$Z$36,"industrie",W28:W36)</f>
        <v>0</v>
      </c>
      <c r="X38" s="598"/>
      <c r="Y38" s="598"/>
      <c r="Z38" s="599"/>
    </row>
    <row r="39" spans="1:26" s="576" customFormat="1">
      <c r="A39" s="595" t="s">
        <v>287</v>
      </c>
      <c r="B39" s="596"/>
      <c r="C39" s="596"/>
      <c r="D39" s="596"/>
      <c r="E39" s="596"/>
      <c r="F39" s="596"/>
      <c r="G39" s="596"/>
      <c r="H39" s="596"/>
      <c r="I39" s="596"/>
      <c r="J39" s="596"/>
      <c r="K39" s="596"/>
      <c r="L39" s="597"/>
      <c r="M39" s="597">
        <f ca="1">SUMIF($Z$28:AC36,"tertiair",M28:M36)</f>
        <v>0</v>
      </c>
      <c r="N39" s="597">
        <f ca="1">SUMIF($Z$28:AD36,"tertiair",N28:N36)</f>
        <v>0</v>
      </c>
      <c r="O39" s="597">
        <f ca="1">SUMIF($Z$28:AE36,"tertiair",O28:O36)</f>
        <v>0</v>
      </c>
      <c r="P39" s="597">
        <f ca="1">SUMIF($Z$28:AF36,"tertiair",P28:P36)</f>
        <v>0</v>
      </c>
      <c r="Q39" s="597">
        <f ca="1">SUMIF($Z$28:AG36,"tertiair",Q28:Q36)</f>
        <v>0</v>
      </c>
      <c r="R39" s="597">
        <f ca="1">SUMIF($Z$28:AH36,"tertiair",R28:R36)</f>
        <v>0</v>
      </c>
      <c r="S39" s="597">
        <f ca="1">SUMIF($Z$28:AI36,"tertiair",S28:S36)</f>
        <v>0</v>
      </c>
      <c r="T39" s="597">
        <f ca="1">SUMIF($Z$28:AJ36,"tertiair",T28:T36)</f>
        <v>0</v>
      </c>
      <c r="U39" s="597">
        <f ca="1">SUMIF($Z$28:AK36,"tertiair",U28:U36)</f>
        <v>0</v>
      </c>
      <c r="V39" s="597">
        <f ca="1">SUMIF($Z$28:AL36,"tertiair",V28:V36)</f>
        <v>0</v>
      </c>
      <c r="W39" s="597">
        <f ca="1">SUMIF($Z$28:AM36,"tertiair",W28:W36)</f>
        <v>0</v>
      </c>
      <c r="X39" s="598"/>
      <c r="Y39" s="598"/>
      <c r="Z39" s="599"/>
    </row>
    <row r="40" spans="1:26" s="576" customFormat="1" ht="15.75" thickBot="1">
      <c r="A40" s="600" t="s">
        <v>288</v>
      </c>
      <c r="B40" s="601"/>
      <c r="C40" s="601"/>
      <c r="D40" s="601"/>
      <c r="E40" s="601"/>
      <c r="F40" s="601"/>
      <c r="G40" s="601"/>
      <c r="H40" s="601"/>
      <c r="I40" s="601"/>
      <c r="J40" s="601"/>
      <c r="K40" s="601"/>
      <c r="L40" s="602"/>
      <c r="M40" s="602">
        <f>SUMIF($Z$28:$Z$36,"landbouw",M28:M36)</f>
        <v>27311.7</v>
      </c>
      <c r="N40" s="602">
        <f>SUMIF($Z$28:$Z$36,"landbouw",N28:N36)</f>
        <v>122899.0125</v>
      </c>
      <c r="O40" s="602">
        <f>SUMIF($Z$28:$Z$36,"landbouw",O28:O36)</f>
        <v>175570.01785714287</v>
      </c>
      <c r="P40" s="602">
        <f>SUMIF($Z$28:$Z$36,"landbouw",P28:P36)</f>
        <v>313675.71428571432</v>
      </c>
      <c r="Q40" s="602">
        <f>SUMIF($Z$28:$Z$36,"landbouw",Q28:Q36)</f>
        <v>37464.321428571428</v>
      </c>
      <c r="R40" s="602">
        <f>SUMIF($Z$28:$Z$36,"landbouw",R28:R36)</f>
        <v>0</v>
      </c>
      <c r="S40" s="602">
        <f>SUMIF($Z$28:$Z$36,"landbouw",S28:S36)</f>
        <v>0</v>
      </c>
      <c r="T40" s="602">
        <f>SUMIF($Z$28:$Z$36,"landbouw",T28:T36)</f>
        <v>0</v>
      </c>
      <c r="U40" s="602">
        <f>SUMIF($Z$28:$Z$36,"landbouw",U28:U36)</f>
        <v>0</v>
      </c>
      <c r="V40" s="602">
        <f>SUMIF($Z$28:$Z$36,"landbouw",V28:V36)</f>
        <v>0</v>
      </c>
      <c r="W40" s="602">
        <f>SUMIF($Z$28:$Z$36,"landbouw",W28:W36)</f>
        <v>0</v>
      </c>
      <c r="X40" s="603"/>
      <c r="Y40" s="603"/>
      <c r="Z40" s="604"/>
    </row>
    <row r="41" spans="1:26" s="544" customFormat="1" ht="15.75" thickBot="1">
      <c r="A41" s="605"/>
      <c r="B41" s="606"/>
      <c r="C41" s="606"/>
      <c r="D41" s="606"/>
      <c r="E41" s="606"/>
      <c r="F41" s="606"/>
      <c r="G41" s="606"/>
      <c r="H41" s="606"/>
      <c r="I41" s="606"/>
      <c r="J41" s="606"/>
      <c r="K41" s="606"/>
      <c r="L41" s="589"/>
      <c r="M41" s="589"/>
      <c r="N41" s="589"/>
      <c r="O41" s="590"/>
      <c r="P41" s="590"/>
    </row>
    <row r="42" spans="1:26" s="544" customFormat="1" ht="45">
      <c r="A42" s="607" t="s">
        <v>280</v>
      </c>
      <c r="B42" s="636" t="s">
        <v>89</v>
      </c>
      <c r="C42" s="636" t="s">
        <v>90</v>
      </c>
      <c r="D42" s="636" t="s">
        <v>91</v>
      </c>
      <c r="E42" s="636" t="s">
        <v>92</v>
      </c>
      <c r="F42" s="636" t="s">
        <v>93</v>
      </c>
      <c r="G42" s="636" t="s">
        <v>94</v>
      </c>
      <c r="H42" s="636" t="s">
        <v>95</v>
      </c>
      <c r="I42" s="636" t="s">
        <v>96</v>
      </c>
      <c r="J42" s="636" t="s">
        <v>97</v>
      </c>
      <c r="K42" s="636" t="s">
        <v>98</v>
      </c>
      <c r="L42" s="636" t="s">
        <v>99</v>
      </c>
      <c r="M42" s="637" t="s">
        <v>297</v>
      </c>
      <c r="N42" s="637" t="s">
        <v>100</v>
      </c>
      <c r="O42" s="637" t="s">
        <v>101</v>
      </c>
      <c r="P42" s="637" t="s">
        <v>546</v>
      </c>
      <c r="Q42" s="637" t="s">
        <v>102</v>
      </c>
      <c r="R42" s="637" t="s">
        <v>103</v>
      </c>
      <c r="S42" s="637" t="s">
        <v>104</v>
      </c>
      <c r="T42" s="637" t="s">
        <v>105</v>
      </c>
      <c r="U42" s="637" t="s">
        <v>106</v>
      </c>
      <c r="V42" s="637" t="s">
        <v>107</v>
      </c>
      <c r="W42" s="636" t="s">
        <v>108</v>
      </c>
      <c r="X42" s="636" t="s">
        <v>298</v>
      </c>
      <c r="Y42" s="636" t="s">
        <v>109</v>
      </c>
      <c r="Z42" s="638" t="s">
        <v>299</v>
      </c>
    </row>
    <row r="43" spans="1:26" s="608" customFormat="1" ht="12.75">
      <c r="A43" s="594"/>
      <c r="B43" s="787"/>
      <c r="C43" s="787"/>
      <c r="D43" s="642"/>
      <c r="E43" s="642"/>
      <c r="F43" s="642"/>
      <c r="G43" s="642"/>
      <c r="H43" s="642"/>
      <c r="I43" s="642"/>
      <c r="J43" s="786"/>
      <c r="K43" s="786"/>
      <c r="L43" s="642"/>
      <c r="M43" s="642"/>
      <c r="N43" s="642"/>
      <c r="O43" s="642"/>
      <c r="P43" s="642"/>
      <c r="Q43" s="642"/>
      <c r="R43" s="642"/>
      <c r="S43" s="642"/>
      <c r="T43" s="642"/>
      <c r="U43" s="642"/>
      <c r="V43" s="642"/>
      <c r="W43" s="642"/>
      <c r="X43" s="642"/>
      <c r="Y43" s="642"/>
      <c r="Z43" s="643"/>
    </row>
    <row r="44" spans="1:26" s="576" customFormat="1">
      <c r="A44" s="595" t="s">
        <v>279</v>
      </c>
      <c r="B44" s="596"/>
      <c r="C44" s="596"/>
      <c r="D44" s="596"/>
      <c r="E44" s="596"/>
      <c r="F44" s="596"/>
      <c r="G44" s="596"/>
      <c r="H44" s="596"/>
      <c r="I44" s="596"/>
      <c r="J44" s="596"/>
      <c r="K44" s="596"/>
      <c r="L44" s="597"/>
      <c r="M44" s="597">
        <f>SUM(M43:M43)</f>
        <v>0</v>
      </c>
      <c r="N44" s="597">
        <f>SUM(N43:N43)</f>
        <v>0</v>
      </c>
      <c r="O44" s="597">
        <f>SUM(O43:O43)</f>
        <v>0</v>
      </c>
      <c r="P44" s="597">
        <f>SUM(P43:P43)</f>
        <v>0</v>
      </c>
      <c r="Q44" s="597">
        <f>SUM(Q43:Q43)</f>
        <v>0</v>
      </c>
      <c r="R44" s="597">
        <f>SUM(R43:R43)</f>
        <v>0</v>
      </c>
      <c r="S44" s="597">
        <f>SUM(S43:S43)</f>
        <v>0</v>
      </c>
      <c r="T44" s="597">
        <f>SUM(T43:T43)</f>
        <v>0</v>
      </c>
      <c r="U44" s="597">
        <f>SUM(U43:U43)</f>
        <v>0</v>
      </c>
      <c r="V44" s="597">
        <f>SUM(V43:V43)</f>
        <v>0</v>
      </c>
      <c r="W44" s="597">
        <f>SUM(W43:W43)</f>
        <v>0</v>
      </c>
      <c r="X44" s="598"/>
      <c r="Y44" s="598"/>
      <c r="Z44" s="599"/>
    </row>
    <row r="45" spans="1:26" s="576" customFormat="1">
      <c r="A45" s="595" t="s">
        <v>286</v>
      </c>
      <c r="B45" s="596"/>
      <c r="C45" s="596"/>
      <c r="D45" s="596"/>
      <c r="E45" s="596"/>
      <c r="F45" s="596"/>
      <c r="G45" s="596"/>
      <c r="H45" s="596"/>
      <c r="I45" s="596"/>
      <c r="J45" s="596"/>
      <c r="K45" s="596"/>
      <c r="L45" s="597"/>
      <c r="M45" s="597">
        <f>SUMIF($Z$43:$Z$43,"industrie",M43:M43)</f>
        <v>0</v>
      </c>
      <c r="N45" s="597">
        <f>SUMIF($Z$43:$Z$43,"industrie",N43:N43)</f>
        <v>0</v>
      </c>
      <c r="O45" s="597">
        <f>SUMIF($Z$43:$Z$43,"industrie",O43:O43)</f>
        <v>0</v>
      </c>
      <c r="P45" s="597">
        <f>SUMIF($Z$43:$Z$43,"industrie",P43:P43)</f>
        <v>0</v>
      </c>
      <c r="Q45" s="597">
        <f>SUMIF($Z$43:$Z$43,"industrie",Q43:Q43)</f>
        <v>0</v>
      </c>
      <c r="R45" s="597">
        <f>SUMIF($Z$43:$Z$43,"industrie",R43:R43)</f>
        <v>0</v>
      </c>
      <c r="S45" s="597">
        <f>SUMIF($Z$43:$Z$43,"industrie",S43:S43)</f>
        <v>0</v>
      </c>
      <c r="T45" s="597">
        <f>SUMIF($Z$43:$Z$43,"industrie",T43:T43)</f>
        <v>0</v>
      </c>
      <c r="U45" s="597">
        <f>SUMIF($Z$43:$Z$43,"industrie",U43:U43)</f>
        <v>0</v>
      </c>
      <c r="V45" s="597">
        <f>SUMIF($Z$43:$Z$43,"industrie",V43:V43)</f>
        <v>0</v>
      </c>
      <c r="W45" s="597">
        <f>SUMIF($Z$43:$Z$43,"industrie",W43:W43)</f>
        <v>0</v>
      </c>
      <c r="X45" s="598"/>
      <c r="Y45" s="598"/>
      <c r="Z45" s="599"/>
    </row>
    <row r="46" spans="1:26" s="576" customFormat="1">
      <c r="A46" s="595" t="s">
        <v>287</v>
      </c>
      <c r="B46" s="596"/>
      <c r="C46" s="596"/>
      <c r="D46" s="596"/>
      <c r="E46" s="596"/>
      <c r="F46" s="596"/>
      <c r="G46" s="596"/>
      <c r="H46" s="596"/>
      <c r="I46" s="596"/>
      <c r="J46" s="596"/>
      <c r="K46" s="596"/>
      <c r="L46" s="597"/>
      <c r="M46" s="597">
        <f>SUMIF($Z$43:$Z$44,"tertiair",M43:M44)</f>
        <v>0</v>
      </c>
      <c r="N46" s="597">
        <f>SUMIF($Z$43:$Z$44,"tertiair",N43:N44)</f>
        <v>0</v>
      </c>
      <c r="O46" s="597">
        <f>SUMIF($Z$43:$Z$44,"tertiair",O43:O44)</f>
        <v>0</v>
      </c>
      <c r="P46" s="597">
        <f>SUMIF($Z$43:$Z$44,"tertiair",P43:P44)</f>
        <v>0</v>
      </c>
      <c r="Q46" s="597">
        <f>SUMIF($Z$43:$Z$44,"tertiair",Q43:Q44)</f>
        <v>0</v>
      </c>
      <c r="R46" s="597">
        <f>SUMIF($Z$43:$Z$44,"tertiair",R43:R44)</f>
        <v>0</v>
      </c>
      <c r="S46" s="597">
        <f>SUMIF($Z$43:$Z$44,"tertiair",S43:S44)</f>
        <v>0</v>
      </c>
      <c r="T46" s="597">
        <f>SUMIF($Z$43:$Z$44,"tertiair",T43:T44)</f>
        <v>0</v>
      </c>
      <c r="U46" s="597">
        <f>SUMIF($Z$43:$Z$44,"tertiair",U43:U44)</f>
        <v>0</v>
      </c>
      <c r="V46" s="597">
        <f>SUMIF($Z$43:$Z$44,"tertiair",V43:V44)</f>
        <v>0</v>
      </c>
      <c r="W46" s="597">
        <f>SUMIF($Z$43:$Z$44,"tertiair",W43:W44)</f>
        <v>0</v>
      </c>
      <c r="X46" s="598"/>
      <c r="Y46" s="598"/>
      <c r="Z46" s="599"/>
    </row>
    <row r="47" spans="1:26" s="576" customFormat="1" ht="15.75" thickBot="1">
      <c r="A47" s="600" t="s">
        <v>288</v>
      </c>
      <c r="B47" s="601"/>
      <c r="C47" s="601"/>
      <c r="D47" s="601"/>
      <c r="E47" s="601"/>
      <c r="F47" s="601"/>
      <c r="G47" s="601"/>
      <c r="H47" s="601"/>
      <c r="I47" s="601"/>
      <c r="J47" s="601"/>
      <c r="K47" s="601"/>
      <c r="L47" s="602"/>
      <c r="M47" s="602">
        <f>SUMIF($Z$43:$Z$45,"landbouw",M43:M45)</f>
        <v>0</v>
      </c>
      <c r="N47" s="602">
        <f>SUMIF($Z$43:$Z$45,"landbouw",N43:N45)</f>
        <v>0</v>
      </c>
      <c r="O47" s="602">
        <f>SUMIF($Z$43:$Z$45,"landbouw",O43:O45)</f>
        <v>0</v>
      </c>
      <c r="P47" s="602">
        <f>SUMIF($Z$43:$Z$45,"landbouw",P43:P45)</f>
        <v>0</v>
      </c>
      <c r="Q47" s="602">
        <f>SUMIF($Z$43:$Z$45,"landbouw",Q43:Q45)</f>
        <v>0</v>
      </c>
      <c r="R47" s="602">
        <f>SUMIF($Z$43:$Z$45,"landbouw",R43:R45)</f>
        <v>0</v>
      </c>
      <c r="S47" s="602">
        <f>SUMIF($Z$43:$Z$45,"landbouw",S43:S45)</f>
        <v>0</v>
      </c>
      <c r="T47" s="602">
        <f>SUMIF($Z$43:$Z$45,"landbouw",T43:T45)</f>
        <v>0</v>
      </c>
      <c r="U47" s="602">
        <f>SUMIF($Z$43:$Z$45,"landbouw",U43:U45)</f>
        <v>0</v>
      </c>
      <c r="V47" s="602">
        <f>SUMIF($Z$43:$Z$45,"landbouw",V43:V45)</f>
        <v>0</v>
      </c>
      <c r="W47" s="602">
        <f>SUMIF($Z$43:$Z$45,"landbouw",W43:W45)</f>
        <v>0</v>
      </c>
      <c r="X47" s="603"/>
      <c r="Y47" s="603"/>
      <c r="Z47" s="604"/>
    </row>
    <row r="48" spans="1:26" s="609" customFormat="1">
      <c r="A48" s="605"/>
      <c r="B48" s="589"/>
      <c r="C48" s="589"/>
      <c r="D48" s="589"/>
      <c r="E48" s="589"/>
      <c r="F48" s="589"/>
      <c r="G48" s="589"/>
      <c r="H48" s="589"/>
      <c r="I48" s="589"/>
      <c r="J48" s="589"/>
      <c r="K48" s="589"/>
      <c r="L48" s="589"/>
      <c r="M48" s="589"/>
      <c r="N48" s="589"/>
      <c r="O48" s="589"/>
      <c r="P48" s="589"/>
      <c r="Q48" s="589"/>
      <c r="R48" s="589"/>
      <c r="S48" s="589"/>
      <c r="T48" s="589"/>
      <c r="U48" s="589"/>
      <c r="V48" s="589"/>
      <c r="W48" s="589"/>
      <c r="X48" s="589"/>
      <c r="Y48" s="589"/>
    </row>
    <row r="49" spans="1:27" s="609" customFormat="1" ht="15.75" thickBot="1">
      <c r="A49" s="605"/>
      <c r="B49" s="589"/>
      <c r="C49" s="589"/>
      <c r="D49" s="589"/>
      <c r="E49" s="589"/>
      <c r="F49" s="589"/>
      <c r="G49" s="589"/>
      <c r="H49" s="589"/>
      <c r="I49" s="589"/>
      <c r="J49" s="589"/>
      <c r="K49" s="589"/>
      <c r="L49" s="589"/>
      <c r="M49" s="589"/>
      <c r="N49" s="589"/>
      <c r="O49" s="589"/>
      <c r="P49" s="589"/>
      <c r="Q49" s="589"/>
      <c r="R49" s="589"/>
      <c r="S49" s="589"/>
      <c r="T49" s="589"/>
      <c r="U49" s="589"/>
      <c r="V49" s="589"/>
      <c r="W49" s="589"/>
      <c r="X49" s="589"/>
      <c r="Y49" s="589"/>
      <c r="Z49" s="589"/>
      <c r="AA49" s="589"/>
    </row>
    <row r="50" spans="1:27">
      <c r="A50" s="610" t="s">
        <v>281</v>
      </c>
      <c r="B50" s="611"/>
      <c r="C50" s="611"/>
      <c r="D50" s="611"/>
      <c r="E50" s="611"/>
      <c r="F50" s="611"/>
      <c r="G50" s="611"/>
      <c r="H50" s="611"/>
      <c r="I50" s="612"/>
      <c r="J50" s="613"/>
      <c r="K50" s="613"/>
      <c r="L50" s="614"/>
      <c r="M50" s="614"/>
      <c r="N50" s="614"/>
      <c r="O50" s="614"/>
      <c r="P50" s="614"/>
    </row>
    <row r="51" spans="1:27">
      <c r="A51" s="616"/>
      <c r="B51" s="606"/>
      <c r="C51" s="606"/>
      <c r="D51" s="606"/>
      <c r="E51" s="606"/>
      <c r="F51" s="606"/>
      <c r="G51" s="606"/>
      <c r="H51" s="606"/>
      <c r="I51" s="617"/>
      <c r="J51" s="606"/>
      <c r="K51" s="606"/>
      <c r="L51" s="614"/>
      <c r="M51" s="614"/>
      <c r="N51" s="614"/>
      <c r="O51" s="614"/>
      <c r="P51" s="614"/>
    </row>
    <row r="52" spans="1:27">
      <c r="A52" s="618"/>
      <c r="B52" s="619" t="s">
        <v>282</v>
      </c>
      <c r="C52" s="619" t="s">
        <v>283</v>
      </c>
      <c r="D52" s="619"/>
      <c r="E52" s="619"/>
      <c r="F52" s="619"/>
      <c r="G52" s="619"/>
      <c r="H52" s="619"/>
      <c r="I52" s="620"/>
      <c r="J52" s="619"/>
      <c r="K52" s="619"/>
      <c r="L52" s="619"/>
      <c r="M52" s="619"/>
      <c r="N52" s="619"/>
      <c r="O52" s="619"/>
      <c r="P52" s="614"/>
    </row>
    <row r="53" spans="1:27">
      <c r="A53" s="616" t="s">
        <v>279</v>
      </c>
      <c r="B53" s="621">
        <f>IF(ISERROR(O37/(O37+N37)),0,O37/(O37+N37))</f>
        <v>0.58823529411764708</v>
      </c>
      <c r="C53" s="622">
        <f>IF(ISERROR(N37/(O37+N37)),0,N37/(N37+O37))</f>
        <v>0.41176470588235292</v>
      </c>
      <c r="D53" s="589"/>
      <c r="E53" s="589"/>
      <c r="F53" s="589"/>
      <c r="G53" s="589"/>
      <c r="H53" s="589"/>
      <c r="I53" s="623"/>
      <c r="J53" s="589"/>
      <c r="K53" s="589"/>
      <c r="L53" s="624"/>
      <c r="M53" s="624"/>
      <c r="N53" s="624"/>
      <c r="O53" s="624"/>
      <c r="P53" s="614"/>
    </row>
    <row r="54" spans="1:27">
      <c r="A54" s="616"/>
      <c r="B54" s="625"/>
      <c r="C54" s="625"/>
      <c r="D54" s="625"/>
      <c r="E54" s="625"/>
      <c r="F54" s="625"/>
      <c r="G54" s="625"/>
      <c r="H54" s="625"/>
      <c r="I54" s="626"/>
      <c r="J54" s="625"/>
      <c r="K54" s="625"/>
      <c r="L54" s="627"/>
      <c r="M54" s="627"/>
      <c r="N54" s="627"/>
      <c r="O54" s="627"/>
      <c r="P54" s="614"/>
    </row>
    <row r="55" spans="1:27" ht="30">
      <c r="A55" s="628"/>
      <c r="B55" s="629" t="s">
        <v>546</v>
      </c>
      <c r="C55" s="629" t="s">
        <v>102</v>
      </c>
      <c r="D55" s="629" t="s">
        <v>103</v>
      </c>
      <c r="E55" s="629" t="s">
        <v>104</v>
      </c>
      <c r="F55" s="629" t="s">
        <v>105</v>
      </c>
      <c r="G55" s="629" t="s">
        <v>106</v>
      </c>
      <c r="H55" s="629" t="s">
        <v>107</v>
      </c>
      <c r="I55" s="630" t="s">
        <v>108</v>
      </c>
      <c r="J55" s="619"/>
      <c r="K55" s="619"/>
      <c r="L55" s="627"/>
      <c r="M55" s="627"/>
      <c r="N55" s="627"/>
      <c r="O55" s="614"/>
      <c r="P55" s="614"/>
    </row>
    <row r="56" spans="1:27">
      <c r="A56" s="618" t="s">
        <v>284</v>
      </c>
      <c r="B56" s="631">
        <f t="shared" ref="B56:I56" si="2">$C$53*P37</f>
        <v>129160.58823529413</v>
      </c>
      <c r="C56" s="631">
        <f t="shared" si="2"/>
        <v>15426.485294117645</v>
      </c>
      <c r="D56" s="631">
        <f t="shared" si="2"/>
        <v>0</v>
      </c>
      <c r="E56" s="631">
        <f t="shared" si="2"/>
        <v>0</v>
      </c>
      <c r="F56" s="631">
        <f t="shared" si="2"/>
        <v>0</v>
      </c>
      <c r="G56" s="631">
        <f t="shared" si="2"/>
        <v>0</v>
      </c>
      <c r="H56" s="631">
        <f t="shared" si="2"/>
        <v>0</v>
      </c>
      <c r="I56" s="632">
        <f t="shared" si="2"/>
        <v>0</v>
      </c>
      <c r="J56" s="589"/>
      <c r="K56" s="589"/>
      <c r="L56" s="627"/>
      <c r="M56" s="627"/>
      <c r="N56" s="627"/>
      <c r="O56" s="614"/>
      <c r="P56" s="614"/>
    </row>
    <row r="57" spans="1:27" ht="15.75" thickBot="1">
      <c r="A57" s="633" t="s">
        <v>285</v>
      </c>
      <c r="B57" s="634">
        <f t="shared" ref="B57:I57" si="3">$B$53*P37</f>
        <v>184515.12605042019</v>
      </c>
      <c r="C57" s="634">
        <f t="shared" si="3"/>
        <v>22037.836134453781</v>
      </c>
      <c r="D57" s="634">
        <f t="shared" si="3"/>
        <v>0</v>
      </c>
      <c r="E57" s="634">
        <f t="shared" si="3"/>
        <v>0</v>
      </c>
      <c r="F57" s="634">
        <f t="shared" si="3"/>
        <v>0</v>
      </c>
      <c r="G57" s="634">
        <f t="shared" si="3"/>
        <v>0</v>
      </c>
      <c r="H57" s="634">
        <f t="shared" si="3"/>
        <v>0</v>
      </c>
      <c r="I57" s="635">
        <f t="shared" si="3"/>
        <v>0</v>
      </c>
      <c r="J57" s="589"/>
      <c r="K57" s="589"/>
      <c r="L57" s="627"/>
      <c r="M57" s="627"/>
      <c r="N57" s="627"/>
      <c r="O57" s="614"/>
      <c r="P57" s="614"/>
    </row>
    <row r="58" spans="1:27">
      <c r="J58" s="574"/>
      <c r="K58" s="574"/>
      <c r="L58" s="574"/>
      <c r="M58" s="574"/>
      <c r="N58" s="574"/>
    </row>
    <row r="59" spans="1:27">
      <c r="J59" s="574"/>
      <c r="K59" s="574"/>
      <c r="L59" s="574"/>
      <c r="M59" s="574"/>
      <c r="N59"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22816.665441087691</v>
      </c>
      <c r="C4" s="458">
        <f>huishoudens!C8</f>
        <v>0</v>
      </c>
      <c r="D4" s="458">
        <f>huishoudens!D8</f>
        <v>52838.385981288804</v>
      </c>
      <c r="E4" s="458">
        <f>huishoudens!E8</f>
        <v>6151.5724716806571</v>
      </c>
      <c r="F4" s="458">
        <f>huishoudens!F8</f>
        <v>0</v>
      </c>
      <c r="G4" s="458">
        <f>huishoudens!G8</f>
        <v>0</v>
      </c>
      <c r="H4" s="458">
        <f>huishoudens!H8</f>
        <v>0</v>
      </c>
      <c r="I4" s="458">
        <f>huishoudens!I8</f>
        <v>0</v>
      </c>
      <c r="J4" s="458">
        <f>huishoudens!J8</f>
        <v>180.64782016832177</v>
      </c>
      <c r="K4" s="458">
        <f>huishoudens!K8</f>
        <v>0</v>
      </c>
      <c r="L4" s="458">
        <f>huishoudens!L8</f>
        <v>0</v>
      </c>
      <c r="M4" s="458">
        <f>huishoudens!M8</f>
        <v>0</v>
      </c>
      <c r="N4" s="458">
        <f>huishoudens!N8</f>
        <v>19394.312503474932</v>
      </c>
      <c r="O4" s="458">
        <f>huishoudens!O8</f>
        <v>120.37666666666668</v>
      </c>
      <c r="P4" s="459">
        <f>huishoudens!P8</f>
        <v>476.66666666666663</v>
      </c>
      <c r="Q4" s="460">
        <f>SUM(B4:P4)</f>
        <v>101978.62755103374</v>
      </c>
    </row>
    <row r="5" spans="1:17">
      <c r="A5" s="457" t="s">
        <v>155</v>
      </c>
      <c r="B5" s="458">
        <f ca="1">tertiair!B16</f>
        <v>19597.602028942547</v>
      </c>
      <c r="C5" s="458">
        <f ca="1">tertiair!C16</f>
        <v>0</v>
      </c>
      <c r="D5" s="458">
        <f ca="1">tertiair!D16</f>
        <v>11905.724094146517</v>
      </c>
      <c r="E5" s="458">
        <f>tertiair!E16</f>
        <v>298.81326604582353</v>
      </c>
      <c r="F5" s="458">
        <f ca="1">tertiair!F16</f>
        <v>4025.097033663088</v>
      </c>
      <c r="G5" s="458">
        <f>tertiair!G16</f>
        <v>0</v>
      </c>
      <c r="H5" s="458">
        <f>tertiair!H16</f>
        <v>0</v>
      </c>
      <c r="I5" s="458">
        <f>tertiair!I16</f>
        <v>0</v>
      </c>
      <c r="J5" s="458">
        <f>tertiair!J16</f>
        <v>0</v>
      </c>
      <c r="K5" s="458">
        <f>tertiair!K16</f>
        <v>0</v>
      </c>
      <c r="L5" s="458">
        <f ca="1">tertiair!L16</f>
        <v>0</v>
      </c>
      <c r="M5" s="458">
        <f>tertiair!M16</f>
        <v>0</v>
      </c>
      <c r="N5" s="458">
        <f ca="1">tertiair!N16</f>
        <v>1869.4467365974574</v>
      </c>
      <c r="O5" s="458">
        <f>tertiair!O16</f>
        <v>0</v>
      </c>
      <c r="P5" s="459">
        <f>tertiair!P16</f>
        <v>0</v>
      </c>
      <c r="Q5" s="457">
        <f t="shared" ref="Q5:Q14" ca="1" si="0">SUM(B5:P5)</f>
        <v>37696.683159395434</v>
      </c>
    </row>
    <row r="6" spans="1:17">
      <c r="A6" s="457" t="s">
        <v>193</v>
      </c>
      <c r="B6" s="458">
        <f>'openbare verlichting'!B8</f>
        <v>744.16899999999998</v>
      </c>
      <c r="C6" s="458"/>
      <c r="D6" s="458"/>
      <c r="E6" s="458"/>
      <c r="F6" s="458"/>
      <c r="G6" s="458"/>
      <c r="H6" s="458"/>
      <c r="I6" s="458"/>
      <c r="J6" s="458"/>
      <c r="K6" s="458"/>
      <c r="L6" s="458"/>
      <c r="M6" s="458"/>
      <c r="N6" s="458"/>
      <c r="O6" s="458"/>
      <c r="P6" s="459"/>
      <c r="Q6" s="457">
        <f t="shared" si="0"/>
        <v>744.16899999999998</v>
      </c>
    </row>
    <row r="7" spans="1:17">
      <c r="A7" s="457" t="s">
        <v>111</v>
      </c>
      <c r="B7" s="458">
        <f>landbouw!B8</f>
        <v>5704.8336992399772</v>
      </c>
      <c r="C7" s="458">
        <f>landbouw!C8</f>
        <v>175570.01785714287</v>
      </c>
      <c r="D7" s="458">
        <f>landbouw!D8</f>
        <v>0</v>
      </c>
      <c r="E7" s="458">
        <f>landbouw!E8</f>
        <v>71.888253930496333</v>
      </c>
      <c r="F7" s="458">
        <f>landbouw!F8</f>
        <v>19683.105408614574</v>
      </c>
      <c r="G7" s="458">
        <f>landbouw!G8</f>
        <v>0</v>
      </c>
      <c r="H7" s="458">
        <f>landbouw!H8</f>
        <v>0</v>
      </c>
      <c r="I7" s="458">
        <f>landbouw!I8</f>
        <v>0</v>
      </c>
      <c r="J7" s="458">
        <f>landbouw!J8</f>
        <v>857.94213810497854</v>
      </c>
      <c r="K7" s="458">
        <f>landbouw!K8</f>
        <v>0</v>
      </c>
      <c r="L7" s="458">
        <f>landbouw!L8</f>
        <v>0</v>
      </c>
      <c r="M7" s="458">
        <f>landbouw!M8</f>
        <v>0</v>
      </c>
      <c r="N7" s="458">
        <f>landbouw!N8</f>
        <v>0</v>
      </c>
      <c r="O7" s="458">
        <f>landbouw!O8</f>
        <v>0</v>
      </c>
      <c r="P7" s="459">
        <f>landbouw!P8</f>
        <v>0</v>
      </c>
      <c r="Q7" s="457">
        <f t="shared" si="0"/>
        <v>201887.78735703288</v>
      </c>
    </row>
    <row r="8" spans="1:17">
      <c r="A8" s="457" t="s">
        <v>655</v>
      </c>
      <c r="B8" s="458">
        <f>industrie!B18</f>
        <v>13132.053272705311</v>
      </c>
      <c r="C8" s="458">
        <f>industrie!C18</f>
        <v>0</v>
      </c>
      <c r="D8" s="458">
        <f>industrie!D18</f>
        <v>17715.220124422318</v>
      </c>
      <c r="E8" s="458">
        <f>industrie!E18</f>
        <v>1444.7651359243271</v>
      </c>
      <c r="F8" s="458">
        <f>industrie!F18</f>
        <v>5057.5265736335705</v>
      </c>
      <c r="G8" s="458">
        <f>industrie!G18</f>
        <v>0</v>
      </c>
      <c r="H8" s="458">
        <f>industrie!H18</f>
        <v>0</v>
      </c>
      <c r="I8" s="458">
        <f>industrie!I18</f>
        <v>0</v>
      </c>
      <c r="J8" s="458">
        <f>industrie!J18</f>
        <v>22.667229413655917</v>
      </c>
      <c r="K8" s="458">
        <f>industrie!K18</f>
        <v>0</v>
      </c>
      <c r="L8" s="458">
        <f>industrie!L18</f>
        <v>0</v>
      </c>
      <c r="M8" s="458">
        <f>industrie!M18</f>
        <v>0</v>
      </c>
      <c r="N8" s="458">
        <f>industrie!N18</f>
        <v>833.22529474004386</v>
      </c>
      <c r="O8" s="458">
        <f>industrie!O18</f>
        <v>0</v>
      </c>
      <c r="P8" s="459">
        <f>industrie!P18</f>
        <v>0</v>
      </c>
      <c r="Q8" s="457">
        <f t="shared" si="0"/>
        <v>38205.457630839228</v>
      </c>
    </row>
    <row r="9" spans="1:17" s="463" customFormat="1">
      <c r="A9" s="461" t="s">
        <v>573</v>
      </c>
      <c r="B9" s="462">
        <f>transport!B14</f>
        <v>2.4093372770427641</v>
      </c>
      <c r="C9" s="462">
        <f>transport!C14</f>
        <v>0</v>
      </c>
      <c r="D9" s="462">
        <f>transport!D14</f>
        <v>3.9660343508255704</v>
      </c>
      <c r="E9" s="462">
        <f>transport!E14</f>
        <v>140.17159861445526</v>
      </c>
      <c r="F9" s="462">
        <f>transport!F14</f>
        <v>0</v>
      </c>
      <c r="G9" s="462">
        <f>transport!G14</f>
        <v>43488.710762372299</v>
      </c>
      <c r="H9" s="462">
        <f>transport!H14</f>
        <v>7234.2119737718231</v>
      </c>
      <c r="I9" s="462">
        <f>transport!I14</f>
        <v>0</v>
      </c>
      <c r="J9" s="462">
        <f>transport!J14</f>
        <v>0</v>
      </c>
      <c r="K9" s="462">
        <f>transport!K14</f>
        <v>0</v>
      </c>
      <c r="L9" s="462">
        <f>transport!L14</f>
        <v>0</v>
      </c>
      <c r="M9" s="462">
        <f>transport!M14</f>
        <v>2293.3276162146954</v>
      </c>
      <c r="N9" s="462">
        <f>transport!N14</f>
        <v>0</v>
      </c>
      <c r="O9" s="462">
        <f>transport!O14</f>
        <v>0</v>
      </c>
      <c r="P9" s="462">
        <f>transport!P14</f>
        <v>0</v>
      </c>
      <c r="Q9" s="461">
        <f>SUM(B9:P9)</f>
        <v>53162.797322601138</v>
      </c>
    </row>
    <row r="10" spans="1:17">
      <c r="A10" s="457" t="s">
        <v>563</v>
      </c>
      <c r="B10" s="458">
        <f>transport!B54</f>
        <v>0</v>
      </c>
      <c r="C10" s="458">
        <f>transport!C54</f>
        <v>0</v>
      </c>
      <c r="D10" s="458">
        <f>transport!D54</f>
        <v>0</v>
      </c>
      <c r="E10" s="458">
        <f>transport!E54</f>
        <v>0</v>
      </c>
      <c r="F10" s="458">
        <f>transport!F54</f>
        <v>0</v>
      </c>
      <c r="G10" s="458">
        <f>transport!G54</f>
        <v>1388.0008106256519</v>
      </c>
      <c r="H10" s="458">
        <f>transport!H54</f>
        <v>0</v>
      </c>
      <c r="I10" s="458">
        <f>transport!I54</f>
        <v>0</v>
      </c>
      <c r="J10" s="458">
        <f>transport!J54</f>
        <v>0</v>
      </c>
      <c r="K10" s="458">
        <f>transport!K54</f>
        <v>0</v>
      </c>
      <c r="L10" s="458">
        <f>transport!L54</f>
        <v>0</v>
      </c>
      <c r="M10" s="458">
        <f>transport!M54</f>
        <v>61.781064363169833</v>
      </c>
      <c r="N10" s="458">
        <f>transport!N54</f>
        <v>0</v>
      </c>
      <c r="O10" s="458">
        <f>transport!O54</f>
        <v>0</v>
      </c>
      <c r="P10" s="459">
        <f>transport!P54</f>
        <v>0</v>
      </c>
      <c r="Q10" s="457">
        <f t="shared" si="0"/>
        <v>1449.7818749888218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649.49629011167701</v>
      </c>
      <c r="C14" s="465"/>
      <c r="D14" s="465">
        <f>'SEAP template'!E25</f>
        <v>1285.2433124762501</v>
      </c>
      <c r="E14" s="465"/>
      <c r="F14" s="465"/>
      <c r="G14" s="465"/>
      <c r="H14" s="465"/>
      <c r="I14" s="465"/>
      <c r="J14" s="465"/>
      <c r="K14" s="465"/>
      <c r="L14" s="465"/>
      <c r="M14" s="465"/>
      <c r="N14" s="465"/>
      <c r="O14" s="465"/>
      <c r="P14" s="466"/>
      <c r="Q14" s="457">
        <f t="shared" si="0"/>
        <v>1934.739602587927</v>
      </c>
    </row>
    <row r="15" spans="1:17" s="470" customFormat="1">
      <c r="A15" s="467" t="s">
        <v>567</v>
      </c>
      <c r="B15" s="468">
        <f ca="1">SUM(B4:B14)</f>
        <v>62647.22906936425</v>
      </c>
      <c r="C15" s="468">
        <f t="shared" ref="C15:Q15" ca="1" si="1">SUM(C4:C14)</f>
        <v>175570.01785714287</v>
      </c>
      <c r="D15" s="468">
        <f t="shared" ca="1" si="1"/>
        <v>83748.539546684726</v>
      </c>
      <c r="E15" s="468">
        <f t="shared" si="1"/>
        <v>8107.210726195759</v>
      </c>
      <c r="F15" s="468">
        <f t="shared" ca="1" si="1"/>
        <v>28765.729015911234</v>
      </c>
      <c r="G15" s="468">
        <f t="shared" si="1"/>
        <v>44876.711572997949</v>
      </c>
      <c r="H15" s="468">
        <f t="shared" si="1"/>
        <v>7234.2119737718231</v>
      </c>
      <c r="I15" s="468">
        <f t="shared" si="1"/>
        <v>0</v>
      </c>
      <c r="J15" s="468">
        <f t="shared" si="1"/>
        <v>1061.2571876869561</v>
      </c>
      <c r="K15" s="468">
        <f t="shared" si="1"/>
        <v>0</v>
      </c>
      <c r="L15" s="468">
        <f t="shared" ca="1" si="1"/>
        <v>0</v>
      </c>
      <c r="M15" s="468">
        <f t="shared" si="1"/>
        <v>2355.108680577865</v>
      </c>
      <c r="N15" s="468">
        <f t="shared" ca="1" si="1"/>
        <v>22096.984534812433</v>
      </c>
      <c r="O15" s="468">
        <f t="shared" si="1"/>
        <v>120.37666666666668</v>
      </c>
      <c r="P15" s="468">
        <f t="shared" si="1"/>
        <v>476.66666666666663</v>
      </c>
      <c r="Q15" s="468">
        <f t="shared" ca="1" si="1"/>
        <v>437060.04349847918</v>
      </c>
    </row>
    <row r="17" spans="1:17">
      <c r="A17" s="471" t="s">
        <v>568</v>
      </c>
      <c r="B17" s="777">
        <f ca="1">huishoudens!B10</f>
        <v>0.20548245716225219</v>
      </c>
      <c r="C17" s="777">
        <f ca="1">huishoudens!C10</f>
        <v>0.21229168805184187</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4688.4244790837411</v>
      </c>
      <c r="C22" s="458">
        <f t="shared" ref="C22:C32" ca="1" si="3">C4*$C$17</f>
        <v>0</v>
      </c>
      <c r="D22" s="458">
        <f t="shared" ref="D22:D32" si="4">D4*$D$17</f>
        <v>10673.353968220339</v>
      </c>
      <c r="E22" s="458">
        <f t="shared" ref="E22:E32" si="5">E4*$E$17</f>
        <v>1396.4069510715092</v>
      </c>
      <c r="F22" s="458">
        <f t="shared" ref="F22:F32" si="6">F4*$F$17</f>
        <v>0</v>
      </c>
      <c r="G22" s="458">
        <f t="shared" ref="G22:G32" si="7">G4*$G$17</f>
        <v>0</v>
      </c>
      <c r="H22" s="458">
        <f t="shared" ref="H22:H32" si="8">H4*$H$17</f>
        <v>0</v>
      </c>
      <c r="I22" s="458">
        <f t="shared" ref="I22:I32" si="9">I4*$I$17</f>
        <v>0</v>
      </c>
      <c r="J22" s="458">
        <f t="shared" ref="J22:J32" si="10">J4*$J$17</f>
        <v>63.949328339585904</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16822.134726715176</v>
      </c>
    </row>
    <row r="23" spans="1:17">
      <c r="A23" s="457" t="s">
        <v>155</v>
      </c>
      <c r="B23" s="458">
        <f t="shared" ca="1" si="2"/>
        <v>4026.9634193950537</v>
      </c>
      <c r="C23" s="458">
        <f t="shared" ca="1" si="3"/>
        <v>0</v>
      </c>
      <c r="D23" s="458">
        <f t="shared" ca="1" si="4"/>
        <v>2404.9562670175965</v>
      </c>
      <c r="E23" s="458">
        <f t="shared" si="5"/>
        <v>67.830611392401948</v>
      </c>
      <c r="F23" s="458">
        <f t="shared" ca="1" si="6"/>
        <v>1074.7009079880445</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7574.4512057930961</v>
      </c>
    </row>
    <row r="24" spans="1:17">
      <c r="A24" s="457" t="s">
        <v>193</v>
      </c>
      <c r="B24" s="458">
        <f t="shared" ca="1" si="2"/>
        <v>152.91367466397605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152.91367466397605</v>
      </c>
    </row>
    <row r="25" spans="1:17">
      <c r="A25" s="457" t="s">
        <v>111</v>
      </c>
      <c r="B25" s="458">
        <f t="shared" ca="1" si="2"/>
        <v>1172.2432462218512</v>
      </c>
      <c r="C25" s="458">
        <f t="shared" ca="1" si="3"/>
        <v>37272.055462184879</v>
      </c>
      <c r="D25" s="458">
        <f t="shared" si="4"/>
        <v>0</v>
      </c>
      <c r="E25" s="458">
        <f t="shared" si="5"/>
        <v>16.318633642222668</v>
      </c>
      <c r="F25" s="458">
        <f t="shared" si="6"/>
        <v>5255.3891441000915</v>
      </c>
      <c r="G25" s="458">
        <f t="shared" si="7"/>
        <v>0</v>
      </c>
      <c r="H25" s="458">
        <f t="shared" si="8"/>
        <v>0</v>
      </c>
      <c r="I25" s="458">
        <f t="shared" si="9"/>
        <v>0</v>
      </c>
      <c r="J25" s="458">
        <f t="shared" si="10"/>
        <v>303.7115168891624</v>
      </c>
      <c r="K25" s="458">
        <f t="shared" si="11"/>
        <v>0</v>
      </c>
      <c r="L25" s="458">
        <f t="shared" si="12"/>
        <v>0</v>
      </c>
      <c r="M25" s="458">
        <f t="shared" si="13"/>
        <v>0</v>
      </c>
      <c r="N25" s="458">
        <f t="shared" si="14"/>
        <v>0</v>
      </c>
      <c r="O25" s="458">
        <f t="shared" si="15"/>
        <v>0</v>
      </c>
      <c r="P25" s="459">
        <f t="shared" si="16"/>
        <v>0</v>
      </c>
      <c r="Q25" s="457">
        <f t="shared" ca="1" si="17"/>
        <v>44019.718003038201</v>
      </c>
    </row>
    <row r="26" spans="1:17">
      <c r="A26" s="457" t="s">
        <v>655</v>
      </c>
      <c r="B26" s="458">
        <f t="shared" ca="1" si="2"/>
        <v>2698.4065740610827</v>
      </c>
      <c r="C26" s="458">
        <f t="shared" ca="1" si="3"/>
        <v>0</v>
      </c>
      <c r="D26" s="458">
        <f t="shared" si="4"/>
        <v>3578.4744651333085</v>
      </c>
      <c r="E26" s="458">
        <f t="shared" si="5"/>
        <v>327.96168585482224</v>
      </c>
      <c r="F26" s="458">
        <f t="shared" si="6"/>
        <v>1350.3595951601633</v>
      </c>
      <c r="G26" s="458">
        <f t="shared" si="7"/>
        <v>0</v>
      </c>
      <c r="H26" s="458">
        <f t="shared" si="8"/>
        <v>0</v>
      </c>
      <c r="I26" s="458">
        <f t="shared" si="9"/>
        <v>0</v>
      </c>
      <c r="J26" s="458">
        <f t="shared" si="10"/>
        <v>8.0241992124341941</v>
      </c>
      <c r="K26" s="458">
        <f t="shared" si="11"/>
        <v>0</v>
      </c>
      <c r="L26" s="458">
        <f t="shared" si="12"/>
        <v>0</v>
      </c>
      <c r="M26" s="458">
        <f t="shared" si="13"/>
        <v>0</v>
      </c>
      <c r="N26" s="458">
        <f t="shared" si="14"/>
        <v>0</v>
      </c>
      <c r="O26" s="458">
        <f t="shared" si="15"/>
        <v>0</v>
      </c>
      <c r="P26" s="459">
        <f t="shared" si="16"/>
        <v>0</v>
      </c>
      <c r="Q26" s="457">
        <f t="shared" ca="1" si="17"/>
        <v>7963.2265194218107</v>
      </c>
    </row>
    <row r="27" spans="1:17" s="463" customFormat="1">
      <c r="A27" s="461" t="s">
        <v>573</v>
      </c>
      <c r="B27" s="771">
        <f t="shared" ca="1" si="2"/>
        <v>0.49507654381935712</v>
      </c>
      <c r="C27" s="462">
        <f t="shared" ca="1" si="3"/>
        <v>0</v>
      </c>
      <c r="D27" s="462">
        <f t="shared" si="4"/>
        <v>0.80113893886676524</v>
      </c>
      <c r="E27" s="462">
        <f t="shared" si="5"/>
        <v>31.818952885481345</v>
      </c>
      <c r="F27" s="462">
        <f t="shared" si="6"/>
        <v>0</v>
      </c>
      <c r="G27" s="462">
        <f t="shared" si="7"/>
        <v>11611.485773553404</v>
      </c>
      <c r="H27" s="462">
        <f t="shared" si="8"/>
        <v>1801.3187814691839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13445.919723390756</v>
      </c>
    </row>
    <row r="28" spans="1:17">
      <c r="A28" s="457" t="s">
        <v>563</v>
      </c>
      <c r="B28" s="458">
        <f t="shared" ca="1" si="2"/>
        <v>0</v>
      </c>
      <c r="C28" s="458">
        <f t="shared" ca="1" si="3"/>
        <v>0</v>
      </c>
      <c r="D28" s="458">
        <f t="shared" si="4"/>
        <v>0</v>
      </c>
      <c r="E28" s="458">
        <f t="shared" si="5"/>
        <v>0</v>
      </c>
      <c r="F28" s="458">
        <f t="shared" si="6"/>
        <v>0</v>
      </c>
      <c r="G28" s="458">
        <f t="shared" si="7"/>
        <v>370.59621643704907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370.59621643704907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133.4600936099144</v>
      </c>
      <c r="C32" s="458">
        <f t="shared" ca="1" si="3"/>
        <v>0</v>
      </c>
      <c r="D32" s="458">
        <f t="shared" si="4"/>
        <v>259.61914912020256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393.07924273011696</v>
      </c>
    </row>
    <row r="33" spans="1:17" s="470" customFormat="1">
      <c r="A33" s="467" t="s">
        <v>567</v>
      </c>
      <c r="B33" s="468">
        <f ca="1">SUM(B22:B32)</f>
        <v>12872.906563579438</v>
      </c>
      <c r="C33" s="468">
        <f t="shared" ref="C33:Q33" ca="1" si="18">SUM(C22:C32)</f>
        <v>37272.055462184879</v>
      </c>
      <c r="D33" s="468">
        <f t="shared" ca="1" si="18"/>
        <v>16917.204988430312</v>
      </c>
      <c r="E33" s="468">
        <f t="shared" si="18"/>
        <v>1840.3368348464376</v>
      </c>
      <c r="F33" s="468">
        <f t="shared" ca="1" si="18"/>
        <v>7680.4496472482988</v>
      </c>
      <c r="G33" s="468">
        <f t="shared" si="18"/>
        <v>11982.081989990453</v>
      </c>
      <c r="H33" s="468">
        <f t="shared" si="18"/>
        <v>1801.3187814691839</v>
      </c>
      <c r="I33" s="468">
        <f t="shared" si="18"/>
        <v>0</v>
      </c>
      <c r="J33" s="468">
        <f t="shared" si="18"/>
        <v>375.68504444118253</v>
      </c>
      <c r="K33" s="468">
        <f t="shared" si="18"/>
        <v>0</v>
      </c>
      <c r="L33" s="468">
        <f t="shared" ca="1" si="18"/>
        <v>0</v>
      </c>
      <c r="M33" s="468">
        <f t="shared" si="18"/>
        <v>0</v>
      </c>
      <c r="N33" s="468">
        <f t="shared" ca="1" si="18"/>
        <v>0</v>
      </c>
      <c r="O33" s="468">
        <f t="shared" si="18"/>
        <v>0</v>
      </c>
      <c r="P33" s="468">
        <f t="shared" si="18"/>
        <v>0</v>
      </c>
      <c r="Q33" s="468">
        <f t="shared" ca="1" si="18"/>
        <v>90742.039312190172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4072.5994995975807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13112.512499999997</v>
      </c>
      <c r="C8" s="1034">
        <f>'SEAP template'!C76</f>
        <v>109786.5</v>
      </c>
      <c r="D8" s="1034">
        <f>'SEAP template'!D76</f>
        <v>129160.58823529413</v>
      </c>
      <c r="E8" s="1034">
        <f>'SEAP template'!E76</f>
        <v>0</v>
      </c>
      <c r="F8" s="1034">
        <f>'SEAP template'!F76</f>
        <v>0</v>
      </c>
      <c r="G8" s="1034">
        <f>'SEAP template'!G76</f>
        <v>0</v>
      </c>
      <c r="H8" s="1034">
        <f>'SEAP template'!H76</f>
        <v>0</v>
      </c>
      <c r="I8" s="1034">
        <f>'SEAP template'!I76</f>
        <v>0</v>
      </c>
      <c r="J8" s="1034">
        <f>'SEAP template'!J76</f>
        <v>15426.485294117645</v>
      </c>
      <c r="K8" s="1034">
        <f>'SEAP template'!K76</f>
        <v>0</v>
      </c>
      <c r="L8" s="1034">
        <f>'SEAP template'!L76</f>
        <v>0</v>
      </c>
      <c r="M8" s="1034">
        <f>'SEAP template'!M76</f>
        <v>0</v>
      </c>
      <c r="N8" s="1034">
        <f>'SEAP template'!N76</f>
        <v>0</v>
      </c>
      <c r="O8" s="1034">
        <f>'SEAP template'!O76</f>
        <v>0</v>
      </c>
      <c r="P8" s="1035">
        <f>'SEAP template'!Q76</f>
        <v>26090.438823529414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17185.111999597579</v>
      </c>
      <c r="C10" s="1038">
        <f>SUM(C4:C9)</f>
        <v>109786.5</v>
      </c>
      <c r="D10" s="1038">
        <f t="shared" ref="D10:H10" si="0">SUM(D8:D9)</f>
        <v>129160.58823529413</v>
      </c>
      <c r="E10" s="1038">
        <f t="shared" si="0"/>
        <v>0</v>
      </c>
      <c r="F10" s="1038">
        <f t="shared" si="0"/>
        <v>0</v>
      </c>
      <c r="G10" s="1038">
        <f t="shared" si="0"/>
        <v>0</v>
      </c>
      <c r="H10" s="1038">
        <f t="shared" si="0"/>
        <v>0</v>
      </c>
      <c r="I10" s="1038">
        <f>SUM(I8:I9)</f>
        <v>0</v>
      </c>
      <c r="J10" s="1038">
        <f>SUM(J8:J9)</f>
        <v>15426.485294117645</v>
      </c>
      <c r="K10" s="1038">
        <f t="shared" ref="K10:L10" si="1">SUM(K8:K9)</f>
        <v>0</v>
      </c>
      <c r="L10" s="1038">
        <f t="shared" si="1"/>
        <v>0</v>
      </c>
      <c r="M10" s="1038">
        <f>SUM(M8:M9)</f>
        <v>0</v>
      </c>
      <c r="N10" s="1038">
        <f>SUM(N8:N9)</f>
        <v>0</v>
      </c>
      <c r="O10" s="1038">
        <f>SUM(O8:O9)</f>
        <v>0</v>
      </c>
      <c r="P10" s="1038">
        <f>SUM(P8:P9)</f>
        <v>26090.438823529414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0.20548245716225219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18732.160714285714</v>
      </c>
      <c r="C17" s="1040">
        <f>'SEAP template'!C87</f>
        <v>156837.85714285716</v>
      </c>
      <c r="D17" s="1035">
        <f>'SEAP template'!D87</f>
        <v>184515.12605042019</v>
      </c>
      <c r="E17" s="1035">
        <f>'SEAP template'!E87</f>
        <v>0</v>
      </c>
      <c r="F17" s="1035">
        <f>'SEAP template'!F87</f>
        <v>0</v>
      </c>
      <c r="G17" s="1035">
        <f>'SEAP template'!G87</f>
        <v>0</v>
      </c>
      <c r="H17" s="1035">
        <f>'SEAP template'!H87</f>
        <v>0</v>
      </c>
      <c r="I17" s="1035">
        <f>'SEAP template'!I87</f>
        <v>0</v>
      </c>
      <c r="J17" s="1035">
        <f>'SEAP template'!J87</f>
        <v>22037.836134453781</v>
      </c>
      <c r="K17" s="1035">
        <f>'SEAP template'!K87</f>
        <v>0</v>
      </c>
      <c r="L17" s="1035">
        <f>'SEAP template'!L87</f>
        <v>0</v>
      </c>
      <c r="M17" s="1035">
        <f>'SEAP template'!M87</f>
        <v>0</v>
      </c>
      <c r="N17" s="1035">
        <f>'SEAP template'!N87</f>
        <v>0</v>
      </c>
      <c r="O17" s="1035">
        <f>'SEAP template'!O87</f>
        <v>0</v>
      </c>
      <c r="P17" s="1035">
        <f>'SEAP template'!Q87</f>
        <v>37272.055462184879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18732.160714285714</v>
      </c>
      <c r="C20" s="1038">
        <f>SUM(C17:C19)</f>
        <v>156837.85714285716</v>
      </c>
      <c r="D20" s="1038">
        <f t="shared" ref="D20:H20" si="2">SUM(D17:D19)</f>
        <v>184515.12605042019</v>
      </c>
      <c r="E20" s="1038">
        <f t="shared" si="2"/>
        <v>0</v>
      </c>
      <c r="F20" s="1038">
        <f t="shared" si="2"/>
        <v>0</v>
      </c>
      <c r="G20" s="1038">
        <f t="shared" si="2"/>
        <v>0</v>
      </c>
      <c r="H20" s="1038">
        <f t="shared" si="2"/>
        <v>0</v>
      </c>
      <c r="I20" s="1038">
        <f>SUM(I17:I19)</f>
        <v>0</v>
      </c>
      <c r="J20" s="1038">
        <f>SUM(J17:J19)</f>
        <v>22037.836134453781</v>
      </c>
      <c r="K20" s="1038">
        <f t="shared" ref="K20:L20" si="3">SUM(K17:K19)</f>
        <v>0</v>
      </c>
      <c r="L20" s="1038">
        <f t="shared" si="3"/>
        <v>0</v>
      </c>
      <c r="M20" s="1038">
        <f>SUM(M17:M19)</f>
        <v>0</v>
      </c>
      <c r="N20" s="1038">
        <f>SUM(N17:N19)</f>
        <v>0</v>
      </c>
      <c r="O20" s="1038">
        <f>SUM(O17:O19)</f>
        <v>0</v>
      </c>
      <c r="P20" s="1038">
        <f>SUM(P17:P19)</f>
        <v>37272.055462184879</v>
      </c>
    </row>
    <row r="22" spans="1:16">
      <c r="A22" s="471" t="s">
        <v>879</v>
      </c>
      <c r="B22" s="777" t="s">
        <v>873</v>
      </c>
      <c r="C22" s="777">
        <f ca="1">'EF ele_warmte'!B22</f>
        <v>0.21229168805184187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0.20548245716225219</v>
      </c>
      <c r="C17" s="508">
        <f ca="1">'EF ele_warmte'!B22</f>
        <v>0.21229168805184187</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2020-06-20T16:15:25Z</dcterms:modified>
</cp:coreProperties>
</file>