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B8" i="18" s="1"/>
  <c r="M31" i="18"/>
  <c r="G22" i="18"/>
  <c r="F22" i="18"/>
  <c r="E22" i="18"/>
  <c r="D22" i="18"/>
  <c r="C22" i="18"/>
  <c r="L20" i="18"/>
  <c r="D20" i="18"/>
  <c r="B17" i="18"/>
  <c r="G12" i="18"/>
  <c r="F12" i="18"/>
  <c r="E12" i="18"/>
  <c r="D12" i="18"/>
  <c r="C12" i="18"/>
  <c r="L10" i="18"/>
  <c r="K10" i="18"/>
  <c r="G10" i="18"/>
  <c r="D10" i="18"/>
  <c r="B6" i="18"/>
  <c r="B5" i="18"/>
  <c r="B4" i="18"/>
  <c r="I51" i="18" l="1"/>
  <c r="H17" i="18" s="1"/>
  <c r="G51" i="18"/>
  <c r="I17" i="18" s="1"/>
  <c r="I20" i="18" s="1"/>
  <c r="F51" i="18"/>
  <c r="C51" i="18"/>
  <c r="B51" i="18"/>
  <c r="C17" i="18" s="1"/>
  <c r="C20" i="18" s="1"/>
  <c r="B20" i="18"/>
  <c r="C47" i="18"/>
  <c r="F20" i="18"/>
  <c r="O18" i="18"/>
  <c r="H20" i="18"/>
  <c r="G20" i="18"/>
  <c r="K20" i="18"/>
  <c r="B10" i="18"/>
  <c r="O19" i="18"/>
  <c r="O9" i="18"/>
  <c r="D51" i="18"/>
  <c r="H51" i="18"/>
  <c r="E50" i="18"/>
  <c r="E8" i="18" s="1"/>
  <c r="E10" i="18" s="1"/>
  <c r="E51" i="18"/>
  <c r="E17" i="18" s="1"/>
  <c r="E20" i="18" s="1"/>
  <c r="N6" i="17"/>
  <c r="I50" i="18" l="1"/>
  <c r="H8" i="18" s="1"/>
  <c r="H10" i="18" s="1"/>
  <c r="G50" i="18"/>
  <c r="F50" i="18"/>
  <c r="D50" i="18"/>
  <c r="C50" i="18"/>
  <c r="B50" i="18"/>
  <c r="C8" i="18" s="1"/>
  <c r="C10" i="18" s="1"/>
  <c r="H50"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J5" i="48"/>
  <c r="J23" i="48" s="1"/>
  <c r="K10" i="14"/>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8" i="48"/>
  <c r="E26" i="48" s="1"/>
  <c r="F13" i="14"/>
  <c r="F16" i="14" s="1"/>
  <c r="F27" i="14" s="1"/>
  <c r="N63" i="14"/>
  <c r="E22" i="16"/>
  <c r="F43" i="14" s="1"/>
  <c r="J22" i="16"/>
  <c r="K43" i="14" s="1"/>
  <c r="K46" i="14" s="1"/>
  <c r="K61" i="14" s="1"/>
  <c r="K63" i="14" s="1"/>
  <c r="K13" i="14"/>
  <c r="K16" i="14" s="1"/>
  <c r="K27" i="14" s="1"/>
  <c r="J8" i="48"/>
  <c r="E63" i="14"/>
  <c r="E23" i="48"/>
  <c r="E33" i="48" s="1"/>
  <c r="E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<sst xmlns="http://schemas.openxmlformats.org/spreadsheetml/2006/main" count="2474" uniqueCount="933">
  <si>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</si>
  <si>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</si>
  <si>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</si>
  <si>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</si>
  <si>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</si>
  <si>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</si>
  <si>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</si>
  <si>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</si>
  <si>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</si>
  <si>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</si>
  <si>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</si>
  <si>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</si>
  <si>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</si>
  <si>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</si>
  <si>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</si>
  <si>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</si>
  <si>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</si>
  <si>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</si>
  <si>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</si>
  <si>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</si>
  <si>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</si>
  <si>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</si>
  <si>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</si>
  <si>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</si>
  <si>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</si>
  <si>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</si>
  <si>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</si>
  <si>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</si>
  <si>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</si>
  <si>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</si>
  <si>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</si>
  <si>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</si>
  <si>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</si>
  <si>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</si>
  <si>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</si>
  <si>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</si>
  <si>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</si>
  <si>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</si>
  <si>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</si>
  <si>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</si>
  <si>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</si>
  <si>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</si>
  <si>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</si>
  <si>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</si>
  <si>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</si>
  <si>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</si>
  <si>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</si>
  <si>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</si>
  <si>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</si>
  <si>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</si>
  <si>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</si>
  <si>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</si>
  <si>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</si>
  <si>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</si>
  <si>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</si>
  <si>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</si>
  <si>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</si>
  <si>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</si>
  <si>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</si>
  <si>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</si>
  <si>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</si>
  <si>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</si>
  <si>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</si>
  <si>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</si>
  <si>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</si>
  <si>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</si>
  <si>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</si>
  <si>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</si>
  <si>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</si>
  <si>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</si>
  <si>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</si>
  <si>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</si>
  <si>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</si>
  <si>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</si>
  <si>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</si>
  <si>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</si>
  <si>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</si>
  <si>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</si>
  <si>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</si>
  <si>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</si>
  <si>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</si>
  <si>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</si>
  <si>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</si>
  <si>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</si>
  <si>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</si>
  <si>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</si>
  <si>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</si>
  <si>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</si>
  <si>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</si>
  <si>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</si>
  <si>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</si>
  <si>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</si>
  <si>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</si>
  <si>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</si>
  <si>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</si>
  <si>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</si>
  <si>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</si>
  <si>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</si>
  <si>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</si>
  <si>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</si>
  <si>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</si>
  <si>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</si>
  <si>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</si>
  <si>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</si>
  <si>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</si>
  <si>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</si>
  <si>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</si>
  <si>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</si>
  <si>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</si>
  <si>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</si>
  <si>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</si>
  <si>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</si>
  <si>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</si>
  <si>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</si>
  <si>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</si>
  <si>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</si>
  <si>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</si>
  <si>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</si>
  <si>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</si>
  <si>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</si>
  <si>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</si>
  <si>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</si>
  <si>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</si>
  <si>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</si>
  <si>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</si>
  <si>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</si>
  <si>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</si>
  <si>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</si>
  <si>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</si>
  <si>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</si>
  <si>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</si>
  <si>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</si>
  <si>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</si>
  <si>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</si>
  <si>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</si>
  <si>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</si>
  <si>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</si>
  <si>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</si>
  <si>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</si>
  <si>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</si>
  <si>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</si>
  <si>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</si>
  <si>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</si>
  <si>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</si>
  <si>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</si>
  <si>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</si>
  <si>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</si>
  <si>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</si>
  <si>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</si>
  <si>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</si>
  <si>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</si>
  <si>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</si>
  <si>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</si>
  <si>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</si>
  <si>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</si>
  <si>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</si>
  <si>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</si>
  <si>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</si>
  <si>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</si>
  <si>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</si>
  <si>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</si>
  <si>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</si>
  <si>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</si>
  <si>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</si>
  <si>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</si>
  <si>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</si>
  <si>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</si>
  <si>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</si>
  <si>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</si>
  <si>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</si>
  <si>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</si>
  <si>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</si>
  <si>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</si>
  <si>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</si>
  <si>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</si>
  <si>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</si>
  <si>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</si>
  <si>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</si>
  <si>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</si>
  <si>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</si>
  <si>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</si>
  <si>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</si>
  <si>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</si>
  <si>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</si>
  <si>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</si>
  <si>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</si>
  <si>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</si>
  <si>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</si>
  <si>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</si>
  <si>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</si>
  <si>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</si>
  <si>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</si>
  <si>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</si>
  <si>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</si>
  <si>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</si>
  <si>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</si>
  <si>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</si>
  <si>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</si>
  <si>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</si>
  <si>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</si>
  <si>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</si>
  <si>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</si>
  <si>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</si>
  <si>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</si>
  <si>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</si>
  <si>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</si>
  <si>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</si>
  <si>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</si>
  <si>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</si>
  <si>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</si>
  <si>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</si>
  <si>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</si>
  <si>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</si>
  <si>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</si>
  <si>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</si>
  <si>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</si>
  <si>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</si>
  <si>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</si>
  <si>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</si>
  <si>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</si>
  <si>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</si>
  <si>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</si>
  <si>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</si>
  <si>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</si>
  <si>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</si>
  <si>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</si>
  <si>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</si>
  <si>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</si>
  <si>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</si>
  <si>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</si>
  <si>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</si>
  <si>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</si>
  <si>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</si>
  <si>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</si>
  <si>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</si>
  <si>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</si>
  <si>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</si>
  <si>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</si>
  <si>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</si>
  <si>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</si>
  <si>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</si>
  <si>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</si>
  <si>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</si>
  <si>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</si>
  <si>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</si>
  <si>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</si>
  <si>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</si>
  <si>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</si>
  <si>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</si>
  <si>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</si>
  <si>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</si>
  <si>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</si>
  <si>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</si>
  <si>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</si>
  <si>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</si>
  <si>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</si>
  <si>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</si>
  <si>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</si>
  <si>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</si>
  <si>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</si>
  <si>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</si>
  <si>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</si>
  <si>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</si>
  <si>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</si>
  <si>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</si>
  <si>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</si>
  <si>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</si>
  <si>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</si>
  <si>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</si>
  <si>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</si>
  <si>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</si>
  <si>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</si>
  <si>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</si>
  <si>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</si>
  <si>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</si>
  <si>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</si>
  <si>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</si>
  <si>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</si>
  <si>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</si>
  <si>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</si>
  <si>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</si>
  <si>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</si>
  <si>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</si>
  <si>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</si>
  <si>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</si>
  <si>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</si>
  <si>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</si>
  <si>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</si>
  <si>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</si>
  <si>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</si>
  <si>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</si>
  <si>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</si>
  <si>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</si>
  <si>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</si>
  <si>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</si>
  <si>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</si>
  <si>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</si>
  <si>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</si>
  <si>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</si>
  <si>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</si>
  <si>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</si>
  <si>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</si>
  <si>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</si>
  <si>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</si>
  <si>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</si>
  <si>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</si>
  <si>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</si>
  <si>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</si>
  <si>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</si>
  <si>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</si>
  <si>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</si>
  <si>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</si>
  <si>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</si>
  <si>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</si>
  <si>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</si>
  <si>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</si>
  <si>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</si>
  <si>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</si>
  <si>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</si>
  <si>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</si>
  <si>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</si>
  <si>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</si>
  <si>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</si>
  <si>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</si>
  <si>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</si>
  <si>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</si>
  <si>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</si>
  <si>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</si>
  <si>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</si>
  <si>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</si>
  <si>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</si>
  <si>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</si>
  <si>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</si>
  <si>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</si>
  <si>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</si>
  <si>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</si>
  <si>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</si>
  <si>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</si>
  <si>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</si>
  <si>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</si>
  <si>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</si>
  <si>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</si>
  <si>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</si>
  <si>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</si>
  <si>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</si>
  <si>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</si>
  <si>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</si>
  <si>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</si>
  <si>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</si>
  <si>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</si>
  <si>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</si>
  <si>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</si>
  <si>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</si>
  <si>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</si>
  <si>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</si>
  <si>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</si>
  <si>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</si>
  <si>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</si>
  <si>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</si>
  <si>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</si>
  <si>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</si>
  <si>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</si>
  <si>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</si>
  <si>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</si>
  <si>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</si>
  <si>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</si>
  <si>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</si>
  <si>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</si>
  <si>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</si>
  <si>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</si>
  <si>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</si>
  <si>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</si>
  <si>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</si>
  <si>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</si>
  <si>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</si>
  <si>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</si>
  <si>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</si>
  <si>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</si>
  <si>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</si>
  <si>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</si>
  <si>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</si>
  <si>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</si>
  <si>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</si>
  <si>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</si>
  <si>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</si>
  <si>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</si>
  <si>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</si>
  <si>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</si>
  <si>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</si>
  <si>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</si>
  <si>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</si>
  <si>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</si>
  <si>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</si>
  <si>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</si>
  <si>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</si>
  <si>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</si>
  <si>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</si>
  <si>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</si>
  <si>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</si>
  <si>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</si>
  <si>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</si>
  <si>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</si>
  <si>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</si>
  <si>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</si>
  <si>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</si>
  <si>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</si>
  <si>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</si>
  <si>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</si>
  <si>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</si>
  <si>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</si>
  <si>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</si>
  <si>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</si>
  <si>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</si>
  <si>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</si>
  <si>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</si>
  <si>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</si>
  <si>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</si>
  <si>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</si>
  <si>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</si>
  <si>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</si>
  <si>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</si>
  <si>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</si>
  <si>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</si>
  <si>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</si>
  <si>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</si>
  <si>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</si>
  <si>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</si>
  <si>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</si>
  <si>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</si>
  <si>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</si>
  <si>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</si>
  <si>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</si>
  <si>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</si>
  <si>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</si>
  <si>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</si>
  <si>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</si>
  <si>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</si>
  <si>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</si>
  <si>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</si>
  <si>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</si>
  <si>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</si>
  <si>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</si>
  <si>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</si>
  <si>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</si>
  <si>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</si>
  <si>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</si>
  <si>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</si>
  <si>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</si>
  <si>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</si>
  <si>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</si>
  <si>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</si>
  <si>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</si>
  <si>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</si>
  <si>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</si>
  <si>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</si>
  <si>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</si>
  <si>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</si>
  <si>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</si>
  <si>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</si>
  <si>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</si>
  <si>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</si>
  <si>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</si>
  <si>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</si>
  <si>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</si>
  <si>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</si>
  <si>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</si>
  <si>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</si>
  <si>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</si>
  <si>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</si>
  <si>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</si>
  <si>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</si>
  <si>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</si>
  <si>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</si>
  <si>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</si>
  <si>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</si>
  <si>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</si>
  <si>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</si>
  <si>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</si>
  <si>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</si>
  <si>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</si>
  <si>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</si>
  <si>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</si>
  <si>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</si>
  <si>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</si>
  <si>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</si>
  <si>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</si>
  <si>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</si>
  <si>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</si>
  <si>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</si>
  <si>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</si>
  <si>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</si>
  <si>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</si>
  <si>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</si>
  <si>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</si>
  <si>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</si>
  <si>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</si>
  <si>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</si>
  <si>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</si>
  <si>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</si>
  <si>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</si>
  <si>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</si>
  <si>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</si>
  <si>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</si>
  <si>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</si>
  <si>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</si>
  <si>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</si>
  <si>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</si>
  <si>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</si>
  <si>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</si>
  <si>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</si>
  <si>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</si>
  <si>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</si>
  <si>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</si>
  <si>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</si>
  <si>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</si>
  <si>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</si>
  <si>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</si>
  <si>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</si>
  <si>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</si>
  <si>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</si>
  <si>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</si>
  <si>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</si>
  <si>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</si>
  <si>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</si>
  <si>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</si>
  <si>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</si>
  <si>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</si>
  <si>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</si>
  <si>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</si>
  <si>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</si>
  <si>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</si>
  <si>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</si>
  <si>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</si>
  <si>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</si>
  <si>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</si>
  <si>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</si>
  <si>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</si>
  <si>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</si>
  <si>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</si>
  <si>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</si>
  <si>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</si>
  <si>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</si>
  <si>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</si>
  <si>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</si>
  <si>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</si>
  <si>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</si>
  <si>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</si>
  <si>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</si>
  <si>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</si>
  <si>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</si>
  <si>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</si>
  <si>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</si>
  <si>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</si>
  <si>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</si>
  <si>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</si>
  <si>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</si>
  <si>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</si>
  <si>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</si>
  <si>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</si>
  <si>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</si>
  <si>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</si>
  <si>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</si>
  <si>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</si>
  <si>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</si>
  <si>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</si>
  <si>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</si>
  <si>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</si>
  <si>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</si>
  <si>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</si>
  <si>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</si>
  <si>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</si>
  <si>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</si>
  <si>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</si>
  <si>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</si>
  <si>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</si>
  <si>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</si>
  <si>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</si>
  <si>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</si>
  <si>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</si>
  <si>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</si>
  <si>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</si>
  <si>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</si>
  <si>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</si>
  <si>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</si>
  <si>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</si>
  <si>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</si>
  <si>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</si>
  <si>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</si>
  <si>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</si>
  <si>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</si>
  <si>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</si>
  <si>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</si>
  <si>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</si>
  <si>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</si>
  <si>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</si>
  <si>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</si>
  <si>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</si>
  <si>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</si>
  <si>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</si>
  <si>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</si>
  <si>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</si>
  <si>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</si>
  <si>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</si>
  <si>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</si>
  <si>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</si>
  <si>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</si>
  <si>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</si>
  <si>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</si>
  <si>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</si>
  <si>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</si>
  <si>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</si>
  <si>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</si>
  <si>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</si>
  <si>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</si>
  <si>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</si>
  <si>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</si>
  <si>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</si>
  <si>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</si>
  <si>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</si>
  <si>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</si>
  <si>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</si>
  <si>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</si>
  <si>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</si>
  <si>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</si>
  <si>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</si>
  <si>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</si>
  <si>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</si>
  <si>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</si>
  <si>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</si>
  <si>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</si>
  <si>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</si>
  <si>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</si>
  <si>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</si>
  <si>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</si>
  <si>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</si>
  <si>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</si>
  <si>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</si>
  <si>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</si>
  <si>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</si>
  <si>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</si>
  <si>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</si>
  <si>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</si>
  <si>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</si>
  <si>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</si>
  <si>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</si>
  <si>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</si>
  <si>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</si>
  <si>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</si>
  <si>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</si>
  <si>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</si>
  <si>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</si>
  <si>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</si>
  <si>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</si>
  <si>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</si>
  <si>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</si>
  <si>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</si>
  <si>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</si>
  <si>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</si>
  <si>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</si>
  <si>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</si>
  <si>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</si>
  <si>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</si>
  <si>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</si>
  <si>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</si>
  <si>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</si>
  <si>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</si>
  <si>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</si>
  <si>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</si>
  <si>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</si>
  <si>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</si>
  <si>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</si>
  <si>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</si>
  <si>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</si>
  <si>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</si>
  <si>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</si>
  <si>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</si>
  <si>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</si>
  <si>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</si>
  <si>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</si>
  <si>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</si>
  <si>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</si>
  <si>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</si>
  <si>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</si>
  <si>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</si>
  <si>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</si>
  <si>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</si>
  <si>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</si>
  <si>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</si>
  <si>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</si>
  <si>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</si>
  <si>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</si>
  <si>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</si>
  <si>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</si>
  <si>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</si>
  <si>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</si>
  <si>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</si>
  <si>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</si>
  <si>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</si>
  <si>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</si>
  <si>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</si>
  <si>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</si>
  <si>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</si>
  <si>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</si>
  <si>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</si>
  <si>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</si>
  <si>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</si>
  <si>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</si>
  <si>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</si>
  <si>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</si>
  <si>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</si>
  <si>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</si>
  <si>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</si>
  <si>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</si>
  <si>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</si>
  <si>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</si>
  <si>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</si>
  <si>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</si>
  <si>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</si>
  <si>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</si>
  <si>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</si>
  <si>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</si>
  <si>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</si>
  <si>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</si>
  <si>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</si>
  <si>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</si>
  <si>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</si>
  <si>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</si>
  <si>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</si>
  <si>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</si>
  <si>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</si>
  <si>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</si>
  <si>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</si>
  <si>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</si>
  <si>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</si>
  <si>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</si>
  <si>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</si>
  <si>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</si>
  <si>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</si>
  <si>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</si>
  <si>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</si>
  <si>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</si>
  <si>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</si>
  <si>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</si>
  <si>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</si>
  <si>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</si>
  <si>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</si>
  <si>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</si>
  <si>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</si>
  <si>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</si>
  <si>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</si>
  <si>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</si>
  <si>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</si>
  <si>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</si>
  <si>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</si>
  <si>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</si>
  <si>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</si>
  <si>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</si>
  <si>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</si>
  <si>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</si>
  <si>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</si>
  <si>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</si>
  <si>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</si>
  <si>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</si>
  <si>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</si>
  <si>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</si>
  <si>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</si>
  <si>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</si>
  <si>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</si>
  <si>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</si>
  <si>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</si>
  <si>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</si>
  <si>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</si>
  <si>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</si>
  <si>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</si>
  <si>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</si>
  <si>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</si>
  <si>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</si>
  <si>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</si>
  <si>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</si>
  <si>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</si>
  <si>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</si>
  <si>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</si>
  <si>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</si>
  <si>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</si>
  <si>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</si>
  <si>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</si>
  <si>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</si>
  <si>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</si>
  <si>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</si>
  <si>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</si>
  <si>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</si>
  <si>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</si>
  <si>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</si>
  <si>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</si>
  <si>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</si>
  <si>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</si>
  <si>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</si>
  <si>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</si>
  <si>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</si>
  <si>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</si>
  <si>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</si>
  <si>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</si>
  <si>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</si>
  <si>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</si>
  <si>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</si>
  <si>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</si>
  <si>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</si>
  <si>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</si>
  <si>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</si>
  <si>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</si>
  <si>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</si>
  <si>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</si>
  <si>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</si>
  <si>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</si>
  <si>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</si>
  <si>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</si>
  <si>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</si>
  <si>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</si>
  <si>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</si>
  <si>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</si>
  <si>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</si>
  <si>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</si>
  <si>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</si>
  <si>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</si>
  <si>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</si>
  <si>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</si>
  <si>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</si>
  <si>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</si>
  <si>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</si>
  <si>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</si>
  <si>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</si>
  <si>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</si>
  <si>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</si>
  <si>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</si>
  <si>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</si>
  <si>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</si>
  <si>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</si>
  <si>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</si>
  <si>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</si>
  <si>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</si>
  <si>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</si>
  <si>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</si>
  <si>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</si>
  <si>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</si>
  <si>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</si>
  <si>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</si>
  <si>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</si>
  <si>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</si>
  <si>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</si>
  <si>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</si>
  <si>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</si>
  <si>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</si>
  <si>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</si>
  <si>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</si>
  <si>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</si>
  <si>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</si>
  <si>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</si>
  <si>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</si>
  <si>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</si>
  <si>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</si>
  <si>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</si>
  <si>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</si>
  <si>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</si>
  <si>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</si>
  <si>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</si>
  <si>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</si>
  <si>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</si>
  <si>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</si>
  <si>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</si>
  <si>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</si>
  <si>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</si>
  <si>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</si>
  <si>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</si>
  <si>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</si>
  <si>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</si>
  <si>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</si>
  <si>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</si>
  <si>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</si>
  <si>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</si>
  <si>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</si>
  <si>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</si>
  <si>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</si>
  <si>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</si>
  <si>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</si>
  <si>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</si>
  <si>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</si>
  <si>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</si>
  <si>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</si>
  <si>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</si>
  <si>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</si>
  <si>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</si>
  <si>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</si>
  <si>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</si>
  <si>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</si>
  <si>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</si>
  <si>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</si>
  <si>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</si>
  <si>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</si>
  <si>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</si>
  <si>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</si>
  <si>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</si>
  <si>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</si>
  <si>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</si>
  <si>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</si>
  <si>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</si>
  <si>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</si>
  <si>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</si>
  <si>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</si>
  <si>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</si>
  <si>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</si>
  <si>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</si>
  <si>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</si>
  <si>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</si>
  <si>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13035</t>
  </si>
  <si>
    <t>RAVELS</t>
  </si>
  <si>
    <t>Cultuurgrond (ha)</t>
  </si>
  <si>
    <t>Paarden&amp;pony's 200 - 600 kg</t>
  </si>
  <si>
    <t>Paarden&amp;pony's &lt; 200 kg</t>
  </si>
  <si>
    <t>Fluvius</t>
  </si>
  <si>
    <t>referentietaak LNE (2017); Jaarverslag De Lijn</t>
  </si>
  <si>
    <t>Toon Mulders</t>
  </si>
  <si>
    <t>Aarledijk 83 , 2382 Poppel</t>
  </si>
  <si>
    <t>WKK-0234 Toon Mulders</t>
  </si>
  <si>
    <t>interne verbrandingsmotor</t>
  </si>
  <si>
    <t>WKK interne verbrandinsgmotor (gas)</t>
  </si>
  <si>
    <t>IVEKA</t>
  </si>
  <si>
    <t>Den Breyn bvba</t>
  </si>
  <si>
    <t>Turnhoutseweg 96, 2381 Weelde</t>
  </si>
  <si>
    <t>WKK-0037-1 Den Breyn</t>
  </si>
  <si>
    <t>Biolectric nv</t>
  </si>
  <si>
    <t>Jan de Malschelaan 4 B, 9140 Temse</t>
  </si>
  <si>
    <t>WKK-0501 Dirk Mertens</t>
  </si>
  <si>
    <t>Kerkstraat 37 , 2380 Ravels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</si>
</sst>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166741.68640660372</c:v>
                </c:pt>
                <c:pt idx="1">
                  <c:v>29525.935513084372</c:v>
                </c:pt>
                <c:pt idx="2">
                  <c:v>1045.3579999999999</c:v>
                </c:pt>
                <c:pt idx="3">
                  <c:v>91432.413798170513</c:v>
                </c:pt>
                <c:pt idx="4">
                  <c:v>86821.017893964832</c:v>
                </c:pt>
                <c:pt idx="5">
                  <c:v>67364.109521881284</c:v>
                </c:pt>
                <c:pt idx="6">
                  <c:v>1478.2132252007409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166741.68640660372</c:v>
                </c:pt>
                <c:pt idx="1">
                  <c:v>29525.935513084372</c:v>
                </c:pt>
                <c:pt idx="2">
                  <c:v>1045.3579999999999</c:v>
                </c:pt>
                <c:pt idx="3">
                  <c:v>91432.413798170513</c:v>
                </c:pt>
                <c:pt idx="4">
                  <c:v>86821.017893964832</c:v>
                </c:pt>
                <c:pt idx="5">
                  <c:v>67364.109521881284</c:v>
                </c:pt>
                <c:pt idx="6">
                  <c:v>1478.2132252007409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27987.944991002671</c:v>
                </c:pt>
                <c:pt idx="2">
                  <c:v>5841.342112405644</c:v>
                </c:pt>
                <c:pt idx="3">
                  <c:v>216.79624004384158</c:v>
                </c:pt>
                <c:pt idx="4">
                  <c:v>22495.123702769815</c:v>
                </c:pt>
                <c:pt idx="5">
                  <c:v>18392.921553875578</c:v>
                </c:pt>
                <c:pt idx="6">
                  <c:v>17022.158171522169</c:v>
                </c:pt>
                <c:pt idx="7">
                  <c:v>377.86389649189539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27987.944991002671</c:v>
                </c:pt>
                <c:pt idx="2">
                  <c:v>5841.342112405644</c:v>
                </c:pt>
                <c:pt idx="3">
                  <c:v>216.79624004384158</c:v>
                </c:pt>
                <c:pt idx="4">
                  <c:v>22495.123702769815</c:v>
                </c:pt>
                <c:pt idx="5">
                  <c:v>18392.921553875578</c:v>
                </c:pt>
                <c:pt idx="6">
                  <c:v>17022.158171522169</c:v>
                </c:pt>
                <c:pt idx="7">
                  <c:v>377.86389649189539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13035</v>
      </c>
      <c r="B6" s="395"/>
      <c r="C6" s="396"/>
    </row>
    <row r="7" spans="1:7" s="393" customFormat="1" ht="15.75" customHeight="1">
      <c r="A7" s="397" t="str">
        <f>txtMunicipality</f>
        <v>RAVELS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0.20738946853024667</v>
      </c>
      <c r="C17" s="508">
        <f ca="1">'EF ele_warmte'!B22</f>
        <v>0.23734719917883412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0.20738946853024667</v>
      </c>
      <c r="C29" s="509">
        <f ca="1">'EF ele_warmte'!B22</f>
        <v>0.23734719917883412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5780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5026</v>
      </c>
      <c r="C14" s="332"/>
      <c r="D14" s="332"/>
      <c r="E14" s="332"/>
      <c r="F14" s="332"/>
    </row>
    <row r="15" spans="1:6">
      <c r="A15" s="1306" t="s">
        <v>183</v>
      </c>
      <c r="B15" s="1307">
        <v>17837</v>
      </c>
      <c r="C15" s="332"/>
      <c r="D15" s="332"/>
      <c r="E15" s="332"/>
      <c r="F15" s="332"/>
    </row>
    <row r="16" spans="1:6">
      <c r="A16" s="1306" t="s">
        <v>6</v>
      </c>
      <c r="B16" s="1307">
        <v>3723</v>
      </c>
      <c r="C16" s="332"/>
      <c r="D16" s="332"/>
      <c r="E16" s="332"/>
      <c r="F16" s="332"/>
    </row>
    <row r="17" spans="1:6">
      <c r="A17" s="1306" t="s">
        <v>7</v>
      </c>
      <c r="B17" s="1307">
        <v>607</v>
      </c>
      <c r="C17" s="332"/>
      <c r="D17" s="332"/>
      <c r="E17" s="332"/>
      <c r="F17" s="332"/>
    </row>
    <row r="18" spans="1:6">
      <c r="A18" s="1306" t="s">
        <v>8</v>
      </c>
      <c r="B18" s="1307">
        <v>2727</v>
      </c>
      <c r="C18" s="332"/>
      <c r="D18" s="332"/>
      <c r="E18" s="332"/>
      <c r="F18" s="332"/>
    </row>
    <row r="19" spans="1:6">
      <c r="A19" s="1306" t="s">
        <v>9</v>
      </c>
      <c r="B19" s="1307">
        <v>2082</v>
      </c>
      <c r="C19" s="332"/>
      <c r="D19" s="332"/>
      <c r="E19" s="332"/>
      <c r="F19" s="332"/>
    </row>
    <row r="20" spans="1:6">
      <c r="A20" s="1306" t="s">
        <v>10</v>
      </c>
      <c r="B20" s="1307">
        <v>1873</v>
      </c>
      <c r="C20" s="332"/>
      <c r="D20" s="332"/>
      <c r="E20" s="332"/>
      <c r="F20" s="332"/>
    </row>
    <row r="21" spans="1:6">
      <c r="A21" s="1306" t="s">
        <v>11</v>
      </c>
      <c r="B21" s="1307">
        <v>25293</v>
      </c>
      <c r="C21" s="332"/>
      <c r="D21" s="332"/>
      <c r="E21" s="332"/>
      <c r="F21" s="332"/>
    </row>
    <row r="22" spans="1:6">
      <c r="A22" s="1306" t="s">
        <v>12</v>
      </c>
      <c r="B22" s="1307">
        <v>57347</v>
      </c>
      <c r="C22" s="332"/>
      <c r="D22" s="332"/>
      <c r="E22" s="332"/>
      <c r="F22" s="332"/>
    </row>
    <row r="23" spans="1:6">
      <c r="A23" s="1306" t="s">
        <v>13</v>
      </c>
      <c r="B23" s="1307">
        <v>592</v>
      </c>
      <c r="C23" s="332"/>
      <c r="D23" s="332"/>
      <c r="E23" s="332"/>
      <c r="F23" s="332"/>
    </row>
    <row r="24" spans="1:6">
      <c r="A24" s="1306" t="s">
        <v>14</v>
      </c>
      <c r="B24" s="1307">
        <v>62</v>
      </c>
      <c r="C24" s="332"/>
      <c r="D24" s="332"/>
      <c r="E24" s="332"/>
      <c r="F24" s="332"/>
    </row>
    <row r="25" spans="1:6">
      <c r="A25" s="1306" t="s">
        <v>15</v>
      </c>
      <c r="B25" s="1307">
        <v>4697</v>
      </c>
      <c r="C25" s="332"/>
      <c r="D25" s="332"/>
      <c r="E25" s="332"/>
      <c r="F25" s="332"/>
    </row>
    <row r="26" spans="1:6">
      <c r="A26" s="1306" t="s">
        <v>16</v>
      </c>
      <c r="B26" s="1307">
        <v>72</v>
      </c>
      <c r="C26" s="332"/>
      <c r="D26" s="332"/>
      <c r="E26" s="332"/>
      <c r="F26" s="332"/>
    </row>
    <row r="27" spans="1:6">
      <c r="A27" s="1306" t="s">
        <v>17</v>
      </c>
      <c r="B27" s="1307">
        <v>2217</v>
      </c>
      <c r="C27" s="332"/>
      <c r="D27" s="332"/>
      <c r="E27" s="332"/>
      <c r="F27" s="332"/>
    </row>
    <row r="28" spans="1:6" s="43" customFormat="1">
      <c r="A28" s="1308" t="s">
        <v>18</v>
      </c>
      <c r="B28" s="1309">
        <v>1323803</v>
      </c>
      <c r="C28" s="338"/>
      <c r="D28" s="338"/>
      <c r="E28" s="338"/>
      <c r="F28" s="338"/>
    </row>
    <row r="29" spans="1:6">
      <c r="A29" s="1308" t="s">
        <v>916</v>
      </c>
      <c r="B29" s="1309">
        <v>166</v>
      </c>
      <c r="C29" s="338"/>
      <c r="D29" s="338"/>
      <c r="E29" s="338"/>
      <c r="F29" s="338"/>
    </row>
    <row r="30" spans="1:6">
      <c r="A30" s="1301" t="s">
        <v>917</v>
      </c>
      <c r="B30" s="1310">
        <v>25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221687.34289581</v>
      </c>
      <c r="E38" s="1307">
        <v>4</v>
      </c>
      <c r="F38" s="1307">
        <v>1260382.6277177299</v>
      </c>
    </row>
    <row r="39" spans="1:6">
      <c r="A39" s="1306" t="s">
        <v>29</v>
      </c>
      <c r="B39" s="1306" t="s">
        <v>30</v>
      </c>
      <c r="C39" s="1307">
        <v>3465</v>
      </c>
      <c r="D39" s="1307">
        <v>78055541.591865003</v>
      </c>
      <c r="E39" s="1307">
        <v>5438</v>
      </c>
      <c r="F39" s="1307">
        <v>24838927.840464499</v>
      </c>
    </row>
    <row r="40" spans="1:6">
      <c r="A40" s="1306" t="s">
        <v>29</v>
      </c>
      <c r="B40" s="1306" t="s">
        <v>28</v>
      </c>
      <c r="C40" s="1307">
        <v>0</v>
      </c>
      <c r="D40" s="1307">
        <v>0</v>
      </c>
      <c r="E40" s="1307">
        <v>0</v>
      </c>
      <c r="F40" s="1307">
        <v>0</v>
      </c>
    </row>
    <row r="41" spans="1:6">
      <c r="A41" s="1306" t="s">
        <v>31</v>
      </c>
      <c r="B41" s="1306" t="s">
        <v>32</v>
      </c>
      <c r="C41" s="1307">
        <v>34</v>
      </c>
      <c r="D41" s="1307">
        <v>641163.76530723996</v>
      </c>
      <c r="E41" s="1307">
        <v>121</v>
      </c>
      <c r="F41" s="1307">
        <v>2038300.60669591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76203.127675480806</v>
      </c>
      <c r="E44" s="1307">
        <v>18</v>
      </c>
      <c r="F44" s="1307">
        <v>1596025.93365753</v>
      </c>
    </row>
    <row r="45" spans="1:6">
      <c r="A45" s="1306" t="s">
        <v>31</v>
      </c>
      <c r="B45" s="1306" t="s">
        <v>36</v>
      </c>
      <c r="C45" s="1307">
        <v>0</v>
      </c>
      <c r="D45" s="1307">
        <v>0</v>
      </c>
      <c r="E45" s="1307">
        <v>3</v>
      </c>
      <c r="F45" s="1307">
        <v>1464557.8016438601</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60488.532242480498</v>
      </c>
    </row>
    <row r="48" spans="1:6">
      <c r="A48" s="1306" t="s">
        <v>31</v>
      </c>
      <c r="B48" s="1306" t="s">
        <v>28</v>
      </c>
      <c r="C48" s="1307">
        <v>54</v>
      </c>
      <c r="D48" s="1307">
        <v>28402353.705368001</v>
      </c>
      <c r="E48" s="1307">
        <v>59</v>
      </c>
      <c r="F48" s="1307">
        <v>14390082.922550701</v>
      </c>
    </row>
    <row r="49" spans="1:6">
      <c r="A49" s="1306" t="s">
        <v>31</v>
      </c>
      <c r="B49" s="1306" t="s">
        <v>39</v>
      </c>
      <c r="C49" s="1307">
        <v>0</v>
      </c>
      <c r="D49" s="1307">
        <v>0</v>
      </c>
      <c r="E49" s="1307">
        <v>0</v>
      </c>
      <c r="F49" s="1307">
        <v>0</v>
      </c>
    </row>
    <row r="50" spans="1:6">
      <c r="A50" s="1306" t="s">
        <v>31</v>
      </c>
      <c r="B50" s="1306" t="s">
        <v>40</v>
      </c>
      <c r="C50" s="1307">
        <v>0</v>
      </c>
      <c r="D50" s="1307">
        <v>0</v>
      </c>
      <c r="E50" s="1307">
        <v>14</v>
      </c>
      <c r="F50" s="1307">
        <v>11494026.0700191</v>
      </c>
    </row>
    <row r="51" spans="1:6">
      <c r="A51" s="1306" t="s">
        <v>41</v>
      </c>
      <c r="B51" s="1306" t="s">
        <v>42</v>
      </c>
      <c r="C51" s="1307">
        <v>15</v>
      </c>
      <c r="D51" s="1307">
        <v>764646.59000468196</v>
      </c>
      <c r="E51" s="1307">
        <v>221</v>
      </c>
      <c r="F51" s="1307">
        <v>8820944.9994616807</v>
      </c>
    </row>
    <row r="52" spans="1:6">
      <c r="A52" s="1306" t="s">
        <v>41</v>
      </c>
      <c r="B52" s="1306" t="s">
        <v>28</v>
      </c>
      <c r="C52" s="1307">
        <v>14</v>
      </c>
      <c r="D52" s="1307">
        <v>101653473.254124</v>
      </c>
      <c r="E52" s="1307">
        <v>23</v>
      </c>
      <c r="F52" s="1307">
        <v>768495.50684173603</v>
      </c>
    </row>
    <row r="53" spans="1:6">
      <c r="A53" s="1306" t="s">
        <v>43</v>
      </c>
      <c r="B53" s="1306" t="s">
        <v>44</v>
      </c>
      <c r="C53" s="1307">
        <v>81</v>
      </c>
      <c r="D53" s="1307">
        <v>2258679.0904846699</v>
      </c>
      <c r="E53" s="1307">
        <v>177</v>
      </c>
      <c r="F53" s="1307">
        <v>1186843.54527011</v>
      </c>
    </row>
    <row r="54" spans="1:6">
      <c r="A54" s="1306" t="s">
        <v>45</v>
      </c>
      <c r="B54" s="1306" t="s">
        <v>46</v>
      </c>
      <c r="C54" s="1307">
        <v>0</v>
      </c>
      <c r="D54" s="1307">
        <v>0</v>
      </c>
      <c r="E54" s="1307">
        <v>1</v>
      </c>
      <c r="F54" s="1307">
        <v>1045358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9</v>
      </c>
      <c r="D57" s="1307">
        <v>244828.79065763301</v>
      </c>
      <c r="E57" s="1307">
        <v>101</v>
      </c>
      <c r="F57" s="1307">
        <v>2039592.8211675701</v>
      </c>
    </row>
    <row r="58" spans="1:6">
      <c r="A58" s="1306" t="s">
        <v>48</v>
      </c>
      <c r="B58" s="1306" t="s">
        <v>50</v>
      </c>
      <c r="C58" s="1307">
        <v>3</v>
      </c>
      <c r="D58" s="1307">
        <v>908995.16230108496</v>
      </c>
      <c r="E58" s="1307">
        <v>6</v>
      </c>
      <c r="F58" s="1307">
        <v>364739.40965882799</v>
      </c>
    </row>
    <row r="59" spans="1:6">
      <c r="A59" s="1306" t="s">
        <v>48</v>
      </c>
      <c r="B59" s="1306" t="s">
        <v>51</v>
      </c>
      <c r="C59" s="1307">
        <v>13</v>
      </c>
      <c r="D59" s="1307">
        <v>392941.61948359403</v>
      </c>
      <c r="E59" s="1307">
        <v>94</v>
      </c>
      <c r="F59" s="1307">
        <v>2772158.7925212299</v>
      </c>
    </row>
    <row r="60" spans="1:6">
      <c r="A60" s="1306" t="s">
        <v>48</v>
      </c>
      <c r="B60" s="1306" t="s">
        <v>52</v>
      </c>
      <c r="C60" s="1307">
        <v>34</v>
      </c>
      <c r="D60" s="1307">
        <v>1647105.6053424301</v>
      </c>
      <c r="E60" s="1307">
        <v>57</v>
      </c>
      <c r="F60" s="1307">
        <v>1433294.82687397</v>
      </c>
    </row>
    <row r="61" spans="1:6">
      <c r="A61" s="1306" t="s">
        <v>48</v>
      </c>
      <c r="B61" s="1306" t="s">
        <v>53</v>
      </c>
      <c r="C61" s="1307">
        <v>56</v>
      </c>
      <c r="D61" s="1307">
        <v>4841832.9756890796</v>
      </c>
      <c r="E61" s="1307">
        <v>117</v>
      </c>
      <c r="F61" s="1307">
        <v>1532864.0190145101</v>
      </c>
    </row>
    <row r="62" spans="1:6">
      <c r="A62" s="1306" t="s">
        <v>48</v>
      </c>
      <c r="B62" s="1306" t="s">
        <v>54</v>
      </c>
      <c r="C62" s="1307">
        <v>3</v>
      </c>
      <c r="D62" s="1307">
        <v>90641.671711287301</v>
      </c>
      <c r="E62" s="1307">
        <v>6</v>
      </c>
      <c r="F62" s="1307">
        <v>52121.968707550397</v>
      </c>
    </row>
    <row r="63" spans="1:6">
      <c r="A63" s="1306" t="s">
        <v>48</v>
      </c>
      <c r="B63" s="1306" t="s">
        <v>28</v>
      </c>
      <c r="C63" s="1307">
        <v>148</v>
      </c>
      <c r="D63" s="1307">
        <v>6316723.2253342401</v>
      </c>
      <c r="E63" s="1307">
        <v>209</v>
      </c>
      <c r="F63" s="1307">
        <v>3780151.1232803017</v>
      </c>
    </row>
    <row r="64" spans="1:6">
      <c r="A64" s="1306" t="s">
        <v>55</v>
      </c>
      <c r="B64" s="1306" t="s">
        <v>56</v>
      </c>
      <c r="C64" s="1307">
        <v>0</v>
      </c>
      <c r="D64" s="1307">
        <v>0</v>
      </c>
      <c r="E64" s="1307">
        <v>0</v>
      </c>
      <c r="F64" s="1307">
        <v>0</v>
      </c>
    </row>
    <row r="65" spans="1:6">
      <c r="A65" s="1306" t="s">
        <v>55</v>
      </c>
      <c r="B65" s="1306" t="s">
        <v>28</v>
      </c>
      <c r="C65" s="1307">
        <v>6</v>
      </c>
      <c r="D65" s="1307">
        <v>200631.717009021</v>
      </c>
      <c r="E65" s="1307">
        <v>3</v>
      </c>
      <c r="F65" s="1307">
        <v>24574.672715309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9</v>
      </c>
      <c r="F68" s="1310">
        <v>156052.289697926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57696457</v>
      </c>
      <c r="E73" s="456"/>
      <c r="F73" s="332"/>
    </row>
    <row r="74" spans="1:6">
      <c r="A74" s="1306" t="s">
        <v>63</v>
      </c>
      <c r="B74" s="1306" t="s">
        <v>724</v>
      </c>
      <c r="C74" s="1320" t="s">
        <v>725</v>
      </c>
      <c r="D74" s="1321">
        <v>5320526.3715106044</v>
      </c>
      <c r="E74" s="456"/>
      <c r="F74" s="332"/>
    </row>
    <row r="75" spans="1:6">
      <c r="A75" s="1306" t="s">
        <v>64</v>
      </c>
      <c r="B75" s="1306" t="s">
        <v>722</v>
      </c>
      <c r="C75" s="1320" t="s">
        <v>726</v>
      </c>
      <c r="D75" s="1321">
        <v>16665249</v>
      </c>
      <c r="E75" s="456"/>
      <c r="F75" s="332"/>
    </row>
    <row r="76" spans="1:6">
      <c r="A76" s="1306" t="s">
        <v>64</v>
      </c>
      <c r="B76" s="1306" t="s">
        <v>724</v>
      </c>
      <c r="C76" s="1320" t="s">
        <v>727</v>
      </c>
      <c r="D76" s="1321">
        <v>571897.3715106044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391145.25697879115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3201.2138267248051</v>
      </c>
      <c r="C91" s="332"/>
      <c r="D91" s="332"/>
      <c r="E91" s="332"/>
      <c r="F91" s="332"/>
    </row>
    <row r="92" spans="1:6">
      <c r="A92" s="1301" t="s">
        <v>68</v>
      </c>
      <c r="B92" s="1302">
        <v>4248.8918033142563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1899</v>
      </c>
      <c r="C97" s="332"/>
      <c r="D97" s="332"/>
      <c r="E97" s="332"/>
      <c r="F97" s="332"/>
    </row>
    <row r="98" spans="1:6">
      <c r="A98" s="1306" t="s">
        <v>71</v>
      </c>
      <c r="B98" s="1307">
        <v>15</v>
      </c>
      <c r="C98" s="332"/>
      <c r="D98" s="332"/>
      <c r="E98" s="332"/>
      <c r="F98" s="332"/>
    </row>
    <row r="99" spans="1:6">
      <c r="A99" s="1306" t="s">
        <v>72</v>
      </c>
      <c r="B99" s="1307">
        <v>217</v>
      </c>
      <c r="C99" s="332"/>
      <c r="D99" s="332"/>
      <c r="E99" s="332"/>
      <c r="F99" s="332"/>
    </row>
    <row r="100" spans="1:6">
      <c r="A100" s="1306" t="s">
        <v>73</v>
      </c>
      <c r="B100" s="1307">
        <v>180</v>
      </c>
      <c r="C100" s="332"/>
      <c r="D100" s="332"/>
      <c r="E100" s="332"/>
      <c r="F100" s="332"/>
    </row>
    <row r="101" spans="1:6">
      <c r="A101" s="1306" t="s">
        <v>74</v>
      </c>
      <c r="B101" s="1307">
        <v>177</v>
      </c>
      <c r="C101" s="332"/>
      <c r="D101" s="332"/>
      <c r="E101" s="332"/>
      <c r="F101" s="332"/>
    </row>
    <row r="102" spans="1:6">
      <c r="A102" s="1306" t="s">
        <v>75</v>
      </c>
      <c r="B102" s="1307">
        <v>45</v>
      </c>
      <c r="C102" s="332"/>
      <c r="D102" s="332"/>
      <c r="E102" s="332"/>
      <c r="F102" s="332"/>
    </row>
    <row r="103" spans="1:6">
      <c r="A103" s="1306" t="s">
        <v>76</v>
      </c>
      <c r="B103" s="1307">
        <v>73</v>
      </c>
      <c r="C103" s="332"/>
      <c r="D103" s="332"/>
      <c r="E103" s="332"/>
      <c r="F103" s="332"/>
    </row>
    <row r="104" spans="1:6">
      <c r="A104" s="1306" t="s">
        <v>77</v>
      </c>
      <c r="B104" s="1307">
        <v>2212</v>
      </c>
      <c r="C104" s="332"/>
      <c r="D104" s="332"/>
      <c r="E104" s="332"/>
      <c r="F104" s="332"/>
    </row>
    <row r="105" spans="1:6">
      <c r="A105" s="1301" t="s">
        <v>78</v>
      </c>
      <c r="B105" s="1310">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2</v>
      </c>
      <c r="C121" s="1307">
        <v>0</v>
      </c>
      <c r="D121" s="332"/>
      <c r="E121" s="332"/>
      <c r="F121" s="332"/>
    </row>
    <row r="122" spans="1:6">
      <c r="A122" s="1306" t="s">
        <v>86</v>
      </c>
      <c r="B122" s="1307">
        <v>0</v>
      </c>
      <c r="C122" s="1307">
        <v>0</v>
      </c>
      <c r="D122" s="332"/>
      <c r="E122" s="332"/>
      <c r="F122" s="332"/>
    </row>
    <row r="123" spans="1:6">
      <c r="A123" s="1306" t="s">
        <v>87</v>
      </c>
      <c r="B123" s="1307">
        <v>22</v>
      </c>
      <c r="C123" s="1307">
        <v>19</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90</v>
      </c>
      <c r="C129" s="332"/>
      <c r="D129" s="332"/>
      <c r="E129" s="332"/>
      <c r="F129" s="332"/>
    </row>
    <row r="130" spans="1:6">
      <c r="A130" s="1306" t="s">
        <v>294</v>
      </c>
      <c r="B130" s="1307">
        <v>3</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82883.398730283574</v>
      </c>
      <c r="C3" s="43" t="s">
        <v>169</v>
      </c>
      <c r="D3" s="43"/>
      <c r="E3" s="156"/>
      <c r="F3" s="43"/>
      <c r="G3" s="43"/>
      <c r="H3" s="43"/>
      <c r="I3" s="43"/>
      <c r="J3" s="43"/>
      <c r="K3" s="96"/>
    </row>
    <row r="4" spans="1:11">
      <c r="A4" s="363" t="s">
        <v>170</v>
      </c>
      <c r="B4" s="49">
        <f>IF(ISERROR('SEAP template'!B78+'SEAP template'!C78),0,'SEAP template'!B78+'SEAP template'!C78)</f>
        <v>39161.118130039067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7526.5199999999986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0.20738946853024667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10752.171428571426</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45301.446428571428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0.23734719917883412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1045.3579999999999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1045.3579999999999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0.20738946853024667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216.79624004384158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24838.927840464497</v>
      </c>
      <c r="C5" s="17">
        <f>IF(ISERROR('Eigen informatie GS &amp; warmtenet'!B57),0,'Eigen informatie GS &amp; warmtenet'!B57)</f>
        <v>0</v>
      </c>
      <c r="D5" s="30">
        <f>(SUM(HH_hh_gas_kWh,HH_rest_gas_kWh)/1000)*0.902</f>
        <v>70406.098515862235</v>
      </c>
      <c r="E5" s="17">
        <f>B46*B57</f>
        <v>12807.800132919838</v>
      </c>
      <c r="F5" s="17">
        <f>B51*B62</f>
        <v>18888.81042230142</v>
      </c>
      <c r="G5" s="18"/>
      <c r="H5" s="17"/>
      <c r="I5" s="17"/>
      <c r="J5" s="17">
        <f>B50*B61+C50*C61</f>
        <v>0</v>
      </c>
      <c r="K5" s="17"/>
      <c r="L5" s="17"/>
      <c r="M5" s="17"/>
      <c r="N5" s="17">
        <f>B48*B59+C48*C59</f>
        <v>35759.535668330922</v>
      </c>
      <c r="O5" s="17">
        <f>B69*B70*B71</f>
        <v>171.96666666666667</v>
      </c>
      <c r="P5" s="17">
        <f>B77*B78*B79/1000-B77*B78*B79/1000/B80</f>
        <v>667.33333333333337</v>
      </c>
    </row>
    <row r="6" spans="1:16">
      <c r="A6" s="16" t="s">
        <v>633</v>
      </c>
      <c r="B6" s="779">
        <f>kWh_PV_kleiner_dan_10kW</f>
        <v>3201.2138267248051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28040.141667189302</v>
      </c>
      <c r="C8" s="21">
        <f>C5</f>
        <v>0</v>
      </c>
      <c r="D8" s="21">
        <f>D5</f>
        <v>70406.098515862235</v>
      </c>
      <c r="E8" s="21">
        <f>E5</f>
        <v>12807.800132919838</v>
      </c>
      <c r="F8" s="21">
        <f>F5</f>
        <v>18888.81042230142</v>
      </c>
      <c r="G8" s="21"/>
      <c r="H8" s="21"/>
      <c r="I8" s="21"/>
      <c r="J8" s="21">
        <f>J5</f>
        <v>0</v>
      </c>
      <c r="K8" s="21"/>
      <c r="L8" s="21">
        <f>L5</f>
        <v>0</v>
      </c>
      <c r="M8" s="21">
        <f>M5</f>
        <v>0</v>
      </c>
      <c r="N8" s="21">
        <f>N5</f>
        <v>35759.535668330922</v>
      </c>
      <c r="O8" s="21">
        <f>O5</f>
        <v>171.96666666666667</v>
      </c>
      <c r="P8" s="21">
        <f>P5</f>
        <v>667.33333333333337</v>
      </c>
    </row>
    <row r="9" spans="1:16">
      <c r="B9" s="19"/>
      <c r="C9" s="19"/>
      <c r="D9" s="261"/>
      <c r="E9" s="19"/>
      <c r="F9" s="19"/>
      <c r="G9" s="19"/>
      <c r="H9" s="19"/>
      <c r="I9" s="19"/>
      <c r="J9" s="19"/>
      <c r="K9" s="19"/>
      <c r="L9" s="19"/>
      <c r="M9" s="19"/>
      <c r="N9" s="19"/>
      <c r="O9" s="19"/>
      <c r="P9" s="19"/>
    </row>
    <row r="10" spans="1:16">
      <c r="A10" s="24" t="s">
        <v>213</v>
      </c>
      <c r="B10" s="25">
        <f ca="1">'EF ele_warmte'!B12</f>
        <v>0.20738946853024667</v>
      </c>
      <c r="C10" s="25">
        <f ca="1">'EF ele_warmte'!B22</f>
        <v>0.23734719917883412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5815.2300778712142</v>
      </c>
      <c r="C12" s="23">
        <f ca="1">C10*C8</f>
        <v>0</v>
      </c>
      <c r="D12" s="23">
        <f>D8*D10</f>
        <v>14222.031900204172</v>
      </c>
      <c r="E12" s="23">
        <f>E10*E8</f>
        <v>2907.3706301728034</v>
      </c>
      <c r="F12" s="23">
        <f>F10*F8</f>
        <v>5043.3123827544796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1899</v>
      </c>
      <c r="C18" s="168" t="s">
        <v>110</v>
      </c>
      <c r="D18" s="230"/>
      <c r="E18" s="15"/>
    </row>
    <row r="19" spans="1:7">
      <c r="A19" s="173" t="s">
        <v>71</v>
      </c>
      <c r="B19" s="37">
        <f>aantalw2001_ander</f>
        <v>15</v>
      </c>
      <c r="C19" s="168" t="s">
        <v>110</v>
      </c>
      <c r="D19" s="231"/>
      <c r="E19" s="15"/>
    </row>
    <row r="20" spans="1:7">
      <c r="A20" s="173" t="s">
        <v>72</v>
      </c>
      <c r="B20" s="37">
        <f>aantalw2001_propaan</f>
        <v>217</v>
      </c>
      <c r="C20" s="169">
        <f>IF(ISERROR(B20/SUM($B$20,$B$21,$B$22)*100),0,B20/SUM($B$20,$B$21,$B$22)*100)</f>
        <v>37.804878048780488</v>
      </c>
      <c r="D20" s="231"/>
      <c r="E20" s="15"/>
    </row>
    <row r="21" spans="1:7">
      <c r="A21" s="173" t="s">
        <v>73</v>
      </c>
      <c r="B21" s="37">
        <f>aantalw2001_elektriciteit</f>
        <v>180</v>
      </c>
      <c r="C21" s="169">
        <f>IF(ISERROR(B21/SUM($B$20,$B$21,$B$22)*100),0,B21/SUM($B$20,$B$21,$B$22)*100)</f>
        <v>31.358885017421599</v>
      </c>
      <c r="D21" s="231"/>
      <c r="E21" s="15"/>
    </row>
    <row r="22" spans="1:7">
      <c r="A22" s="173" t="s">
        <v>74</v>
      </c>
      <c r="B22" s="37">
        <f>aantalw2001_hout</f>
        <v>177</v>
      </c>
      <c r="C22" s="169">
        <f>IF(ISERROR(B22/SUM($B$20,$B$21,$B$22)*100),0,B22/SUM($B$20,$B$21,$B$22)*100)</f>
        <v>30.836236933797913</v>
      </c>
      <c r="D22" s="231"/>
      <c r="E22" s="15"/>
    </row>
    <row r="23" spans="1:7">
      <c r="A23" s="173" t="s">
        <v>75</v>
      </c>
      <c r="B23" s="37">
        <f>aantalw2001_niet_gespec</f>
        <v>45</v>
      </c>
      <c r="C23" s="168" t="s">
        <v>110</v>
      </c>
      <c r="D23" s="230"/>
      <c r="E23" s="15"/>
    </row>
    <row r="24" spans="1:7">
      <c r="A24" s="173" t="s">
        <v>76</v>
      </c>
      <c r="B24" s="37">
        <f>aantalw2001_steenkool</f>
        <v>73</v>
      </c>
      <c r="C24" s="168" t="s">
        <v>110</v>
      </c>
      <c r="D24" s="231"/>
      <c r="E24" s="15"/>
    </row>
    <row r="25" spans="1:7">
      <c r="A25" s="173" t="s">
        <v>77</v>
      </c>
      <c r="B25" s="37">
        <f>aantalw2001_stookolie</f>
        <v>2212</v>
      </c>
      <c r="C25" s="168" t="s">
        <v>110</v>
      </c>
      <c r="D25" s="230"/>
      <c r="E25" s="52"/>
    </row>
    <row r="26" spans="1:7">
      <c r="A26" s="173" t="s">
        <v>78</v>
      </c>
      <c r="B26" s="37">
        <f>aantalw2001_WP</f>
        <v>10</v>
      </c>
      <c r="C26" s="168" t="s">
        <v>110</v>
      </c>
      <c r="D26" s="230"/>
      <c r="E26" s="15"/>
    </row>
    <row r="27" spans="1:7" s="15" customFormat="1">
      <c r="A27" s="173"/>
      <c r="B27" s="29"/>
      <c r="C27" s="36"/>
      <c r="D27" s="230"/>
    </row>
    <row r="28" spans="1:7" s="15" customFormat="1">
      <c r="A28" s="232" t="s">
        <v>742</v>
      </c>
      <c r="B28" s="37">
        <f>aantalHuishoudens</f>
        <v>5780</v>
      </c>
      <c r="C28" s="36"/>
      <c r="D28" s="230"/>
    </row>
    <row r="29" spans="1:7" s="15" customFormat="1">
      <c r="A29" s="232" t="s">
        <v>743</v>
      </c>
      <c r="B29" s="37">
        <f>SUM(HH_hh_gas_aantal,HH_rest_gas_aantal)</f>
        <v>3465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3465</v>
      </c>
      <c r="C32" s="169">
        <f>IF(ISERROR(B32/SUM($B$32,$B$34,$B$35,$B$36,$B$38,$B$39)*100),0,B32/SUM($B$32,$B$34,$B$35,$B$36,$B$38,$B$39)*100)</f>
        <v>60.313315926892955</v>
      </c>
      <c r="D32" s="235"/>
      <c r="G32" s="15"/>
    </row>
    <row r="33" spans="1:7">
      <c r="A33" s="173" t="s">
        <v>71</v>
      </c>
      <c r="B33" s="34" t="s">
        <v>110</v>
      </c>
      <c r="C33" s="169"/>
      <c r="D33" s="235"/>
      <c r="G33" s="15"/>
    </row>
    <row r="34" spans="1:7">
      <c r="A34" s="173" t="s">
        <v>72</v>
      </c>
      <c r="B34" s="33">
        <f>IF((($B$28-$B$32-$B$39-$B$77-$B$38)*C20/100)&lt;0,0,($B$28-$B$32-$B$39-$B$77-$B$38)*C20/100)</f>
        <v>558.52926829268301</v>
      </c>
      <c r="C34" s="169">
        <f>IF(ISERROR(B34/SUM($B$32,$B$34,$B$35,$B$36,$B$38,$B$39)*100),0,B34/SUM($B$32,$B$34,$B$35,$B$36,$B$38,$B$39)*100)</f>
        <v>9.7220064106646298</v>
      </c>
      <c r="D34" s="235"/>
      <c r="G34" s="15"/>
    </row>
    <row r="35" spans="1:7">
      <c r="A35" s="173" t="s">
        <v>73</v>
      </c>
      <c r="B35" s="33">
        <f>IF((($B$28-$B$32-$B$39-$B$77-$B$38)*C21/100)&lt;0,0,($B$28-$B$32-$B$39-$B$77-$B$38)*C21/100)</f>
        <v>463.29616724738679</v>
      </c>
      <c r="C35" s="169">
        <f>IF(ISERROR(B35/SUM($B$32,$B$34,$B$35,$B$36,$B$38,$B$39)*100),0,B35/SUM($B$32,$B$34,$B$35,$B$36,$B$38,$B$39)*100)</f>
        <v>8.06433711483702</v>
      </c>
      <c r="D35" s="235"/>
      <c r="G35" s="15"/>
    </row>
    <row r="36" spans="1:7">
      <c r="A36" s="173" t="s">
        <v>74</v>
      </c>
      <c r="B36" s="33">
        <f>IF((($B$28-$B$32-$B$39-$B$77-$B$38)*C22/100)&lt;0,0,($B$28-$B$32-$B$39-$B$77-$B$38)*C22/100)</f>
        <v>455.5745644599304</v>
      </c>
      <c r="C36" s="169">
        <f>IF(ISERROR(B36/SUM($B$32,$B$34,$B$35,$B$36,$B$38,$B$39)*100),0,B36/SUM($B$32,$B$34,$B$35,$B$36,$B$38,$B$39)*100)</f>
        <v>7.9299314962564038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802.59999999999991</v>
      </c>
      <c r="C39" s="169">
        <f>IF(ISERROR(B39/SUM($B$32,$B$34,$B$35,$B$36,$B$38,$B$39)*100),0,B39/SUM($B$32,$B$34,$B$35,$B$36,$B$38,$B$39)*100)</f>
        <v>13.970409051348998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3465</v>
      </c>
      <c r="C44" s="34" t="s">
        <v>110</v>
      </c>
      <c r="D44" s="176"/>
    </row>
    <row r="45" spans="1:7">
      <c r="A45" s="173" t="s">
        <v>71</v>
      </c>
      <c r="B45" s="33" t="str">
        <f t="shared" si="0"/>
        <v>-</v>
      </c>
      <c r="C45" s="34" t="s">
        <v>110</v>
      </c>
      <c r="D45" s="176"/>
    </row>
    <row r="46" spans="1:7">
      <c r="A46" s="173" t="s">
        <v>72</v>
      </c>
      <c r="B46" s="33">
        <f t="shared" si="0"/>
        <v>558.52926829268301</v>
      </c>
      <c r="C46" s="34" t="s">
        <v>110</v>
      </c>
      <c r="D46" s="176"/>
    </row>
    <row r="47" spans="1:7">
      <c r="A47" s="173" t="s">
        <v>73</v>
      </c>
      <c r="B47" s="33">
        <f t="shared" si="0"/>
        <v>463.29616724738679</v>
      </c>
      <c r="C47" s="34" t="s">
        <v>110</v>
      </c>
      <c r="D47" s="176"/>
    </row>
    <row r="48" spans="1:7">
      <c r="A48" s="173" t="s">
        <v>74</v>
      </c>
      <c r="B48" s="33">
        <f t="shared" si="0"/>
        <v>455.5745644599304</v>
      </c>
      <c r="C48" s="33">
        <f>B48*10</f>
        <v>4555.7456445993039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802.59999999999991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11974.92296122396</v>
      </c>
      <c r="C5" s="17">
        <f>IF(ISERROR('Eigen informatie GS &amp; warmtenet'!B58),0,'Eigen informatie GS &amp; warmtenet'!B58)</f>
        <v>0</v>
      </c>
      <c r="D5" s="30">
        <f>SUM(D6:D12)</f>
        <v>13027.648283568453</v>
      </c>
      <c r="E5" s="17">
        <f>SUM(E6:E12)</f>
        <v>182.31871242476041</v>
      </c>
      <c r="F5" s="17">
        <f>SUM(F6:F12)</f>
        <v>2565.1606845899328</v>
      </c>
      <c r="G5" s="18"/>
      <c r="H5" s="17"/>
      <c r="I5" s="17"/>
      <c r="J5" s="17">
        <f>SUM(J6:J12)</f>
        <v>0</v>
      </c>
      <c r="K5" s="17"/>
      <c r="L5" s="17"/>
      <c r="M5" s="17"/>
      <c r="N5" s="17">
        <f>SUM(N6:N12)</f>
        <v>1733.0615379439341</v>
      </c>
      <c r="O5" s="17">
        <f>B38*B39*B40</f>
        <v>4.6900000000000004</v>
      </c>
      <c r="P5" s="17">
        <f>B46*B47*B48/1000-B46*B47*B48/1000/B49</f>
        <v>38.133333333333333</v>
      </c>
      <c r="R5" s="32"/>
    </row>
    <row r="6" spans="1:18">
      <c r="A6" s="32" t="s">
        <v>53</v>
      </c>
      <c r="B6" s="37">
        <f>B26</f>
        <v>1532.8640190145102</v>
      </c>
      <c r="C6" s="33"/>
      <c r="D6" s="37">
        <f>IF(ISERROR(TER_kantoor_gas_kWh/1000),0,TER_kantoor_gas_kWh/1000)*0.902</f>
        <v>4367.3333440715505</v>
      </c>
      <c r="E6" s="33">
        <f>$C$26*'E Balans VL '!I12/100/3.6*1000000</f>
        <v>5.9555012400926657</v>
      </c>
      <c r="F6" s="33">
        <f>$C$26*('E Balans VL '!L12+'E Balans VL '!N12)/100/3.6*1000000</f>
        <v>233.13466934156105</v>
      </c>
      <c r="G6" s="34"/>
      <c r="H6" s="33"/>
      <c r="I6" s="33"/>
      <c r="J6" s="33">
        <f>$C$26*('E Balans VL '!D12+'E Balans VL '!E12)/100/3.6*1000000</f>
        <v>0</v>
      </c>
      <c r="K6" s="33"/>
      <c r="L6" s="33"/>
      <c r="M6" s="33"/>
      <c r="N6" s="33">
        <f>$C$26*'E Balans VL '!Y12/100/3.6*1000000</f>
        <v>0.84479170706416351</v>
      </c>
      <c r="O6" s="33"/>
      <c r="P6" s="33"/>
      <c r="R6" s="32"/>
    </row>
    <row r="7" spans="1:18">
      <c r="A7" s="32" t="s">
        <v>52</v>
      </c>
      <c r="B7" s="37">
        <f t="shared" ref="B7:B12" si="0">B27</f>
        <v>1433.2948268739699</v>
      </c>
      <c r="C7" s="33"/>
      <c r="D7" s="37">
        <f>IF(ISERROR(TER_horeca_gas_kWh/1000),0,TER_horeca_gas_kWh/1000)*0.902</f>
        <v>1485.6892560188719</v>
      </c>
      <c r="E7" s="33">
        <f>$C$27*'E Balans VL '!I9/100/3.6*1000000</f>
        <v>80.737880797357988</v>
      </c>
      <c r="F7" s="33">
        <f>$C$27*('E Balans VL '!L9+'E Balans VL '!N9)/100/3.6*1000000</f>
        <v>413.27641846088517</v>
      </c>
      <c r="G7" s="34"/>
      <c r="H7" s="33"/>
      <c r="I7" s="33"/>
      <c r="J7" s="33">
        <f>$C$27*('E Balans VL '!D9+'E Balans VL '!E9)/100/3.6*1000000</f>
        <v>0</v>
      </c>
      <c r="K7" s="33"/>
      <c r="L7" s="33"/>
      <c r="M7" s="33"/>
      <c r="N7" s="33">
        <f>$C$27*'E Balans VL '!Y9/100/3.6*1000000</f>
        <v>0.39572525359921379</v>
      </c>
      <c r="O7" s="33"/>
      <c r="P7" s="33"/>
      <c r="R7" s="32"/>
    </row>
    <row r="8" spans="1:18">
      <c r="A8" s="6" t="s">
        <v>51</v>
      </c>
      <c r="B8" s="37">
        <f t="shared" si="0"/>
        <v>2772.1587925212298</v>
      </c>
      <c r="C8" s="33"/>
      <c r="D8" s="37">
        <f>IF(ISERROR(TER_handel_gas_kWh/1000),0,TER_handel_gas_kWh/1000)*0.902</f>
        <v>354.43334077420184</v>
      </c>
      <c r="E8" s="33">
        <f>$C$28*'E Balans VL '!I13/100/3.6*1000000</f>
        <v>39.956213199445294</v>
      </c>
      <c r="F8" s="33">
        <f>$C$28*('E Balans VL '!L13+'E Balans VL '!N13)/100/3.6*1000000</f>
        <v>481.58854148283331</v>
      </c>
      <c r="G8" s="34"/>
      <c r="H8" s="33"/>
      <c r="I8" s="33"/>
      <c r="J8" s="33">
        <f>$C$28*('E Balans VL '!D13+'E Balans VL '!E13)/100/3.6*1000000</f>
        <v>0</v>
      </c>
      <c r="K8" s="33"/>
      <c r="L8" s="33"/>
      <c r="M8" s="33"/>
      <c r="N8" s="33">
        <f>$C$28*'E Balans VL '!Y13/100/3.6*1000000</f>
        <v>8.3056963454676609</v>
      </c>
      <c r="O8" s="33"/>
      <c r="P8" s="33"/>
      <c r="R8" s="32"/>
    </row>
    <row r="9" spans="1:18">
      <c r="A9" s="32" t="s">
        <v>50</v>
      </c>
      <c r="B9" s="37">
        <f t="shared" si="0"/>
        <v>364.73940965882798</v>
      </c>
      <c r="C9" s="33"/>
      <c r="D9" s="37">
        <f>IF(ISERROR(TER_gezond_gas_kWh/1000),0,TER_gezond_gas_kWh/1000)*0.902</f>
        <v>819.91363639557869</v>
      </c>
      <c r="E9" s="33">
        <f>$C$29*'E Balans VL '!I10/100/3.6*1000000</f>
        <v>0.3896362264988511</v>
      </c>
      <c r="F9" s="33">
        <f>$C$29*('E Balans VL '!L10+'E Balans VL '!N10)/100/3.6*1000000</f>
        <v>59.500082561975901</v>
      </c>
      <c r="G9" s="34"/>
      <c r="H9" s="33"/>
      <c r="I9" s="33"/>
      <c r="J9" s="33">
        <f>$C$29*('E Balans VL '!D10+'E Balans VL '!E10)/100/3.6*1000000</f>
        <v>0</v>
      </c>
      <c r="K9" s="33"/>
      <c r="L9" s="33"/>
      <c r="M9" s="33"/>
      <c r="N9" s="33">
        <f>$C$29*'E Balans VL '!Y10/100/3.6*1000000</f>
        <v>3.7547841062824636</v>
      </c>
      <c r="O9" s="33"/>
      <c r="P9" s="33"/>
      <c r="R9" s="32"/>
    </row>
    <row r="10" spans="1:18">
      <c r="A10" s="32" t="s">
        <v>49</v>
      </c>
      <c r="B10" s="37">
        <f t="shared" si="0"/>
        <v>2039.59282116757</v>
      </c>
      <c r="C10" s="33"/>
      <c r="D10" s="37">
        <f>IF(ISERROR(TER_ander_gas_kWh/1000),0,TER_ander_gas_kWh/1000)*0.902</f>
        <v>220.83556917318498</v>
      </c>
      <c r="E10" s="33">
        <f>$C$30*'E Balans VL '!I14/100/3.6*1000000</f>
        <v>9.3797771394509315</v>
      </c>
      <c r="F10" s="33">
        <f>$C$30*('E Balans VL '!L14+'E Balans VL '!N14)/100/3.6*1000000</f>
        <v>611.33030304377928</v>
      </c>
      <c r="G10" s="34"/>
      <c r="H10" s="33"/>
      <c r="I10" s="33"/>
      <c r="J10" s="33">
        <f>$C$30*('E Balans VL '!D14+'E Balans VL '!E14)/100/3.6*1000000</f>
        <v>0</v>
      </c>
      <c r="K10" s="33"/>
      <c r="L10" s="33"/>
      <c r="M10" s="33"/>
      <c r="N10" s="33">
        <f>$C$30*'E Balans VL '!Y14/100/3.6*1000000</f>
        <v>1419.6912386225595</v>
      </c>
      <c r="O10" s="33"/>
      <c r="P10" s="33"/>
      <c r="R10" s="32"/>
    </row>
    <row r="11" spans="1:18">
      <c r="A11" s="32" t="s">
        <v>54</v>
      </c>
      <c r="B11" s="37">
        <f t="shared" si="0"/>
        <v>52.121968707550394</v>
      </c>
      <c r="C11" s="33"/>
      <c r="D11" s="37">
        <f>IF(ISERROR(TER_onderwijs_gas_kWh/1000),0,TER_onderwijs_gas_kWh/1000)*0.902</f>
        <v>81.758787883581149</v>
      </c>
      <c r="E11" s="33">
        <f>$C$31*'E Balans VL '!I11/100/3.6*1000000</f>
        <v>4.8349980472676329E-2</v>
      </c>
      <c r="F11" s="33">
        <f>$C$31*('E Balans VL '!L11+'E Balans VL '!N11)/100/3.6*1000000</f>
        <v>18.309249669638866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3780.1511232803018</v>
      </c>
      <c r="C12" s="33"/>
      <c r="D12" s="37">
        <f>IF(ISERROR(TER_rest_gas_kWh/1000),0,TER_rest_gas_kWh/1000)*0.902</f>
        <v>5697.6843492514845</v>
      </c>
      <c r="E12" s="33">
        <f>$C$32*'E Balans VL '!I8/100/3.6*1000000</f>
        <v>45.85135384144202</v>
      </c>
      <c r="F12" s="33">
        <f>$C$32*('E Balans VL '!L8+'E Balans VL '!N8)/100/3.6*1000000</f>
        <v>748.02142002925916</v>
      </c>
      <c r="G12" s="34"/>
      <c r="H12" s="33"/>
      <c r="I12" s="33"/>
      <c r="J12" s="33">
        <f>$C$32*('E Balans VL '!D8+'E Balans VL '!E8)/100/3.6*1000000</f>
        <v>0</v>
      </c>
      <c r="K12" s="33"/>
      <c r="L12" s="33"/>
      <c r="M12" s="33"/>
      <c r="N12" s="33">
        <f>$C$32*'E Balans VL '!Y8/100/3.6*1000000</f>
        <v>300.06930190896105</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11974.92296122396</v>
      </c>
      <c r="C16" s="21">
        <f t="shared" ca="1" si="1"/>
        <v>0</v>
      </c>
      <c r="D16" s="21">
        <f t="shared" ca="1" si="1"/>
        <v>13027.648283568453</v>
      </c>
      <c r="E16" s="21">
        <f t="shared" si="1"/>
        <v>182.31871242476041</v>
      </c>
      <c r="F16" s="21">
        <f t="shared" ca="1" si="1"/>
        <v>2565.1606845899328</v>
      </c>
      <c r="G16" s="21">
        <f t="shared" si="1"/>
        <v>0</v>
      </c>
      <c r="H16" s="21">
        <f t="shared" si="1"/>
        <v>0</v>
      </c>
      <c r="I16" s="21">
        <f t="shared" si="1"/>
        <v>0</v>
      </c>
      <c r="J16" s="21">
        <f t="shared" si="1"/>
        <v>0</v>
      </c>
      <c r="K16" s="21">
        <f t="shared" si="1"/>
        <v>0</v>
      </c>
      <c r="L16" s="21">
        <f t="shared" ca="1" si="1"/>
        <v>0</v>
      </c>
      <c r="M16" s="21">
        <f t="shared" si="1"/>
        <v>0</v>
      </c>
      <c r="N16" s="21">
        <f t="shared" ca="1" si="1"/>
        <v>1733.0615379439341</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0.20738946853024667</v>
      </c>
      <c r="C18" s="25">
        <f ca="1">'EF ele_warmte'!B22</f>
        <v>0.23734719917883412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2483.4729086188845</v>
      </c>
      <c r="C20" s="23">
        <f t="shared" ref="C20:P20" ca="1" si="2">C16*C18</f>
        <v>0</v>
      </c>
      <c r="D20" s="23">
        <f t="shared" ca="1" si="2"/>
        <v>2631.5849532808274</v>
      </c>
      <c r="E20" s="23">
        <f t="shared" si="2"/>
        <v>41.386347720420616</v>
      </c>
      <c r="F20" s="23">
        <f t="shared" ca="1" si="2"/>
        <v>684.89790278551209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1532.8640190145102</v>
      </c>
      <c r="C26" s="39">
        <f>IF(ISERROR(B26*3.6/1000000/'E Balans VL '!Z12*100),0,B26*3.6/1000000/'E Balans VL '!Z12*100)</f>
        <v>3.2558791045997883E-2</v>
      </c>
      <c r="D26" s="239" t="s">
        <v>689</v>
      </c>
      <c r="F26" s="6"/>
    </row>
    <row r="27" spans="1:18">
      <c r="A27" s="233" t="s">
        <v>52</v>
      </c>
      <c r="B27" s="33">
        <f>IF(ISERROR(TER_horeca_ele_kWh/1000),0,TER_horeca_ele_kWh/1000)</f>
        <v>1433.2948268739699</v>
      </c>
      <c r="C27" s="39">
        <f>IF(ISERROR(B27*3.6/1000000/'E Balans VL '!Z9*100),0,B27*3.6/1000000/'E Balans VL '!Z9*100)</f>
        <v>0.11144740166716778</v>
      </c>
      <c r="D27" s="239" t="s">
        <v>689</v>
      </c>
      <c r="F27" s="6"/>
    </row>
    <row r="28" spans="1:18">
      <c r="A28" s="173" t="s">
        <v>51</v>
      </c>
      <c r="B28" s="33">
        <f>IF(ISERROR(TER_handel_ele_kWh/1000),0,TER_handel_ele_kWh/1000)</f>
        <v>2772.1587925212298</v>
      </c>
      <c r="C28" s="39">
        <f>IF(ISERROR(B28*3.6/1000000/'E Balans VL '!Z13*100),0,B28*3.6/1000000/'E Balans VL '!Z13*100)</f>
        <v>7.9314725558566293E-2</v>
      </c>
      <c r="D28" s="239" t="s">
        <v>689</v>
      </c>
      <c r="F28" s="6"/>
    </row>
    <row r="29" spans="1:18">
      <c r="A29" s="233" t="s">
        <v>50</v>
      </c>
      <c r="B29" s="33">
        <f>IF(ISERROR(TER_gezond_ele_kWh/1000),0,TER_gezond_ele_kWh/1000)</f>
        <v>364.73940965882798</v>
      </c>
      <c r="C29" s="39">
        <f>IF(ISERROR(B29*3.6/1000000/'E Balans VL '!Z10*100),0,B29*3.6/1000000/'E Balans VL '!Z10*100)</f>
        <v>3.9765071180207244E-2</v>
      </c>
      <c r="D29" s="239" t="s">
        <v>689</v>
      </c>
      <c r="F29" s="6"/>
    </row>
    <row r="30" spans="1:18">
      <c r="A30" s="233" t="s">
        <v>49</v>
      </c>
      <c r="B30" s="33">
        <f>IF(ISERROR(TER_ander_ele_kWh/1000),0,TER_ander_ele_kWh/1000)</f>
        <v>2039.59282116757</v>
      </c>
      <c r="C30" s="39">
        <f>IF(ISERROR(B30*3.6/1000000/'E Balans VL '!Z14*100),0,B30*3.6/1000000/'E Balans VL '!Z14*100)</f>
        <v>0.1492527759464061</v>
      </c>
      <c r="D30" s="239" t="s">
        <v>689</v>
      </c>
      <c r="F30" s="6"/>
    </row>
    <row r="31" spans="1:18">
      <c r="A31" s="233" t="s">
        <v>54</v>
      </c>
      <c r="B31" s="33">
        <f>IF(ISERROR(TER_onderwijs_ele_kWh/1000),0,TER_onderwijs_ele_kWh/1000)</f>
        <v>52.121968707550394</v>
      </c>
      <c r="C31" s="39">
        <f>IF(ISERROR(B31*3.6/1000000/'E Balans VL '!Z11*100),0,B31*3.6/1000000/'E Balans VL '!Z11*100)</f>
        <v>1.0468736119618181E-2</v>
      </c>
      <c r="D31" s="239" t="s">
        <v>689</v>
      </c>
    </row>
    <row r="32" spans="1:18">
      <c r="A32" s="233" t="s">
        <v>259</v>
      </c>
      <c r="B32" s="33">
        <f>IF(ISERROR(TER_rest_ele_kWh/1000),0,TER_rest_ele_kWh/1000)</f>
        <v>3780.1511232803018</v>
      </c>
      <c r="C32" s="39">
        <f>IF(ISERROR(B32*3.6/1000000/'E Balans VL '!Z8*100),0,B32*3.6/1000000/'E Balans VL '!Z8*100)</f>
        <v>3.0805937597576934E-2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31043.48186680958</v>
      </c>
      <c r="C5" s="17">
        <f>IF(ISERROR('Eigen informatie GS &amp; warmtenet'!B59),0,'Eigen informatie GS &amp; warmtenet'!B59)</f>
        <v>0</v>
      </c>
      <c r="D5" s="30">
        <f>SUM(D6:D15)</f>
        <v>26265.987979712354</v>
      </c>
      <c r="E5" s="17">
        <f>SUM(E6:E15)</f>
        <v>2349.8795226595107</v>
      </c>
      <c r="F5" s="17">
        <f>SUM(F6:F15)</f>
        <v>22845.379693474206</v>
      </c>
      <c r="G5" s="18"/>
      <c r="H5" s="17"/>
      <c r="I5" s="17"/>
      <c r="J5" s="17">
        <f>SUM(J6:J15)</f>
        <v>45.089679340034934</v>
      </c>
      <c r="K5" s="17"/>
      <c r="L5" s="17"/>
      <c r="M5" s="17"/>
      <c r="N5" s="17">
        <f>SUM(N6:N15)</f>
        <v>4271.1991519691474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1596.02593365753</v>
      </c>
      <c r="C8" s="33"/>
      <c r="D8" s="37">
        <f>IF( ISERROR(IND_metaal_Gas_kWH/1000),0,IND_metaal_Gas_kWH/1000)*0.902</f>
        <v>68.735221163283683</v>
      </c>
      <c r="E8" s="33">
        <f>C30*'E Balans VL '!I18/100/3.6*1000000</f>
        <v>45.843855561063094</v>
      </c>
      <c r="F8" s="33">
        <f>C30*'E Balans VL '!L18/100/3.6*1000000+C30*'E Balans VL '!N18/100/3.6*1000000</f>
        <v>409.34995599309207</v>
      </c>
      <c r="G8" s="34"/>
      <c r="H8" s="33"/>
      <c r="I8" s="33"/>
      <c r="J8" s="40">
        <f>C30*'E Balans VL '!D18/100/3.6*1000000+C30*'E Balans VL '!E18/100/3.6*1000000</f>
        <v>0</v>
      </c>
      <c r="K8" s="33"/>
      <c r="L8" s="33"/>
      <c r="M8" s="33"/>
      <c r="N8" s="33">
        <f>C30*'E Balans VL '!Y18/100/3.6*1000000</f>
        <v>43.335362049311534</v>
      </c>
      <c r="O8" s="33"/>
      <c r="P8" s="33"/>
      <c r="R8" s="32"/>
    </row>
    <row r="9" spans="1:18">
      <c r="A9" s="6" t="s">
        <v>32</v>
      </c>
      <c r="B9" s="37">
        <f t="shared" si="0"/>
        <v>2038.3006066959099</v>
      </c>
      <c r="C9" s="33"/>
      <c r="D9" s="37">
        <f>IF( ISERROR(IND_andere_gas_kWh/1000),0,IND_andere_gas_kWh/1000)*0.902</f>
        <v>578.32971630713041</v>
      </c>
      <c r="E9" s="33">
        <f>C31*'E Balans VL '!I19/100/3.6*1000000</f>
        <v>551.71785845312547</v>
      </c>
      <c r="F9" s="33">
        <f>C31*'E Balans VL '!L19/100/3.6*1000000+C31*'E Balans VL '!N19/100/3.6*1000000</f>
        <v>1357.7239013207197</v>
      </c>
      <c r="G9" s="34"/>
      <c r="H9" s="33"/>
      <c r="I9" s="33"/>
      <c r="J9" s="40">
        <f>C31*'E Balans VL '!D19/100/3.6*1000000+C31*'E Balans VL '!E19/100/3.6*1000000</f>
        <v>0</v>
      </c>
      <c r="K9" s="33"/>
      <c r="L9" s="33"/>
      <c r="M9" s="33"/>
      <c r="N9" s="33">
        <f>C31*'E Balans VL '!Y19/100/3.6*1000000</f>
        <v>172.32481409648699</v>
      </c>
      <c r="O9" s="33"/>
      <c r="P9" s="33"/>
      <c r="R9" s="32"/>
    </row>
    <row r="10" spans="1:18">
      <c r="A10" s="6" t="s">
        <v>40</v>
      </c>
      <c r="B10" s="37">
        <f t="shared" si="0"/>
        <v>11494.026070019099</v>
      </c>
      <c r="C10" s="33"/>
      <c r="D10" s="37">
        <f>IF( ISERROR(IND_voed_gas_kWh/1000),0,IND_voed_gas_kWh/1000)*0.902</f>
        <v>0</v>
      </c>
      <c r="E10" s="33">
        <f>C32*'E Balans VL '!I20/100/3.6*1000000</f>
        <v>937.47917310851187</v>
      </c>
      <c r="F10" s="33">
        <f>C32*'E Balans VL '!L20/100/3.6*1000000+C32*'E Balans VL '!N20/100/3.6*1000000</f>
        <v>17138.635699817609</v>
      </c>
      <c r="G10" s="34"/>
      <c r="H10" s="33"/>
      <c r="I10" s="33"/>
      <c r="J10" s="40">
        <f>C32*'E Balans VL '!D20/100/3.6*1000000+C32*'E Balans VL '!E20/100/3.6*1000000</f>
        <v>0.15205201303035637</v>
      </c>
      <c r="K10" s="33"/>
      <c r="L10" s="33"/>
      <c r="M10" s="33"/>
      <c r="N10" s="33">
        <f>C32*'E Balans VL '!Y20/100/3.6*1000000</f>
        <v>3376.5392789244715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1464.5578016438601</v>
      </c>
      <c r="C12" s="33"/>
      <c r="D12" s="37">
        <f>IF( ISERROR(IND_min_gas_kWh/1000),0,IND_min_gas_kWh/1000)*0.902</f>
        <v>0</v>
      </c>
      <c r="E12" s="33">
        <f>C34*'E Balans VL '!I22/100/3.6*1000000</f>
        <v>11.408586161243935</v>
      </c>
      <c r="F12" s="33">
        <f>C34*'E Balans VL '!L22/100/3.6*1000000+C34*'E Balans VL '!N22/100/3.6*1000000</f>
        <v>552.34120295435639</v>
      </c>
      <c r="G12" s="34"/>
      <c r="H12" s="33"/>
      <c r="I12" s="33"/>
      <c r="J12" s="40">
        <f>C34*'E Balans VL '!D22/100/3.6*1000000+C34*'E Balans VL '!E22/100/3.6*1000000</f>
        <v>8.0549398584652359</v>
      </c>
      <c r="K12" s="33"/>
      <c r="L12" s="33"/>
      <c r="M12" s="33"/>
      <c r="N12" s="33">
        <f>C34*'E Balans VL '!Y22/100/3.6*1000000</f>
        <v>0</v>
      </c>
      <c r="O12" s="33"/>
      <c r="P12" s="33"/>
      <c r="R12" s="32"/>
    </row>
    <row r="13" spans="1:18">
      <c r="A13" s="6" t="s">
        <v>38</v>
      </c>
      <c r="B13" s="37">
        <f t="shared" si="0"/>
        <v>60.488532242480495</v>
      </c>
      <c r="C13" s="33"/>
      <c r="D13" s="37">
        <f>IF( ISERROR(IND_papier_gas_kWh/1000),0,IND_papier_gas_kWh/1000)*0.902</f>
        <v>0</v>
      </c>
      <c r="E13" s="33">
        <f>C35*'E Balans VL '!I23/100/3.6*1000000</f>
        <v>0.63372757189730089</v>
      </c>
      <c r="F13" s="33">
        <f>C35*'E Balans VL '!L23/100/3.6*1000000+C35*'E Balans VL '!N23/100/3.6*1000000</f>
        <v>4.5136649972862761</v>
      </c>
      <c r="G13" s="34"/>
      <c r="H13" s="33"/>
      <c r="I13" s="33"/>
      <c r="J13" s="40">
        <f>C35*'E Balans VL '!D23/100/3.6*1000000+C35*'E Balans VL '!E23/100/3.6*1000000</f>
        <v>0</v>
      </c>
      <c r="K13" s="33"/>
      <c r="L13" s="33"/>
      <c r="M13" s="33"/>
      <c r="N13" s="33">
        <f>C35*'E Balans VL '!Y23/100/3.6*1000000</f>
        <v>11.158826286570859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14390.0829225507</v>
      </c>
      <c r="C15" s="33"/>
      <c r="D15" s="37">
        <f>IF( ISERROR(IND_rest_gas_kWh/1000),0,IND_rest_gas_kWh/1000)*0.902</f>
        <v>25618.923042241939</v>
      </c>
      <c r="E15" s="33">
        <f>C37*'E Balans VL '!I15/100/3.6*1000000</f>
        <v>802.79632180366912</v>
      </c>
      <c r="F15" s="33">
        <f>C37*'E Balans VL '!L15/100/3.6*1000000+C37*'E Balans VL '!N15/100/3.6*1000000</f>
        <v>3382.8152683911449</v>
      </c>
      <c r="G15" s="34"/>
      <c r="H15" s="33"/>
      <c r="I15" s="33"/>
      <c r="J15" s="40">
        <f>C37*'E Balans VL '!D15/100/3.6*1000000+C37*'E Balans VL '!E15/100/3.6*1000000</f>
        <v>36.882687468539345</v>
      </c>
      <c r="K15" s="33"/>
      <c r="L15" s="33"/>
      <c r="M15" s="33"/>
      <c r="N15" s="33">
        <f>C37*'E Balans VL '!Y15/100/3.6*1000000</f>
        <v>667.84087061230662</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31043.48186680958</v>
      </c>
      <c r="C18" s="21">
        <f>C5+C16</f>
        <v>0</v>
      </c>
      <c r="D18" s="21">
        <f>MAX((D5+D16),0)</f>
        <v>26265.987979712354</v>
      </c>
      <c r="E18" s="21">
        <f>MAX((E5+E16),0)</f>
        <v>2349.8795226595107</v>
      </c>
      <c r="F18" s="21">
        <f>MAX((F5+F16),0)</f>
        <v>22845.379693474206</v>
      </c>
      <c r="G18" s="21"/>
      <c r="H18" s="21"/>
      <c r="I18" s="21"/>
      <c r="J18" s="21">
        <f>MAX((J5+J16),0)</f>
        <v>45.089679340034934</v>
      </c>
      <c r="K18" s="21"/>
      <c r="L18" s="21">
        <f>MAX((L5+L16),0)</f>
        <v>0</v>
      </c>
      <c r="M18" s="21"/>
      <c r="N18" s="21">
        <f>MAX((N5+N16),0)</f>
        <v>4271.1991519691474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0.20738946853024667</v>
      </c>
      <c r="C20" s="25">
        <f ca="1">'EF ele_warmte'!B22</f>
        <v>0.23734719917883412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6438.0912056859888</v>
      </c>
      <c r="C22" s="23">
        <f ca="1">C18*C20</f>
        <v>0</v>
      </c>
      <c r="D22" s="23">
        <f>D18*D20</f>
        <v>5305.7295719018957</v>
      </c>
      <c r="E22" s="23">
        <f>E18*E20</f>
        <v>533.42265164370895</v>
      </c>
      <c r="F22" s="23">
        <f>F18*F20</f>
        <v>6099.7163781576137</v>
      </c>
      <c r="G22" s="23"/>
      <c r="H22" s="23"/>
      <c r="I22" s="23"/>
      <c r="J22" s="23">
        <f>J18*J20</f>
        <v>15.961746486372366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1596.02593365753</v>
      </c>
      <c r="C30" s="39">
        <f>IF(ISERROR(B30*3.6/1000000/'E Balans VL '!Z18*100),0,B30*3.6/1000000/'E Balans VL '!Z18*100)</f>
        <v>0.15704487765169886</v>
      </c>
      <c r="D30" s="239" t="s">
        <v>689</v>
      </c>
    </row>
    <row r="31" spans="1:18">
      <c r="A31" s="6" t="s">
        <v>32</v>
      </c>
      <c r="B31" s="37">
        <f>IF( ISERROR(IND_ander_ele_kWh/1000),0,IND_ander_ele_kWh/1000)</f>
        <v>2038.3006066959099</v>
      </c>
      <c r="C31" s="39">
        <f>IF(ISERROR(B31*3.6/1000000/'E Balans VL '!Z19*100),0,B31*3.6/1000000/'E Balans VL '!Z19*100)</f>
        <v>8.8766365485229454E-2</v>
      </c>
      <c r="D31" s="239" t="s">
        <v>689</v>
      </c>
    </row>
    <row r="32" spans="1:18">
      <c r="A32" s="173" t="s">
        <v>40</v>
      </c>
      <c r="B32" s="37">
        <f>IF( ISERROR(IND_voed_ele_kWh/1000),0,IND_voed_ele_kWh/1000)</f>
        <v>11494.026070019099</v>
      </c>
      <c r="C32" s="39">
        <f>IF(ISERROR(B32*3.6/1000000/'E Balans VL '!Z20*100),0,B32*3.6/1000000/'E Balans VL '!Z20*100)</f>
        <v>2.1808256848974557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1464.5578016438601</v>
      </c>
      <c r="C34" s="39">
        <f>IF(ISERROR(B34*3.6/1000000/'E Balans VL '!Z22*100),0,B34*3.6/1000000/'E Balans VL '!Z22*100)</f>
        <v>0.20593153354217059</v>
      </c>
      <c r="D34" s="239" t="s">
        <v>689</v>
      </c>
    </row>
    <row r="35" spans="1:5">
      <c r="A35" s="173" t="s">
        <v>38</v>
      </c>
      <c r="B35" s="37">
        <f>IF( ISERROR(IND_papier_ele_kWh/1000),0,IND_papier_ele_kWh/1000)</f>
        <v>60.488532242480495</v>
      </c>
      <c r="C35" s="39">
        <f>IF(ISERROR(B35*3.6/1000000/'E Balans VL '!Z22*100),0,B35*3.6/1000000/'E Balans VL '!Z22*100)</f>
        <v>8.5052950402008873E-3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14390.0829225507</v>
      </c>
      <c r="C37" s="39">
        <f>IF(ISERROR(B37*3.6/1000000/'E Balans VL '!Z15*100),0,B37*3.6/1000000/'E Balans VL '!Z15*100)</f>
        <v>0.11089326358333505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9589.4405063034174</v>
      </c>
      <c r="C5" s="17">
        <f>'Eigen informatie GS &amp; warmtenet'!B60</f>
        <v>0</v>
      </c>
      <c r="D5" s="30">
        <f>IF(ISERROR(SUM(LB_lb_gas_kWh,LB_rest_gas_kWh)/1000),0,SUM(LB_lb_gas_kWh,LB_rest_gas_kWh)/1000)*0.902</f>
        <v>92381.144099404075</v>
      </c>
      <c r="E5" s="17">
        <f>B17*'E Balans VL '!I25/3.6*1000000/100</f>
        <v>120.83930409055881</v>
      </c>
      <c r="F5" s="17">
        <f>B17*('E Balans VL '!L25/3.6*1000000+'E Balans VL '!N25/3.6*1000000)/100</f>
        <v>33085.972045136827</v>
      </c>
      <c r="G5" s="18"/>
      <c r="H5" s="17"/>
      <c r="I5" s="17"/>
      <c r="J5" s="17">
        <f>('E Balans VL '!D25+'E Balans VL '!E25)/3.6*1000000*landbouw!B17/100</f>
        <v>1442.1428432356406</v>
      </c>
      <c r="K5" s="17"/>
      <c r="L5" s="17">
        <f>L6*(-1)</f>
        <v>0</v>
      </c>
      <c r="M5" s="17"/>
      <c r="N5" s="17">
        <f>N6*(-1)</f>
        <v>114.32142857142857</v>
      </c>
      <c r="O5" s="17"/>
      <c r="P5" s="17"/>
      <c r="R5" s="32"/>
    </row>
    <row r="6" spans="1:18">
      <c r="A6" s="16" t="s">
        <v>496</v>
      </c>
      <c r="B6" s="17" t="s">
        <v>210</v>
      </c>
      <c r="C6" s="17">
        <f>'lokale energieproductie'!O41+'lokale energieproductie'!O34</f>
        <v>45301.446428571428</v>
      </c>
      <c r="D6" s="310">
        <f>('lokale energieproductie'!P34+'lokale energieproductie'!P41)*(-1)</f>
        <v>-90488.57142857142</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9589.4405063034174</v>
      </c>
      <c r="C8" s="21">
        <f>C5+C6</f>
        <v>45301.446428571428</v>
      </c>
      <c r="D8" s="21">
        <f>MAX((D5+D6),0)</f>
        <v>1892.5726708326547</v>
      </c>
      <c r="E8" s="21">
        <f>MAX((E5+E6),0)</f>
        <v>120.83930409055881</v>
      </c>
      <c r="F8" s="21">
        <f>MAX((F5+F6),0)</f>
        <v>33085.972045136827</v>
      </c>
      <c r="G8" s="21"/>
      <c r="H8" s="21"/>
      <c r="I8" s="21"/>
      <c r="J8" s="21">
        <f>MAX((J5+J6),0)</f>
        <v>1442.1428432356406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0.20738946853024667</v>
      </c>
      <c r="C10" s="31">
        <f ca="1">'EF ele_warmte'!B22</f>
        <v>0.23734719917883412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1988.7489701046852</v>
      </c>
      <c r="C12" s="23">
        <f ca="1">C8*C10</f>
        <v>10752.171428571426</v>
      </c>
      <c r="D12" s="23">
        <f>D8*D10</f>
        <v>382.29967950819628</v>
      </c>
      <c r="E12" s="23">
        <f>E8*E10</f>
        <v>27.430522028556851</v>
      </c>
      <c r="F12" s="23">
        <f>F8*F10</f>
        <v>8833.9545360515331</v>
      </c>
      <c r="G12" s="23"/>
      <c r="H12" s="23"/>
      <c r="I12" s="23"/>
      <c r="J12" s="23">
        <f>J8*J10</f>
        <v>510.51856650541674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1.3374247090085756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1086.0436272648699</v>
      </c>
      <c r="C26" s="249">
        <f>B26*'GWP N2O_CH4'!B5</f>
        <v>22806.916172562269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654.76513680339019</v>
      </c>
      <c r="C27" s="249">
        <f>B27*'GWP N2O_CH4'!B5</f>
        <v>13750.067872871194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30.83080263743253</v>
      </c>
      <c r="C28" s="249">
        <f>B28*'GWP N2O_CH4'!B4</f>
        <v>9557.5488176040835</v>
      </c>
      <c r="D28" s="50"/>
    </row>
    <row r="29" spans="1:4">
      <c r="A29" s="41" t="s">
        <v>276</v>
      </c>
      <c r="B29" s="249">
        <f>B34*'ha_N2O bodem landbouw'!B4</f>
        <v>29.937993006440081</v>
      </c>
      <c r="C29" s="249">
        <f>B29*'GWP N2O_CH4'!B4</f>
        <v>9280.7778319964254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7.4752177049326619E-3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1.1556660553933701E-5</v>
      </c>
      <c r="C5" s="444" t="s">
        <v>210</v>
      </c>
      <c r="D5" s="429">
        <f>SUM(D6:D11)</f>
        <v>1.9801989833139934E-5</v>
      </c>
      <c r="E5" s="429">
        <f>SUM(E6:E11)</f>
        <v>6.9653515989203556E-4</v>
      </c>
      <c r="F5" s="442" t="s">
        <v>210</v>
      </c>
      <c r="G5" s="429">
        <f>SUM(G6:G11)</f>
        <v>0.19532644298684601</v>
      </c>
      <c r="H5" s="429">
        <f>SUM(H6:H11)</f>
        <v>3.5996381233172177E-2</v>
      </c>
      <c r="I5" s="444" t="s">
        <v>210</v>
      </c>
      <c r="J5" s="444" t="s">
        <v>210</v>
      </c>
      <c r="K5" s="444" t="s">
        <v>210</v>
      </c>
      <c r="L5" s="444" t="s">
        <v>210</v>
      </c>
      <c r="M5" s="429">
        <f>SUM(M6:M11)</f>
        <v>1.0460076248475295E-2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8.9666900422326504E-6</v>
      </c>
      <c r="C6" s="883"/>
      <c r="D6" s="883">
        <f>vkm_GW_PW*SUMIFS(TableVerdeelsleutelVkm[CNG],TableVerdeelsleutelVkm[Voertuigtype],"Lichte voertuigen")*SUMIFS(TableECFTransport[EnergieConsumptieFactor (PJ per km)],TableECFTransport[Index],CONCATENATE($A6,"_CNG_CNG"))</f>
        <v>1.328836756413153E-5</v>
      </c>
      <c r="E6" s="883">
        <f>vkm_GW_PW*SUMIFS(TableVerdeelsleutelVkm[LPG],TableVerdeelsleutelVkm[Voertuigtype],"Lichte voertuigen")*SUMIFS(TableECFTransport[EnergieConsumptieFactor (PJ per km)],TableECFTransport[Index],CONCATENATE($A6,"_LPG_LPG"))</f>
        <v>4.7594076994785867E-4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9.5784511714137946E-2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2.4469522609030802E-2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5.4402260605415859E-3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5.037577940338505E-2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1.1704482508541448E-6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2.274545070143344E-3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2.5899705117010503E-6</v>
      </c>
      <c r="C8" s="883"/>
      <c r="D8" s="432">
        <f>vkm_NGW_PW*SUMIFS(TableVerdeelsleutelVkm[CNG],TableVerdeelsleutelVkm[Voertuigtype],"Lichte voertuigen")*SUMIFS(TableECFTransport[EnergieConsumptieFactor (PJ per km)],TableECFTransport[Index],CONCATENATE($A8,"_CNG_CNG"))</f>
        <v>6.5136222690084059E-6</v>
      </c>
      <c r="E8" s="432">
        <f>vkm_NGW_PW*SUMIFS(TableVerdeelsleutelVkm[LPG],TableVerdeelsleutelVkm[Voertuigtype],"Lichte voertuigen")*SUMIFS(TableECFTransport[EnergieConsumptieFactor (PJ per km)],TableECFTransport[Index],CONCATENATE($A8,"_LPG_LPG"))</f>
        <v>2.2059438994417692E-4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4.2171926240797908E-2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1.1525499816368089E-2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2.4295037349912336E-3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6.9942256285251093E-3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1.8835952242941938E-7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3.1580138279913001E-4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3.210183487203806</v>
      </c>
      <c r="C14" s="21"/>
      <c r="D14" s="21">
        <f t="shared" ref="D14:M14" si="0">((D5)*10^9/3600)+D12</f>
        <v>5.50055273142776</v>
      </c>
      <c r="E14" s="21">
        <f t="shared" si="0"/>
        <v>193.48198885889875</v>
      </c>
      <c r="F14" s="21"/>
      <c r="G14" s="21">
        <f t="shared" si="0"/>
        <v>54257.345274123887</v>
      </c>
      <c r="H14" s="21">
        <f t="shared" si="0"/>
        <v>9998.9947869922726</v>
      </c>
      <c r="I14" s="21"/>
      <c r="J14" s="21"/>
      <c r="K14" s="21"/>
      <c r="L14" s="21"/>
      <c r="M14" s="21">
        <f t="shared" si="0"/>
        <v>2905.5767356875817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0.20738946853024667</v>
      </c>
      <c r="C16" s="56">
        <f ca="1">'EF ele_warmte'!B22</f>
        <v>0.23734719917883412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0.66575824729577127</v>
      </c>
      <c r="C18" s="23"/>
      <c r="D18" s="23">
        <f t="shared" ref="D18:M18" si="1">D14*D16</f>
        <v>1.1111116517484076</v>
      </c>
      <c r="E18" s="23">
        <f t="shared" si="1"/>
        <v>43.920411470970016</v>
      </c>
      <c r="F18" s="23"/>
      <c r="G18" s="23">
        <f t="shared" si="1"/>
        <v>14486.711188191079</v>
      </c>
      <c r="H18" s="23">
        <f t="shared" si="1"/>
        <v>2489.749701961076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5.0947941100030827E-3</v>
      </c>
      <c r="H50" s="321">
        <f t="shared" si="2"/>
        <v>0</v>
      </c>
      <c r="I50" s="321">
        <f t="shared" si="2"/>
        <v>0</v>
      </c>
      <c r="J50" s="321">
        <f t="shared" si="2"/>
        <v>0</v>
      </c>
      <c r="K50" s="321">
        <f t="shared" si="2"/>
        <v>0</v>
      </c>
      <c r="L50" s="321">
        <f t="shared" si="2"/>
        <v>0</v>
      </c>
      <c r="M50" s="321">
        <f t="shared" si="2"/>
        <v>2.2677350071958371E-4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5.0947941100030827E-3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2.2677350071958371E-4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1415.2205861119676</v>
      </c>
      <c r="H54" s="21">
        <f t="shared" si="3"/>
        <v>0</v>
      </c>
      <c r="I54" s="21">
        <f t="shared" si="3"/>
        <v>0</v>
      </c>
      <c r="J54" s="21">
        <f t="shared" si="3"/>
        <v>0</v>
      </c>
      <c r="K54" s="21">
        <f t="shared" si="3"/>
        <v>0</v>
      </c>
      <c r="L54" s="21">
        <f t="shared" si="3"/>
        <v>0</v>
      </c>
      <c r="M54" s="21">
        <f t="shared" si="3"/>
        <v>62.992639088773252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0.20738946853024667</v>
      </c>
      <c r="C56" s="56">
        <f ca="1">'EF ele_warmte'!B22</f>
        <v>0.23734719917883412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377.86389649189539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13020.28096122396</v>
      </c>
      <c r="D10" s="686">
        <f ca="1">tertiair!C16</f>
        <v>0</v>
      </c>
      <c r="E10" s="686">
        <f ca="1">tertiair!D16</f>
        <v>13027.648283568453</v>
      </c>
      <c r="F10" s="686">
        <f>tertiair!E16</f>
        <v>182.31871242476041</v>
      </c>
      <c r="G10" s="686">
        <f ca="1">tertiair!F16</f>
        <v>2565.1606845899328</v>
      </c>
      <c r="H10" s="686">
        <f>tertiair!G16</f>
        <v>0</v>
      </c>
      <c r="I10" s="686">
        <f>tertiair!H16</f>
        <v>0</v>
      </c>
      <c r="J10" s="686">
        <f>tertiair!I16</f>
        <v>0</v>
      </c>
      <c r="K10" s="686">
        <f>tertiair!J16</f>
        <v>0</v>
      </c>
      <c r="L10" s="686">
        <f>tertiair!K16</f>
        <v>0</v>
      </c>
      <c r="M10" s="686">
        <f ca="1">tertiair!L16</f>
        <v>0</v>
      </c>
      <c r="N10" s="686">
        <f>tertiair!M16</f>
        <v>0</v>
      </c>
      <c r="O10" s="686">
        <f ca="1">tertiair!N16</f>
        <v>1733.0615379439341</v>
      </c>
      <c r="P10" s="686">
        <f>tertiair!O16</f>
        <v>4.6900000000000004</v>
      </c>
      <c r="Q10" s="687">
        <f>tertiair!P16</f>
        <v>38.133333333333333</v>
      </c>
      <c r="R10" s="689">
        <f ca="1">SUM(C10:Q10)</f>
        <v>30571.293513084373</v>
      </c>
      <c r="S10" s="67"/>
    </row>
    <row r="11" spans="1:19" s="454" customFormat="1">
      <c r="A11" s="801" t="s">
        <v>224</v>
      </c>
      <c r="B11" s="806"/>
      <c r="C11" s="686">
        <f>huishoudens!B8</f>
        <v>28040.141667189302</v>
      </c>
      <c r="D11" s="686">
        <f>huishoudens!C8</f>
        <v>0</v>
      </c>
      <c r="E11" s="686">
        <f>huishoudens!D8</f>
        <v>70406.098515862235</v>
      </c>
      <c r="F11" s="686">
        <f>huishoudens!E8</f>
        <v>12807.800132919838</v>
      </c>
      <c r="G11" s="686">
        <f>huishoudens!F8</f>
        <v>18888.81042230142</v>
      </c>
      <c r="H11" s="686">
        <f>huishoudens!G8</f>
        <v>0</v>
      </c>
      <c r="I11" s="686">
        <f>huishoudens!H8</f>
        <v>0</v>
      </c>
      <c r="J11" s="686">
        <f>huishoudens!I8</f>
        <v>0</v>
      </c>
      <c r="K11" s="686">
        <f>huishoudens!J8</f>
        <v>0</v>
      </c>
      <c r="L11" s="686">
        <f>huishoudens!K8</f>
        <v>0</v>
      </c>
      <c r="M11" s="686">
        <f>huishoudens!L8</f>
        <v>0</v>
      </c>
      <c r="N11" s="686">
        <f>huishoudens!M8</f>
        <v>0</v>
      </c>
      <c r="O11" s="686">
        <f>huishoudens!N8</f>
        <v>35759.535668330922</v>
      </c>
      <c r="P11" s="686">
        <f>huishoudens!O8</f>
        <v>171.96666666666667</v>
      </c>
      <c r="Q11" s="687">
        <f>huishoudens!P8</f>
        <v>667.33333333333337</v>
      </c>
      <c r="R11" s="689">
        <f>SUM(C11:Q11)</f>
        <v>166741.68640660372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31043.48186680958</v>
      </c>
      <c r="D13" s="686">
        <f>industrie!C18</f>
        <v>0</v>
      </c>
      <c r="E13" s="686">
        <f>industrie!D18</f>
        <v>26265.987979712354</v>
      </c>
      <c r="F13" s="686">
        <f>industrie!E18</f>
        <v>2349.8795226595107</v>
      </c>
      <c r="G13" s="686">
        <f>industrie!F18</f>
        <v>22845.379693474206</v>
      </c>
      <c r="H13" s="686">
        <f>industrie!G18</f>
        <v>0</v>
      </c>
      <c r="I13" s="686">
        <f>industrie!H18</f>
        <v>0</v>
      </c>
      <c r="J13" s="686">
        <f>industrie!I18</f>
        <v>0</v>
      </c>
      <c r="K13" s="686">
        <f>industrie!J18</f>
        <v>45.089679340034934</v>
      </c>
      <c r="L13" s="686">
        <f>industrie!K18</f>
        <v>0</v>
      </c>
      <c r="M13" s="686">
        <f>industrie!L18</f>
        <v>0</v>
      </c>
      <c r="N13" s="686">
        <f>industrie!M18</f>
        <v>0</v>
      </c>
      <c r="O13" s="686">
        <f>industrie!N18</f>
        <v>4271.1991519691474</v>
      </c>
      <c r="P13" s="686">
        <f>industrie!O18</f>
        <v>0</v>
      </c>
      <c r="Q13" s="687">
        <f>industrie!P18</f>
        <v>0</v>
      </c>
      <c r="R13" s="689">
        <f>SUM(C13:Q13)</f>
        <v>86821.017893964832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72103.904495222843</v>
      </c>
      <c r="D16" s="721">
        <f t="shared" ref="D16:R16" ca="1" si="0">SUM(D9:D15)</f>
        <v>0</v>
      </c>
      <c r="E16" s="721">
        <f t="shared" ca="1" si="0"/>
        <v>109699.73477914305</v>
      </c>
      <c r="F16" s="721">
        <f t="shared" si="0"/>
        <v>15339.998368004108</v>
      </c>
      <c r="G16" s="721">
        <f t="shared" ca="1" si="0"/>
        <v>44299.350800365559</v>
      </c>
      <c r="H16" s="721">
        <f t="shared" si="0"/>
        <v>0</v>
      </c>
      <c r="I16" s="721">
        <f t="shared" si="0"/>
        <v>0</v>
      </c>
      <c r="J16" s="721">
        <f t="shared" si="0"/>
        <v>0</v>
      </c>
      <c r="K16" s="721">
        <f t="shared" si="0"/>
        <v>45.089679340034934</v>
      </c>
      <c r="L16" s="721">
        <f t="shared" si="0"/>
        <v>0</v>
      </c>
      <c r="M16" s="721">
        <f t="shared" ca="1" si="0"/>
        <v>0</v>
      </c>
      <c r="N16" s="721">
        <f t="shared" si="0"/>
        <v>0</v>
      </c>
      <c r="O16" s="721">
        <f t="shared" ca="1" si="0"/>
        <v>41763.796358243999</v>
      </c>
      <c r="P16" s="721">
        <f t="shared" si="0"/>
        <v>176.65666666666667</v>
      </c>
      <c r="Q16" s="721">
        <f t="shared" si="0"/>
        <v>705.4666666666667</v>
      </c>
      <c r="R16" s="721">
        <f t="shared" ca="1" si="0"/>
        <v>284133.99781365297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1415.2205861119676</v>
      </c>
      <c r="I19" s="686">
        <f>transport!H54</f>
        <v>0</v>
      </c>
      <c r="J19" s="686">
        <f>transport!I54</f>
        <v>0</v>
      </c>
      <c r="K19" s="686">
        <f>transport!J54</f>
        <v>0</v>
      </c>
      <c r="L19" s="686">
        <f>transport!K54</f>
        <v>0</v>
      </c>
      <c r="M19" s="686">
        <f>transport!L54</f>
        <v>0</v>
      </c>
      <c r="N19" s="686">
        <f>transport!M54</f>
        <v>62.992639088773252</v>
      </c>
      <c r="O19" s="686">
        <f>transport!N54</f>
        <v>0</v>
      </c>
      <c r="P19" s="686">
        <f>transport!O54</f>
        <v>0</v>
      </c>
      <c r="Q19" s="687">
        <f>transport!P54</f>
        <v>0</v>
      </c>
      <c r="R19" s="689">
        <f>SUM(C19:Q19)</f>
        <v>1478.2132252007409</v>
      </c>
      <c r="S19" s="67"/>
    </row>
    <row r="20" spans="1:19" s="454" customFormat="1">
      <c r="A20" s="801" t="s">
        <v>306</v>
      </c>
      <c r="B20" s="806"/>
      <c r="C20" s="686">
        <f>transport!B14</f>
        <v>3.210183487203806</v>
      </c>
      <c r="D20" s="686">
        <f>transport!C14</f>
        <v>0</v>
      </c>
      <c r="E20" s="686">
        <f>transport!D14</f>
        <v>5.50055273142776</v>
      </c>
      <c r="F20" s="686">
        <f>transport!E14</f>
        <v>193.48198885889875</v>
      </c>
      <c r="G20" s="686">
        <f>transport!F14</f>
        <v>0</v>
      </c>
      <c r="H20" s="686">
        <f>transport!G14</f>
        <v>54257.345274123887</v>
      </c>
      <c r="I20" s="686">
        <f>transport!H14</f>
        <v>9998.9947869922726</v>
      </c>
      <c r="J20" s="686">
        <f>transport!I14</f>
        <v>0</v>
      </c>
      <c r="K20" s="686">
        <f>transport!J14</f>
        <v>0</v>
      </c>
      <c r="L20" s="686">
        <f>transport!K14</f>
        <v>0</v>
      </c>
      <c r="M20" s="686">
        <f>transport!L14</f>
        <v>0</v>
      </c>
      <c r="N20" s="686">
        <f>transport!M14</f>
        <v>2905.5767356875817</v>
      </c>
      <c r="O20" s="686">
        <f>transport!N14</f>
        <v>0</v>
      </c>
      <c r="P20" s="686">
        <f>transport!O14</f>
        <v>0</v>
      </c>
      <c r="Q20" s="687">
        <f>transport!P14</f>
        <v>0</v>
      </c>
      <c r="R20" s="689">
        <f>SUM(C20:Q20)</f>
        <v>67364.109521881284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3.210183487203806</v>
      </c>
      <c r="D22" s="804">
        <f t="shared" ref="D22:R22" si="1">SUM(D18:D21)</f>
        <v>0</v>
      </c>
      <c r="E22" s="804">
        <f t="shared" si="1"/>
        <v>5.50055273142776</v>
      </c>
      <c r="F22" s="804">
        <f t="shared" si="1"/>
        <v>193.48198885889875</v>
      </c>
      <c r="G22" s="804">
        <f t="shared" si="1"/>
        <v>0</v>
      </c>
      <c r="H22" s="804">
        <f t="shared" si="1"/>
        <v>55672.565860235853</v>
      </c>
      <c r="I22" s="804">
        <f t="shared" si="1"/>
        <v>9998.9947869922726</v>
      </c>
      <c r="J22" s="804">
        <f t="shared" si="1"/>
        <v>0</v>
      </c>
      <c r="K22" s="804">
        <f t="shared" si="1"/>
        <v>0</v>
      </c>
      <c r="L22" s="804">
        <f t="shared" si="1"/>
        <v>0</v>
      </c>
      <c r="M22" s="804">
        <f t="shared" si="1"/>
        <v>0</v>
      </c>
      <c r="N22" s="804">
        <f t="shared" si="1"/>
        <v>2968.5693747763548</v>
      </c>
      <c r="O22" s="804">
        <f t="shared" si="1"/>
        <v>0</v>
      </c>
      <c r="P22" s="804">
        <f t="shared" si="1"/>
        <v>0</v>
      </c>
      <c r="Q22" s="804">
        <f t="shared" si="1"/>
        <v>0</v>
      </c>
      <c r="R22" s="804">
        <f t="shared" si="1"/>
        <v>68842.322747082027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9589.4405063034174</v>
      </c>
      <c r="D24" s="686">
        <f>+landbouw!C8</f>
        <v>45301.446428571428</v>
      </c>
      <c r="E24" s="686">
        <f>+landbouw!D8</f>
        <v>1892.5726708326547</v>
      </c>
      <c r="F24" s="686">
        <f>+landbouw!E8</f>
        <v>120.83930409055881</v>
      </c>
      <c r="G24" s="686">
        <f>+landbouw!F8</f>
        <v>33085.972045136827</v>
      </c>
      <c r="H24" s="686">
        <f>+landbouw!G8</f>
        <v>0</v>
      </c>
      <c r="I24" s="686">
        <f>+landbouw!H8</f>
        <v>0</v>
      </c>
      <c r="J24" s="686">
        <f>+landbouw!I8</f>
        <v>0</v>
      </c>
      <c r="K24" s="686">
        <f>+landbouw!J8</f>
        <v>1442.1428432356406</v>
      </c>
      <c r="L24" s="686">
        <f>+landbouw!K8</f>
        <v>0</v>
      </c>
      <c r="M24" s="686">
        <f>+landbouw!L8</f>
        <v>0</v>
      </c>
      <c r="N24" s="686">
        <f>+landbouw!M8</f>
        <v>0</v>
      </c>
      <c r="O24" s="686">
        <f>+landbouw!N8</f>
        <v>0</v>
      </c>
      <c r="P24" s="686">
        <f>+landbouw!O8</f>
        <v>0</v>
      </c>
      <c r="Q24" s="687">
        <f>+landbouw!P8</f>
        <v>0</v>
      </c>
      <c r="R24" s="689">
        <f>SUM(C24:Q24)</f>
        <v>91432.413798170513</v>
      </c>
      <c r="S24" s="67"/>
    </row>
    <row r="25" spans="1:19" s="454" customFormat="1" ht="15" thickBot="1">
      <c r="A25" s="823" t="s">
        <v>856</v>
      </c>
      <c r="B25" s="991"/>
      <c r="C25" s="992">
        <f>IF(Onbekend_ele_kWh="---",0,Onbekend_ele_kWh)/1000+IF(REST_rest_ele_kWh="---",0,REST_rest_ele_kWh)/1000</f>
        <v>1186.8435452701101</v>
      </c>
      <c r="D25" s="992"/>
      <c r="E25" s="992">
        <f>IF(onbekend_gas_kWh="---",0,onbekend_gas_kWh)/1000+IF(REST_rest_gas_kWh="---",0,REST_rest_gas_kWh)/1000</f>
        <v>2258.6790904846698</v>
      </c>
      <c r="F25" s="992"/>
      <c r="G25" s="992"/>
      <c r="H25" s="992"/>
      <c r="I25" s="992"/>
      <c r="J25" s="992"/>
      <c r="K25" s="992"/>
      <c r="L25" s="992"/>
      <c r="M25" s="992"/>
      <c r="N25" s="992"/>
      <c r="O25" s="992"/>
      <c r="P25" s="992"/>
      <c r="Q25" s="993"/>
      <c r="R25" s="689">
        <f>SUM(C25:Q25)</f>
        <v>3445.5226357547799</v>
      </c>
      <c r="S25" s="67"/>
    </row>
    <row r="26" spans="1:19" s="454" customFormat="1" ht="15.75" thickBot="1">
      <c r="A26" s="694" t="s">
        <v>857</v>
      </c>
      <c r="B26" s="809"/>
      <c r="C26" s="804">
        <f>SUM(C24:C25)</f>
        <v>10776.284051573528</v>
      </c>
      <c r="D26" s="804">
        <f t="shared" ref="D26:R26" si="2">SUM(D24:D25)</f>
        <v>45301.446428571428</v>
      </c>
      <c r="E26" s="804">
        <f t="shared" si="2"/>
        <v>4151.2517613173241</v>
      </c>
      <c r="F26" s="804">
        <f t="shared" si="2"/>
        <v>120.83930409055881</v>
      </c>
      <c r="G26" s="804">
        <f t="shared" si="2"/>
        <v>33085.972045136827</v>
      </c>
      <c r="H26" s="804">
        <f t="shared" si="2"/>
        <v>0</v>
      </c>
      <c r="I26" s="804">
        <f t="shared" si="2"/>
        <v>0</v>
      </c>
      <c r="J26" s="804">
        <f t="shared" si="2"/>
        <v>0</v>
      </c>
      <c r="K26" s="804">
        <f t="shared" si="2"/>
        <v>1442.1428432356406</v>
      </c>
      <c r="L26" s="804">
        <f t="shared" si="2"/>
        <v>0</v>
      </c>
      <c r="M26" s="804">
        <f t="shared" si="2"/>
        <v>0</v>
      </c>
      <c r="N26" s="804">
        <f t="shared" si="2"/>
        <v>0</v>
      </c>
      <c r="O26" s="804">
        <f t="shared" si="2"/>
        <v>0</v>
      </c>
      <c r="P26" s="804">
        <f t="shared" si="2"/>
        <v>0</v>
      </c>
      <c r="Q26" s="804">
        <f t="shared" si="2"/>
        <v>0</v>
      </c>
      <c r="R26" s="804">
        <f t="shared" si="2"/>
        <v>94877.936433925293</v>
      </c>
      <c r="S26" s="67"/>
    </row>
    <row r="27" spans="1:19" s="454" customFormat="1" ht="17.25" thickTop="1" thickBot="1">
      <c r="A27" s="695" t="s">
        <v>115</v>
      </c>
      <c r="B27" s="796"/>
      <c r="C27" s="696">
        <f ca="1">C22+C16+C26</f>
        <v>82883.398730283574</v>
      </c>
      <c r="D27" s="696">
        <f t="shared" ref="D27:R27" ca="1" si="3">D22+D16+D26</f>
        <v>45301.446428571428</v>
      </c>
      <c r="E27" s="696">
        <f t="shared" ca="1" si="3"/>
        <v>113856.4870931918</v>
      </c>
      <c r="F27" s="696">
        <f t="shared" si="3"/>
        <v>15654.319660953566</v>
      </c>
      <c r="G27" s="696">
        <f t="shared" ca="1" si="3"/>
        <v>77385.322845502378</v>
      </c>
      <c r="H27" s="696">
        <f t="shared" si="3"/>
        <v>55672.565860235853</v>
      </c>
      <c r="I27" s="696">
        <f t="shared" si="3"/>
        <v>9998.9947869922726</v>
      </c>
      <c r="J27" s="696">
        <f t="shared" si="3"/>
        <v>0</v>
      </c>
      <c r="K27" s="696">
        <f t="shared" si="3"/>
        <v>1487.2325225756756</v>
      </c>
      <c r="L27" s="696">
        <f t="shared" si="3"/>
        <v>0</v>
      </c>
      <c r="M27" s="696">
        <f t="shared" ca="1" si="3"/>
        <v>0</v>
      </c>
      <c r="N27" s="696">
        <f t="shared" si="3"/>
        <v>2968.5693747763548</v>
      </c>
      <c r="O27" s="696">
        <f t="shared" ca="1" si="3"/>
        <v>41763.796358243999</v>
      </c>
      <c r="P27" s="696">
        <f t="shared" si="3"/>
        <v>176.65666666666667</v>
      </c>
      <c r="Q27" s="696">
        <f t="shared" si="3"/>
        <v>705.4666666666667</v>
      </c>
      <c r="R27" s="696">
        <f t="shared" ca="1" si="3"/>
        <v>447854.2569946603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2700.2691486627259</v>
      </c>
      <c r="D40" s="686">
        <f ca="1">tertiair!C20</f>
        <v>0</v>
      </c>
      <c r="E40" s="686">
        <f ca="1">tertiair!D20</f>
        <v>2631.5849532808274</v>
      </c>
      <c r="F40" s="686">
        <f>tertiair!E20</f>
        <v>41.386347720420616</v>
      </c>
      <c r="G40" s="686">
        <f ca="1">tertiair!F20</f>
        <v>684.89790278551209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6058.1383524494859</v>
      </c>
    </row>
    <row r="41" spans="1:18">
      <c r="A41" s="814" t="s">
        <v>224</v>
      </c>
      <c r="B41" s="821"/>
      <c r="C41" s="686">
        <f ca="1">huishoudens!B12</f>
        <v>5815.2300778712142</v>
      </c>
      <c r="D41" s="686">
        <f ca="1">huishoudens!C12</f>
        <v>0</v>
      </c>
      <c r="E41" s="686">
        <f>huishoudens!D12</f>
        <v>14222.031900204172</v>
      </c>
      <c r="F41" s="686">
        <f>huishoudens!E12</f>
        <v>2907.3706301728034</v>
      </c>
      <c r="G41" s="686">
        <f>huishoudens!F12</f>
        <v>5043.3123827544796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27987.944991002671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6438.0912056859888</v>
      </c>
      <c r="D43" s="686">
        <f ca="1">industrie!C22</f>
        <v>0</v>
      </c>
      <c r="E43" s="686">
        <f>industrie!D22</f>
        <v>5305.7295719018957</v>
      </c>
      <c r="F43" s="686">
        <f>industrie!E22</f>
        <v>533.42265164370895</v>
      </c>
      <c r="G43" s="686">
        <f>industrie!F22</f>
        <v>6099.7163781576137</v>
      </c>
      <c r="H43" s="686">
        <f>industrie!G22</f>
        <v>0</v>
      </c>
      <c r="I43" s="686">
        <f>industrie!H22</f>
        <v>0</v>
      </c>
      <c r="J43" s="686">
        <f>industrie!I22</f>
        <v>0</v>
      </c>
      <c r="K43" s="686">
        <f>industrie!J22</f>
        <v>15.961746486372366</v>
      </c>
      <c r="L43" s="686">
        <f>industrie!K22</f>
        <v>0</v>
      </c>
      <c r="M43" s="686">
        <f>industrie!L22</f>
        <v>0</v>
      </c>
      <c r="N43" s="686">
        <f>industrie!M22</f>
        <v>0</v>
      </c>
      <c r="O43" s="686">
        <f>industrie!N22</f>
        <v>0</v>
      </c>
      <c r="P43" s="686">
        <f>industrie!O22</f>
        <v>0</v>
      </c>
      <c r="Q43" s="763">
        <f>industrie!P22</f>
        <v>0</v>
      </c>
      <c r="R43" s="841">
        <f t="shared" ca="1" si="4"/>
        <v>18392.921553875578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14953.590432219929</v>
      </c>
      <c r="D46" s="721">
        <f t="shared" ref="D46:Q46" ca="1" si="5">SUM(D39:D45)</f>
        <v>0</v>
      </c>
      <c r="E46" s="721">
        <f t="shared" ca="1" si="5"/>
        <v>22159.346425386895</v>
      </c>
      <c r="F46" s="721">
        <f t="shared" si="5"/>
        <v>3482.1796295369327</v>
      </c>
      <c r="G46" s="721">
        <f t="shared" ca="1" si="5"/>
        <v>11827.926663697606</v>
      </c>
      <c r="H46" s="721">
        <f t="shared" si="5"/>
        <v>0</v>
      </c>
      <c r="I46" s="721">
        <f t="shared" si="5"/>
        <v>0</v>
      </c>
      <c r="J46" s="721">
        <f t="shared" si="5"/>
        <v>0</v>
      </c>
      <c r="K46" s="721">
        <f t="shared" si="5"/>
        <v>15.961746486372366</v>
      </c>
      <c r="L46" s="721">
        <f t="shared" si="5"/>
        <v>0</v>
      </c>
      <c r="M46" s="721">
        <f t="shared" ca="1" si="5"/>
        <v>0</v>
      </c>
      <c r="N46" s="721">
        <f t="shared" si="5"/>
        <v>0</v>
      </c>
      <c r="O46" s="721">
        <f t="shared" ca="1" si="5"/>
        <v>0</v>
      </c>
      <c r="P46" s="721">
        <f t="shared" si="5"/>
        <v>0</v>
      </c>
      <c r="Q46" s="721">
        <f t="shared" si="5"/>
        <v>0</v>
      </c>
      <c r="R46" s="721">
        <f ca="1">SUM(R39:R45)</f>
        <v>52439.00489732773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377.86389649189539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377.86389649189539</v>
      </c>
    </row>
    <row r="50" spans="1:18">
      <c r="A50" s="817" t="s">
        <v>306</v>
      </c>
      <c r="B50" s="827"/>
      <c r="C50" s="692">
        <f ca="1">transport!B18</f>
        <v>0.66575824729577127</v>
      </c>
      <c r="D50" s="692">
        <f>transport!C18</f>
        <v>0</v>
      </c>
      <c r="E50" s="692">
        <f>transport!D18</f>
        <v>1.1111116517484076</v>
      </c>
      <c r="F50" s="692">
        <f>transport!E18</f>
        <v>43.920411470970016</v>
      </c>
      <c r="G50" s="692">
        <f>transport!F18</f>
        <v>0</v>
      </c>
      <c r="H50" s="692">
        <f>transport!G18</f>
        <v>14486.711188191079</v>
      </c>
      <c r="I50" s="692">
        <f>transport!H18</f>
        <v>2489.749701961076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17022.158171522169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0.66575824729577127</v>
      </c>
      <c r="D52" s="721">
        <f t="shared" ref="D52:Q52" ca="1" si="6">SUM(D48:D51)</f>
        <v>0</v>
      </c>
      <c r="E52" s="721">
        <f t="shared" si="6"/>
        <v>1.1111116517484076</v>
      </c>
      <c r="F52" s="721">
        <f t="shared" si="6"/>
        <v>43.920411470970016</v>
      </c>
      <c r="G52" s="721">
        <f t="shared" si="6"/>
        <v>0</v>
      </c>
      <c r="H52" s="721">
        <f t="shared" si="6"/>
        <v>14864.575084682974</v>
      </c>
      <c r="I52" s="721">
        <f t="shared" si="6"/>
        <v>2489.749701961076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17400.022068014063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1988.7489701046852</v>
      </c>
      <c r="D54" s="692">
        <f ca="1">+landbouw!C12</f>
        <v>10752.171428571426</v>
      </c>
      <c r="E54" s="692">
        <f>+landbouw!D12</f>
        <v>382.29967950819628</v>
      </c>
      <c r="F54" s="692">
        <f>+landbouw!E12</f>
        <v>27.430522028556851</v>
      </c>
      <c r="G54" s="692">
        <f>+landbouw!F12</f>
        <v>8833.9545360515331</v>
      </c>
      <c r="H54" s="692">
        <f>+landbouw!G12</f>
        <v>0</v>
      </c>
      <c r="I54" s="692">
        <f>+landbouw!H12</f>
        <v>0</v>
      </c>
      <c r="J54" s="692">
        <f>+landbouw!I12</f>
        <v>0</v>
      </c>
      <c r="K54" s="692">
        <f>+landbouw!J12</f>
        <v>510.51856650541674</v>
      </c>
      <c r="L54" s="692">
        <f>+landbouw!K12</f>
        <v>0</v>
      </c>
      <c r="M54" s="692">
        <f>+landbouw!L12</f>
        <v>0</v>
      </c>
      <c r="N54" s="692">
        <f>+landbouw!M12</f>
        <v>0</v>
      </c>
      <c r="O54" s="692">
        <f>+landbouw!N12</f>
        <v>0</v>
      </c>
      <c r="P54" s="692">
        <f>+landbouw!O12</f>
        <v>0</v>
      </c>
      <c r="Q54" s="693">
        <f>+landbouw!P12</f>
        <v>0</v>
      </c>
      <c r="R54" s="720">
        <f ca="1">SUM(C54:Q54)</f>
        <v>22495.123702769815</v>
      </c>
    </row>
    <row r="55" spans="1:18" ht="15" thickBot="1">
      <c r="A55" s="817" t="s">
        <v>856</v>
      </c>
      <c r="B55" s="827"/>
      <c r="C55" s="692">
        <f ca="1">C25*'EF ele_warmte'!B12</f>
        <v>246.1388520821219</v>
      </c>
      <c r="D55" s="692"/>
      <c r="E55" s="692">
        <f>E25*EF_CO2_aardgas</f>
        <v>456.25317627790332</v>
      </c>
      <c r="F55" s="692"/>
      <c r="G55" s="692"/>
      <c r="H55" s="692"/>
      <c r="I55" s="692"/>
      <c r="J55" s="692"/>
      <c r="K55" s="692"/>
      <c r="L55" s="692"/>
      <c r="M55" s="692"/>
      <c r="N55" s="692"/>
      <c r="O55" s="692"/>
      <c r="P55" s="692"/>
      <c r="Q55" s="693"/>
      <c r="R55" s="720">
        <f ca="1">SUM(C55:Q55)</f>
        <v>702.39202836002528</v>
      </c>
    </row>
    <row r="56" spans="1:18" ht="15.75" thickBot="1">
      <c r="A56" s="815" t="s">
        <v>857</v>
      </c>
      <c r="B56" s="828"/>
      <c r="C56" s="721">
        <f ca="1">SUM(C54:C55)</f>
        <v>2234.8878221868072</v>
      </c>
      <c r="D56" s="721">
        <f t="shared" ref="D56:Q56" ca="1" si="7">SUM(D54:D55)</f>
        <v>10752.171428571426</v>
      </c>
      <c r="E56" s="721">
        <f t="shared" si="7"/>
        <v>838.5528557860996</v>
      </c>
      <c r="F56" s="721">
        <f t="shared" si="7"/>
        <v>27.430522028556851</v>
      </c>
      <c r="G56" s="721">
        <f t="shared" si="7"/>
        <v>8833.9545360515331</v>
      </c>
      <c r="H56" s="721">
        <f t="shared" si="7"/>
        <v>0</v>
      </c>
      <c r="I56" s="721">
        <f t="shared" si="7"/>
        <v>0</v>
      </c>
      <c r="J56" s="721">
        <f t="shared" si="7"/>
        <v>0</v>
      </c>
      <c r="K56" s="721">
        <f t="shared" si="7"/>
        <v>510.51856650541674</v>
      </c>
      <c r="L56" s="721">
        <f t="shared" si="7"/>
        <v>0</v>
      </c>
      <c r="M56" s="721">
        <f t="shared" si="7"/>
        <v>0</v>
      </c>
      <c r="N56" s="721">
        <f t="shared" si="7"/>
        <v>0</v>
      </c>
      <c r="O56" s="721">
        <f t="shared" si="7"/>
        <v>0</v>
      </c>
      <c r="P56" s="721">
        <f t="shared" si="7"/>
        <v>0</v>
      </c>
      <c r="Q56" s="722">
        <f t="shared" si="7"/>
        <v>0</v>
      </c>
      <c r="R56" s="723">
        <f ca="1">SUM(R54:R55)</f>
        <v>23197.515731129839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17189.144012654033</v>
      </c>
      <c r="D61" s="729">
        <f t="shared" ref="D61:Q61" ca="1" si="8">D46+D52+D56</f>
        <v>10752.171428571426</v>
      </c>
      <c r="E61" s="729">
        <f t="shared" ca="1" si="8"/>
        <v>22999.010392824744</v>
      </c>
      <c r="F61" s="729">
        <f t="shared" si="8"/>
        <v>3553.5305630364596</v>
      </c>
      <c r="G61" s="729">
        <f t="shared" ca="1" si="8"/>
        <v>20661.881199749139</v>
      </c>
      <c r="H61" s="729">
        <f t="shared" si="8"/>
        <v>14864.575084682974</v>
      </c>
      <c r="I61" s="729">
        <f t="shared" si="8"/>
        <v>2489.749701961076</v>
      </c>
      <c r="J61" s="729">
        <f t="shared" si="8"/>
        <v>0</v>
      </c>
      <c r="K61" s="729">
        <f t="shared" si="8"/>
        <v>526.48031299178911</v>
      </c>
      <c r="L61" s="729">
        <f t="shared" si="8"/>
        <v>0</v>
      </c>
      <c r="M61" s="729">
        <f t="shared" ca="1" si="8"/>
        <v>0</v>
      </c>
      <c r="N61" s="729">
        <f t="shared" si="8"/>
        <v>0</v>
      </c>
      <c r="O61" s="729">
        <f t="shared" ca="1" si="8"/>
        <v>0</v>
      </c>
      <c r="P61" s="729">
        <f t="shared" si="8"/>
        <v>0</v>
      </c>
      <c r="Q61" s="729">
        <f t="shared" si="8"/>
        <v>0</v>
      </c>
      <c r="R61" s="729">
        <f ca="1">R46+R52+R56</f>
        <v>93036.542696471632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0.20738946853024667</v>
      </c>
      <c r="D63" s="772">
        <f t="shared" ca="1" si="9"/>
        <v>0.23734719917883412</v>
      </c>
      <c r="E63" s="998">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7450.105630039061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40.01250000000001</v>
      </c>
      <c r="C76" s="739">
        <f>'lokale energieproductie'!B8*IFERROR(SUM(D76:H76)/SUM(D76:O76),0)</f>
        <v>31671.000000000004</v>
      </c>
      <c r="D76" s="1008">
        <f>'lokale energieproductie'!C8</f>
        <v>37259.999999999993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47.073529411764703</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7526.5199999999986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7490.1181300390608</v>
      </c>
      <c r="C78" s="744">
        <f>SUM(C72:C77)</f>
        <v>31671.000000000004</v>
      </c>
      <c r="D78" s="745">
        <f t="shared" ref="D78:H78" si="10">SUM(D76:D77)</f>
        <v>37259.999999999993</v>
      </c>
      <c r="E78" s="745">
        <f t="shared" si="10"/>
        <v>0</v>
      </c>
      <c r="F78" s="745">
        <f t="shared" si="10"/>
        <v>0</v>
      </c>
      <c r="G78" s="745">
        <f t="shared" si="10"/>
        <v>0</v>
      </c>
      <c r="H78" s="745">
        <f t="shared" si="10"/>
        <v>0</v>
      </c>
      <c r="I78" s="745">
        <f>SUM(I76:I77)</f>
        <v>0</v>
      </c>
      <c r="J78" s="745">
        <f>SUM(J76:J77)</f>
        <v>47.073529411764703</v>
      </c>
      <c r="K78" s="745">
        <f t="shared" ref="K78:L78" si="11">SUM(K76:K77)</f>
        <v>0</v>
      </c>
      <c r="L78" s="745">
        <f t="shared" si="11"/>
        <v>0</v>
      </c>
      <c r="M78" s="745">
        <f>SUM(M76:M77)</f>
        <v>0</v>
      </c>
      <c r="N78" s="745">
        <f>SUM(N76:N77)</f>
        <v>0</v>
      </c>
      <c r="O78" s="852">
        <f>SUM(O76:O77)</f>
        <v>0</v>
      </c>
      <c r="P78" s="746">
        <v>0</v>
      </c>
      <c r="Q78" s="746">
        <f>SUM(Q76:Q77)</f>
        <v>7526.5199999999986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57.160714285714299</v>
      </c>
      <c r="C87" s="755">
        <f>'lokale energieproductie'!B17*IFERROR(SUM(D87:H87)/SUM(D87:O87),0)</f>
        <v>45244.28571428571</v>
      </c>
      <c r="D87" s="766">
        <f>'lokale energieproductie'!C17</f>
        <v>53228.571428571413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67.247899159663859</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10752.171428571426</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57.160714285714299</v>
      </c>
      <c r="C90" s="744">
        <f>SUM(C87:C89)</f>
        <v>45244.28571428571</v>
      </c>
      <c r="D90" s="744">
        <f t="shared" ref="D90:H90" si="12">SUM(D87:D89)</f>
        <v>53228.571428571413</v>
      </c>
      <c r="E90" s="744">
        <f t="shared" si="12"/>
        <v>0</v>
      </c>
      <c r="F90" s="744">
        <f t="shared" si="12"/>
        <v>0</v>
      </c>
      <c r="G90" s="744">
        <f t="shared" si="12"/>
        <v>0</v>
      </c>
      <c r="H90" s="744">
        <f t="shared" si="12"/>
        <v>0</v>
      </c>
      <c r="I90" s="744">
        <f>SUM(I87:I89)</f>
        <v>0</v>
      </c>
      <c r="J90" s="744">
        <f>SUM(J87:J89)</f>
        <v>67.247899159663859</v>
      </c>
      <c r="K90" s="744">
        <f t="shared" ref="K90:L90" si="13">SUM(K87:K89)</f>
        <v>0</v>
      </c>
      <c r="L90" s="744">
        <f t="shared" si="13"/>
        <v>0</v>
      </c>
      <c r="M90" s="744">
        <f>SUM(M87:M89)</f>
        <v>0</v>
      </c>
      <c r="N90" s="744">
        <f>SUM(N87:N89)</f>
        <v>0</v>
      </c>
      <c r="O90" s="744">
        <f>SUM(O87:O89)</f>
        <v>0</v>
      </c>
      <c r="P90" s="744">
        <v>0</v>
      </c>
      <c r="Q90" s="744">
        <f>SUM(Q87:Q89)</f>
        <v>10752.171428571426</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7450.105630039061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31711.012500000001</v>
      </c>
      <c r="C8" s="556">
        <f>B50</f>
        <v>37259.999999999993</v>
      </c>
      <c r="D8" s="1015"/>
      <c r="E8" s="1015">
        <f>E50</f>
        <v>0</v>
      </c>
      <c r="F8" s="1016"/>
      <c r="G8" s="557"/>
      <c r="H8" s="1015">
        <f>I50</f>
        <v>0</v>
      </c>
      <c r="I8" s="1015">
        <f>G50+F50</f>
        <v>0</v>
      </c>
      <c r="J8" s="1015">
        <f>H50+D50+C50</f>
        <v>47.073529411764703</v>
      </c>
      <c r="K8" s="1015"/>
      <c r="L8" s="1015"/>
      <c r="M8" s="1015"/>
      <c r="N8" s="558"/>
      <c r="O8" s="559">
        <f>C8*$C$12+D8*$D$12+E8*$E$12+F8*$F$12+G8*$G$12+H8*$H$12+I8*$I$12+J8*$J$12</f>
        <v>7526.5199999999986</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39161.11813003906</v>
      </c>
      <c r="C10" s="569">
        <f t="shared" ref="C10:L10" si="0">SUM(C8:C9)</f>
        <v>37259.999999999993</v>
      </c>
      <c r="D10" s="569">
        <f t="shared" si="0"/>
        <v>0</v>
      </c>
      <c r="E10" s="569">
        <f t="shared" si="0"/>
        <v>0</v>
      </c>
      <c r="F10" s="569">
        <f t="shared" si="0"/>
        <v>0</v>
      </c>
      <c r="G10" s="569">
        <f t="shared" si="0"/>
        <v>0</v>
      </c>
      <c r="H10" s="569">
        <f t="shared" si="0"/>
        <v>0</v>
      </c>
      <c r="I10" s="569">
        <f t="shared" si="0"/>
        <v>0</v>
      </c>
      <c r="J10" s="569">
        <f t="shared" si="0"/>
        <v>47.073529411764703</v>
      </c>
      <c r="K10" s="569">
        <f t="shared" si="0"/>
        <v>0</v>
      </c>
      <c r="L10" s="569">
        <f t="shared" si="0"/>
        <v>0</v>
      </c>
      <c r="M10" s="1018"/>
      <c r="N10" s="1018"/>
      <c r="O10" s="570">
        <f>SUM(O4:O9)</f>
        <v>7526.5199999999986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45301.446428571428</v>
      </c>
      <c r="C17" s="581">
        <f>B51</f>
        <v>53228.571428571413</v>
      </c>
      <c r="D17" s="582"/>
      <c r="E17" s="582">
        <f>E51</f>
        <v>0</v>
      </c>
      <c r="F17" s="1021"/>
      <c r="G17" s="583"/>
      <c r="H17" s="581">
        <f>I51</f>
        <v>0</v>
      </c>
      <c r="I17" s="582">
        <f>G51+F51</f>
        <v>0</v>
      </c>
      <c r="J17" s="582">
        <f>H51+D51+C51</f>
        <v>67.247899159663859</v>
      </c>
      <c r="K17" s="582"/>
      <c r="L17" s="582"/>
      <c r="M17" s="582"/>
      <c r="N17" s="1022"/>
      <c r="O17" s="584">
        <f>C17*$C$22+E17*$E$22+H17*$H$22+I17*$I$22+J17*$J$22+D17*$D$22+F17*$F$22+G17*$G$22+K17*$K$22+L17*$L$22</f>
        <v>10752.171428571426</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45301.446428571428</v>
      </c>
      <c r="C20" s="568">
        <f>SUM(C17:C19)</f>
        <v>53228.571428571413</v>
      </c>
      <c r="D20" s="568">
        <f t="shared" ref="D20:L20" si="1">SUM(D17:D19)</f>
        <v>0</v>
      </c>
      <c r="E20" s="568">
        <f t="shared" si="1"/>
        <v>0</v>
      </c>
      <c r="F20" s="568">
        <f t="shared" si="1"/>
        <v>0</v>
      </c>
      <c r="G20" s="568">
        <f t="shared" si="1"/>
        <v>0</v>
      </c>
      <c r="H20" s="568">
        <f t="shared" si="1"/>
        <v>0</v>
      </c>
      <c r="I20" s="568">
        <f t="shared" si="1"/>
        <v>0</v>
      </c>
      <c r="J20" s="568">
        <f t="shared" si="1"/>
        <v>67.247899159663859</v>
      </c>
      <c r="K20" s="568">
        <f t="shared" si="1"/>
        <v>0</v>
      </c>
      <c r="L20" s="568">
        <f t="shared" si="1"/>
        <v>0</v>
      </c>
      <c r="M20" s="568"/>
      <c r="N20" s="568"/>
      <c r="O20" s="588">
        <f>SUM(O17:O19)</f>
        <v>10752.171428571426</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13035</v>
      </c>
      <c r="C28" s="787">
        <v>2382</v>
      </c>
      <c r="D28" s="640" t="s">
        <v>920</v>
      </c>
      <c r="E28" s="639" t="s">
        <v>921</v>
      </c>
      <c r="F28" s="639" t="s">
        <v>922</v>
      </c>
      <c r="G28" s="639" t="s">
        <v>923</v>
      </c>
      <c r="H28" s="639" t="s">
        <v>924</v>
      </c>
      <c r="I28" s="639" t="s">
        <v>921</v>
      </c>
      <c r="J28" s="786">
        <v>40162</v>
      </c>
      <c r="K28" s="786">
        <v>40163</v>
      </c>
      <c r="L28" s="639" t="s">
        <v>925</v>
      </c>
      <c r="M28" s="639">
        <v>2014</v>
      </c>
      <c r="N28" s="639">
        <v>9062.9999999999982</v>
      </c>
      <c r="O28" s="639">
        <v>12947.142857142855</v>
      </c>
      <c r="P28" s="639">
        <v>25894.28571428571</v>
      </c>
      <c r="Q28" s="639">
        <v>0</v>
      </c>
      <c r="R28" s="639">
        <v>0</v>
      </c>
      <c r="S28" s="639">
        <v>0</v>
      </c>
      <c r="T28" s="639">
        <v>0</v>
      </c>
      <c r="U28" s="639">
        <v>0</v>
      </c>
      <c r="V28" s="639">
        <v>0</v>
      </c>
      <c r="W28" s="639">
        <v>0</v>
      </c>
      <c r="X28" s="639">
        <v>10</v>
      </c>
      <c r="Y28" s="639" t="s">
        <v>111</v>
      </c>
      <c r="Z28" s="641" t="s">
        <v>111</v>
      </c>
    </row>
    <row r="29" spans="1:26" s="593" customFormat="1" ht="25.5">
      <c r="A29" s="592"/>
      <c r="B29" s="787">
        <v>13035</v>
      </c>
      <c r="C29" s="787">
        <v>2381</v>
      </c>
      <c r="D29" s="640" t="s">
        <v>926</v>
      </c>
      <c r="E29" s="639" t="s">
        <v>927</v>
      </c>
      <c r="F29" s="639" t="s">
        <v>928</v>
      </c>
      <c r="G29" s="639" t="s">
        <v>923</v>
      </c>
      <c r="H29" s="639" t="s">
        <v>924</v>
      </c>
      <c r="I29" s="639" t="s">
        <v>927</v>
      </c>
      <c r="J29" s="786">
        <v>40388</v>
      </c>
      <c r="K29" s="786">
        <v>39083</v>
      </c>
      <c r="L29" s="639" t="s">
        <v>925</v>
      </c>
      <c r="M29" s="639">
        <v>5024</v>
      </c>
      <c r="N29" s="639">
        <v>22608</v>
      </c>
      <c r="O29" s="639">
        <v>32297.142857142859</v>
      </c>
      <c r="P29" s="639">
        <v>64594.285714285717</v>
      </c>
      <c r="Q29" s="639">
        <v>0</v>
      </c>
      <c r="R29" s="639">
        <v>0</v>
      </c>
      <c r="S29" s="639">
        <v>0</v>
      </c>
      <c r="T29" s="639">
        <v>0</v>
      </c>
      <c r="U29" s="639">
        <v>0</v>
      </c>
      <c r="V29" s="639">
        <v>0</v>
      </c>
      <c r="W29" s="639">
        <v>0</v>
      </c>
      <c r="X29" s="639">
        <v>10</v>
      </c>
      <c r="Y29" s="639" t="s">
        <v>111</v>
      </c>
      <c r="Z29" s="641" t="s">
        <v>111</v>
      </c>
    </row>
    <row r="30" spans="1:26" s="593" customFormat="1" ht="25.5">
      <c r="A30" s="592"/>
      <c r="B30" s="787">
        <v>13035</v>
      </c>
      <c r="C30" s="787">
        <v>2380</v>
      </c>
      <c r="D30" s="640" t="s">
        <v>929</v>
      </c>
      <c r="E30" s="639" t="s">
        <v>930</v>
      </c>
      <c r="F30" s="639" t="s">
        <v>931</v>
      </c>
      <c r="G30" s="639" t="s">
        <v>923</v>
      </c>
      <c r="H30" s="639" t="s">
        <v>924</v>
      </c>
      <c r="I30" s="639" t="s">
        <v>932</v>
      </c>
      <c r="J30" s="786">
        <v>41292</v>
      </c>
      <c r="K30" s="786">
        <v>41292</v>
      </c>
      <c r="L30" s="639" t="s">
        <v>925</v>
      </c>
      <c r="M30" s="639">
        <v>9.6999999999999993</v>
      </c>
      <c r="N30" s="639">
        <v>40.012499999999996</v>
      </c>
      <c r="O30" s="639">
        <v>57.160714285714278</v>
      </c>
      <c r="P30" s="639">
        <v>0</v>
      </c>
      <c r="Q30" s="639">
        <v>114.32142857142857</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7047.7</v>
      </c>
      <c r="N31" s="597">
        <f>SUM(N28:N30)</f>
        <v>31711.012500000001</v>
      </c>
      <c r="O31" s="597">
        <f>SUM(O28:O30)</f>
        <v>45301.446428571428</v>
      </c>
      <c r="P31" s="597">
        <f>SUM(P28:P30)</f>
        <v>90488.57142857142</v>
      </c>
      <c r="Q31" s="597">
        <f>SUM(Q28:Q30)</f>
        <v>114.32142857142857</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7047.7</v>
      </c>
      <c r="N34" s="602">
        <f>SUMIF($Z$28:$Z$30,"landbouw",N28:N30)</f>
        <v>31711.012500000001</v>
      </c>
      <c r="O34" s="602">
        <f>SUMIF($Z$28:$Z$30,"landbouw",O28:O30)</f>
        <v>45301.446428571428</v>
      </c>
      <c r="P34" s="602">
        <f>SUMIF($Z$28:$Z$30,"landbouw",P28:P30)</f>
        <v>90488.57142857142</v>
      </c>
      <c r="Q34" s="602">
        <f>SUMIF($Z$28:$Z$30,"landbouw",Q28:Q30)</f>
        <v>114.32142857142857</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0.58823529411764697</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37259.999999999993</v>
      </c>
      <c r="C50" s="631">
        <f t="shared" si="2"/>
        <v>47.073529411764703</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53228.571428571413</v>
      </c>
      <c r="C51" s="634">
        <f t="shared" si="3"/>
        <v>67.247899159663859</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28040.141667189302</v>
      </c>
      <c r="C4" s="458">
        <f>huishoudens!C8</f>
        <v>0</v>
      </c>
      <c r="D4" s="458">
        <f>huishoudens!D8</f>
        <v>70406.098515862235</v>
      </c>
      <c r="E4" s="458">
        <f>huishoudens!E8</f>
        <v>12807.800132919838</v>
      </c>
      <c r="F4" s="458">
        <f>huishoudens!F8</f>
        <v>18888.81042230142</v>
      </c>
      <c r="G4" s="458">
        <f>huishoudens!G8</f>
        <v>0</v>
      </c>
      <c r="H4" s="458">
        <f>huishoudens!H8</f>
        <v>0</v>
      </c>
      <c r="I4" s="458">
        <f>huishoudens!I8</f>
        <v>0</v>
      </c>
      <c r="J4" s="458">
        <f>huishoudens!J8</f>
        <v>0</v>
      </c>
      <c r="K4" s="458">
        <f>huishoudens!K8</f>
        <v>0</v>
      </c>
      <c r="L4" s="458">
        <f>huishoudens!L8</f>
        <v>0</v>
      </c>
      <c r="M4" s="458">
        <f>huishoudens!M8</f>
        <v>0</v>
      </c>
      <c r="N4" s="458">
        <f>huishoudens!N8</f>
        <v>35759.535668330922</v>
      </c>
      <c r="O4" s="458">
        <f>huishoudens!O8</f>
        <v>171.96666666666667</v>
      </c>
      <c r="P4" s="459">
        <f>huishoudens!P8</f>
        <v>667.33333333333337</v>
      </c>
      <c r="Q4" s="460">
        <f>SUM(B4:P4)</f>
        <v>166741.68640660372</v>
      </c>
    </row>
    <row r="5" spans="1:17">
      <c r="A5" s="457" t="s">
        <v>155</v>
      </c>
      <c r="B5" s="458">
        <f ca="1">tertiair!B16</f>
        <v>11974.92296122396</v>
      </c>
      <c r="C5" s="458">
        <f ca="1">tertiair!C16</f>
        <v>0</v>
      </c>
      <c r="D5" s="458">
        <f ca="1">tertiair!D16</f>
        <v>13027.648283568453</v>
      </c>
      <c r="E5" s="458">
        <f>tertiair!E16</f>
        <v>182.31871242476041</v>
      </c>
      <c r="F5" s="458">
        <f ca="1">tertiair!F16</f>
        <v>2565.1606845899328</v>
      </c>
      <c r="G5" s="458">
        <f>tertiair!G16</f>
        <v>0</v>
      </c>
      <c r="H5" s="458">
        <f>tertiair!H16</f>
        <v>0</v>
      </c>
      <c r="I5" s="458">
        <f>tertiair!I16</f>
        <v>0</v>
      </c>
      <c r="J5" s="458">
        <f>tertiair!J16</f>
        <v>0</v>
      </c>
      <c r="K5" s="458">
        <f>tertiair!K16</f>
        <v>0</v>
      </c>
      <c r="L5" s="458">
        <f ca="1">tertiair!L16</f>
        <v>0</v>
      </c>
      <c r="M5" s="458">
        <f>tertiair!M16</f>
        <v>0</v>
      </c>
      <c r="N5" s="458">
        <f ca="1">tertiair!N16</f>
        <v>1733.0615379439341</v>
      </c>
      <c r="O5" s="458">
        <f>tertiair!O16</f>
        <v>4.6900000000000004</v>
      </c>
      <c r="P5" s="459">
        <f>tertiair!P16</f>
        <v>38.133333333333333</v>
      </c>
      <c r="Q5" s="457">
        <f t="shared" ref="Q5:Q14" ca="1" si="0">SUM(B5:P5)</f>
        <v>29525.935513084372</v>
      </c>
    </row>
    <row r="6" spans="1:17">
      <c r="A6" s="457" t="s">
        <v>193</v>
      </c>
      <c r="B6" s="458">
        <f>'openbare verlichting'!B8</f>
        <v>1045.3579999999999</v>
      </c>
      <c r="C6" s="458"/>
      <c r="D6" s="458"/>
      <c r="E6" s="458"/>
      <c r="F6" s="458"/>
      <c r="G6" s="458"/>
      <c r="H6" s="458"/>
      <c r="I6" s="458"/>
      <c r="J6" s="458"/>
      <c r="K6" s="458"/>
      <c r="L6" s="458"/>
      <c r="M6" s="458"/>
      <c r="N6" s="458"/>
      <c r="O6" s="458"/>
      <c r="P6" s="459"/>
      <c r="Q6" s="457">
        <f t="shared" si="0"/>
        <v>1045.3579999999999</v>
      </c>
    </row>
    <row r="7" spans="1:17">
      <c r="A7" s="457" t="s">
        <v>111</v>
      </c>
      <c r="B7" s="458">
        <f>landbouw!B8</f>
        <v>9589.4405063034174</v>
      </c>
      <c r="C7" s="458">
        <f>landbouw!C8</f>
        <v>45301.446428571428</v>
      </c>
      <c r="D7" s="458">
        <f>landbouw!D8</f>
        <v>1892.5726708326547</v>
      </c>
      <c r="E7" s="458">
        <f>landbouw!E8</f>
        <v>120.83930409055881</v>
      </c>
      <c r="F7" s="458">
        <f>landbouw!F8</f>
        <v>33085.972045136827</v>
      </c>
      <c r="G7" s="458">
        <f>landbouw!G8</f>
        <v>0</v>
      </c>
      <c r="H7" s="458">
        <f>landbouw!H8</f>
        <v>0</v>
      </c>
      <c r="I7" s="458">
        <f>landbouw!I8</f>
        <v>0</v>
      </c>
      <c r="J7" s="458">
        <f>landbouw!J8</f>
        <v>1442.1428432356406</v>
      </c>
      <c r="K7" s="458">
        <f>landbouw!K8</f>
        <v>0</v>
      </c>
      <c r="L7" s="458">
        <f>landbouw!L8</f>
        <v>0</v>
      </c>
      <c r="M7" s="458">
        <f>landbouw!M8</f>
        <v>0</v>
      </c>
      <c r="N7" s="458">
        <f>landbouw!N8</f>
        <v>0</v>
      </c>
      <c r="O7" s="458">
        <f>landbouw!O8</f>
        <v>0</v>
      </c>
      <c r="P7" s="459">
        <f>landbouw!P8</f>
        <v>0</v>
      </c>
      <c r="Q7" s="457">
        <f t="shared" si="0"/>
        <v>91432.413798170513</v>
      </c>
    </row>
    <row r="8" spans="1:17">
      <c r="A8" s="457" t="s">
        <v>655</v>
      </c>
      <c r="B8" s="458">
        <f>industrie!B18</f>
        <v>31043.48186680958</v>
      </c>
      <c r="C8" s="458">
        <f>industrie!C18</f>
        <v>0</v>
      </c>
      <c r="D8" s="458">
        <f>industrie!D18</f>
        <v>26265.987979712354</v>
      </c>
      <c r="E8" s="458">
        <f>industrie!E18</f>
        <v>2349.8795226595107</v>
      </c>
      <c r="F8" s="458">
        <f>industrie!F18</f>
        <v>22845.379693474206</v>
      </c>
      <c r="G8" s="458">
        <f>industrie!G18</f>
        <v>0</v>
      </c>
      <c r="H8" s="458">
        <f>industrie!H18</f>
        <v>0</v>
      </c>
      <c r="I8" s="458">
        <f>industrie!I18</f>
        <v>0</v>
      </c>
      <c r="J8" s="458">
        <f>industrie!J18</f>
        <v>45.089679340034934</v>
      </c>
      <c r="K8" s="458">
        <f>industrie!K18</f>
        <v>0</v>
      </c>
      <c r="L8" s="458">
        <f>industrie!L18</f>
        <v>0</v>
      </c>
      <c r="M8" s="458">
        <f>industrie!M18</f>
        <v>0</v>
      </c>
      <c r="N8" s="458">
        <f>industrie!N18</f>
        <v>4271.1991519691474</v>
      </c>
      <c r="O8" s="458">
        <f>industrie!O18</f>
        <v>0</v>
      </c>
      <c r="P8" s="459">
        <f>industrie!P18</f>
        <v>0</v>
      </c>
      <c r="Q8" s="457">
        <f t="shared" si="0"/>
        <v>86821.017893964832</v>
      </c>
    </row>
    <row r="9" spans="1:17" s="463" customFormat="1">
      <c r="A9" s="461" t="s">
        <v>573</v>
      </c>
      <c r="B9" s="462">
        <f>transport!B14</f>
        <v>3.210183487203806</v>
      </c>
      <c r="C9" s="462">
        <f>transport!C14</f>
        <v>0</v>
      </c>
      <c r="D9" s="462">
        <f>transport!D14</f>
        <v>5.50055273142776</v>
      </c>
      <c r="E9" s="462">
        <f>transport!E14</f>
        <v>193.48198885889875</v>
      </c>
      <c r="F9" s="462">
        <f>transport!F14</f>
        <v>0</v>
      </c>
      <c r="G9" s="462">
        <f>transport!G14</f>
        <v>54257.345274123887</v>
      </c>
      <c r="H9" s="462">
        <f>transport!H14</f>
        <v>9998.9947869922726</v>
      </c>
      <c r="I9" s="462">
        <f>transport!I14</f>
        <v>0</v>
      </c>
      <c r="J9" s="462">
        <f>transport!J14</f>
        <v>0</v>
      </c>
      <c r="K9" s="462">
        <f>transport!K14</f>
        <v>0</v>
      </c>
      <c r="L9" s="462">
        <f>transport!L14</f>
        <v>0</v>
      </c>
      <c r="M9" s="462">
        <f>transport!M14</f>
        <v>2905.5767356875817</v>
      </c>
      <c r="N9" s="462">
        <f>transport!N14</f>
        <v>0</v>
      </c>
      <c r="O9" s="462">
        <f>transport!O14</f>
        <v>0</v>
      </c>
      <c r="P9" s="462">
        <f>transport!P14</f>
        <v>0</v>
      </c>
      <c r="Q9" s="461">
        <f>SUM(B9:P9)</f>
        <v>67364.109521881284</v>
      </c>
    </row>
    <row r="10" spans="1:17">
      <c r="A10" s="457" t="s">
        <v>563</v>
      </c>
      <c r="B10" s="458">
        <f>transport!B54</f>
        <v>0</v>
      </c>
      <c r="C10" s="458">
        <f>transport!C54</f>
        <v>0</v>
      </c>
      <c r="D10" s="458">
        <f>transport!D54</f>
        <v>0</v>
      </c>
      <c r="E10" s="458">
        <f>transport!E54</f>
        <v>0</v>
      </c>
      <c r="F10" s="458">
        <f>transport!F54</f>
        <v>0</v>
      </c>
      <c r="G10" s="458">
        <f>transport!G54</f>
        <v>1415.2205861119676</v>
      </c>
      <c r="H10" s="458">
        <f>transport!H54</f>
        <v>0</v>
      </c>
      <c r="I10" s="458">
        <f>transport!I54</f>
        <v>0</v>
      </c>
      <c r="J10" s="458">
        <f>transport!J54</f>
        <v>0</v>
      </c>
      <c r="K10" s="458">
        <f>transport!K54</f>
        <v>0</v>
      </c>
      <c r="L10" s="458">
        <f>transport!L54</f>
        <v>0</v>
      </c>
      <c r="M10" s="458">
        <f>transport!M54</f>
        <v>62.992639088773252</v>
      </c>
      <c r="N10" s="458">
        <f>transport!N54</f>
        <v>0</v>
      </c>
      <c r="O10" s="458">
        <f>transport!O54</f>
        <v>0</v>
      </c>
      <c r="P10" s="459">
        <f>transport!P54</f>
        <v>0</v>
      </c>
      <c r="Q10" s="457">
        <f t="shared" si="0"/>
        <v>1478.2132252007409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1186.8435452701101</v>
      </c>
      <c r="C14" s="465"/>
      <c r="D14" s="465">
        <f>'SEAP template'!E25</f>
        <v>2258.6790904846698</v>
      </c>
      <c r="E14" s="465"/>
      <c r="F14" s="465"/>
      <c r="G14" s="465"/>
      <c r="H14" s="465"/>
      <c r="I14" s="465"/>
      <c r="J14" s="465"/>
      <c r="K14" s="465"/>
      <c r="L14" s="465"/>
      <c r="M14" s="465"/>
      <c r="N14" s="465"/>
      <c r="O14" s="465"/>
      <c r="P14" s="466"/>
      <c r="Q14" s="457">
        <f t="shared" si="0"/>
        <v>3445.5226357547799</v>
      </c>
    </row>
    <row r="15" spans="1:17" s="470" customFormat="1">
      <c r="A15" s="467" t="s">
        <v>567</v>
      </c>
      <c r="B15" s="468">
        <f ca="1">SUM(B4:B14)</f>
        <v>82883.398730283574</v>
      </c>
      <c r="C15" s="468">
        <f t="shared" ref="C15:Q15" ca="1" si="1">SUM(C4:C14)</f>
        <v>45301.446428571428</v>
      </c>
      <c r="D15" s="468">
        <f t="shared" ca="1" si="1"/>
        <v>113856.4870931918</v>
      </c>
      <c r="E15" s="468">
        <f t="shared" si="1"/>
        <v>15654.319660953566</v>
      </c>
      <c r="F15" s="468">
        <f t="shared" ca="1" si="1"/>
        <v>77385.322845502378</v>
      </c>
      <c r="G15" s="468">
        <f t="shared" si="1"/>
        <v>55672.565860235853</v>
      </c>
      <c r="H15" s="468">
        <f t="shared" si="1"/>
        <v>9998.9947869922726</v>
      </c>
      <c r="I15" s="468">
        <f t="shared" si="1"/>
        <v>0</v>
      </c>
      <c r="J15" s="468">
        <f t="shared" si="1"/>
        <v>1487.2325225756756</v>
      </c>
      <c r="K15" s="468">
        <f t="shared" si="1"/>
        <v>0</v>
      </c>
      <c r="L15" s="468">
        <f t="shared" ca="1" si="1"/>
        <v>0</v>
      </c>
      <c r="M15" s="468">
        <f t="shared" si="1"/>
        <v>2968.5693747763548</v>
      </c>
      <c r="N15" s="468">
        <f t="shared" ca="1" si="1"/>
        <v>41763.796358243999</v>
      </c>
      <c r="O15" s="468">
        <f t="shared" si="1"/>
        <v>176.65666666666667</v>
      </c>
      <c r="P15" s="468">
        <f t="shared" si="1"/>
        <v>705.4666666666667</v>
      </c>
      <c r="Q15" s="468">
        <f t="shared" ca="1" si="1"/>
        <v>447854.25699466019</v>
      </c>
    </row>
    <row r="17" spans="1:17">
      <c r="A17" s="471" t="s">
        <v>568</v>
      </c>
      <c r="B17" s="777">
        <f ca="1">huishoudens!B10</f>
        <v>0.20738946853024667</v>
      </c>
      <c r="C17" s="777">
        <f ca="1">huishoudens!C10</f>
        <v>0.23734719917883412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5815.2300778712142</v>
      </c>
      <c r="C22" s="458">
        <f t="shared" ref="C22:C32" ca="1" si="3">C4*$C$17</f>
        <v>0</v>
      </c>
      <c r="D22" s="458">
        <f t="shared" ref="D22:D32" si="4">D4*$D$17</f>
        <v>14222.031900204172</v>
      </c>
      <c r="E22" s="458">
        <f t="shared" ref="E22:E32" si="5">E4*$E$17</f>
        <v>2907.3706301728034</v>
      </c>
      <c r="F22" s="458">
        <f t="shared" ref="F22:F32" si="6">F4*$F$17</f>
        <v>5043.3123827544796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27987.944991002671</v>
      </c>
    </row>
    <row r="23" spans="1:17">
      <c r="A23" s="457" t="s">
        <v>155</v>
      </c>
      <c r="B23" s="458">
        <f t="shared" ca="1" si="2"/>
        <v>2483.4729086188845</v>
      </c>
      <c r="C23" s="458">
        <f t="shared" ca="1" si="3"/>
        <v>0</v>
      </c>
      <c r="D23" s="458">
        <f t="shared" ca="1" si="4"/>
        <v>2631.5849532808274</v>
      </c>
      <c r="E23" s="458">
        <f t="shared" si="5"/>
        <v>41.386347720420616</v>
      </c>
      <c r="F23" s="458">
        <f t="shared" ca="1" si="6"/>
        <v>684.89790278551209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5841.342112405644</v>
      </c>
    </row>
    <row r="24" spans="1:17">
      <c r="A24" s="457" t="s">
        <v>193</v>
      </c>
      <c r="B24" s="458">
        <f t="shared" ca="1" si="2"/>
        <v>216.79624004384158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216.79624004384158</v>
      </c>
    </row>
    <row r="25" spans="1:17">
      <c r="A25" s="457" t="s">
        <v>111</v>
      </c>
      <c r="B25" s="458">
        <f t="shared" ca="1" si="2"/>
        <v>1988.7489701046852</v>
      </c>
      <c r="C25" s="458">
        <f t="shared" ca="1" si="3"/>
        <v>10752.171428571426</v>
      </c>
      <c r="D25" s="458">
        <f t="shared" si="4"/>
        <v>382.29967950819628</v>
      </c>
      <c r="E25" s="458">
        <f t="shared" si="5"/>
        <v>27.430522028556851</v>
      </c>
      <c r="F25" s="458">
        <f t="shared" si="6"/>
        <v>8833.9545360515331</v>
      </c>
      <c r="G25" s="458">
        <f t="shared" si="7"/>
        <v>0</v>
      </c>
      <c r="H25" s="458">
        <f t="shared" si="8"/>
        <v>0</v>
      </c>
      <c r="I25" s="458">
        <f t="shared" si="9"/>
        <v>0</v>
      </c>
      <c r="J25" s="458">
        <f t="shared" si="10"/>
        <v>510.51856650541674</v>
      </c>
      <c r="K25" s="458">
        <f t="shared" si="11"/>
        <v>0</v>
      </c>
      <c r="L25" s="458">
        <f t="shared" si="12"/>
        <v>0</v>
      </c>
      <c r="M25" s="458">
        <f t="shared" si="13"/>
        <v>0</v>
      </c>
      <c r="N25" s="458">
        <f t="shared" si="14"/>
        <v>0</v>
      </c>
      <c r="O25" s="458">
        <f t="shared" si="15"/>
        <v>0</v>
      </c>
      <c r="P25" s="459">
        <f t="shared" si="16"/>
        <v>0</v>
      </c>
      <c r="Q25" s="457">
        <f t="shared" ca="1" si="17"/>
        <v>22495.123702769815</v>
      </c>
    </row>
    <row r="26" spans="1:17">
      <c r="A26" s="457" t="s">
        <v>655</v>
      </c>
      <c r="B26" s="458">
        <f t="shared" ca="1" si="2"/>
        <v>6438.0912056859888</v>
      </c>
      <c r="C26" s="458">
        <f t="shared" ca="1" si="3"/>
        <v>0</v>
      </c>
      <c r="D26" s="458">
        <f t="shared" si="4"/>
        <v>5305.7295719018957</v>
      </c>
      <c r="E26" s="458">
        <f t="shared" si="5"/>
        <v>533.42265164370895</v>
      </c>
      <c r="F26" s="458">
        <f t="shared" si="6"/>
        <v>6099.7163781576137</v>
      </c>
      <c r="G26" s="458">
        <f t="shared" si="7"/>
        <v>0</v>
      </c>
      <c r="H26" s="458">
        <f t="shared" si="8"/>
        <v>0</v>
      </c>
      <c r="I26" s="458">
        <f t="shared" si="9"/>
        <v>0</v>
      </c>
      <c r="J26" s="458">
        <f t="shared" si="10"/>
        <v>15.961746486372366</v>
      </c>
      <c r="K26" s="458">
        <f t="shared" si="11"/>
        <v>0</v>
      </c>
      <c r="L26" s="458">
        <f t="shared" si="12"/>
        <v>0</v>
      </c>
      <c r="M26" s="458">
        <f t="shared" si="13"/>
        <v>0</v>
      </c>
      <c r="N26" s="458">
        <f t="shared" si="14"/>
        <v>0</v>
      </c>
      <c r="O26" s="458">
        <f t="shared" si="15"/>
        <v>0</v>
      </c>
      <c r="P26" s="459">
        <f t="shared" si="16"/>
        <v>0</v>
      </c>
      <c r="Q26" s="457">
        <f t="shared" ca="1" si="17"/>
        <v>18392.921553875578</v>
      </c>
    </row>
    <row r="27" spans="1:17" s="463" customFormat="1">
      <c r="A27" s="461" t="s">
        <v>573</v>
      </c>
      <c r="B27" s="771">
        <f t="shared" ca="1" si="2"/>
        <v>0.66575824729577127</v>
      </c>
      <c r="C27" s="462">
        <f t="shared" ca="1" si="3"/>
        <v>0</v>
      </c>
      <c r="D27" s="462">
        <f t="shared" si="4"/>
        <v>1.1111116517484076</v>
      </c>
      <c r="E27" s="462">
        <f t="shared" si="5"/>
        <v>43.920411470970016</v>
      </c>
      <c r="F27" s="462">
        <f t="shared" si="6"/>
        <v>0</v>
      </c>
      <c r="G27" s="462">
        <f t="shared" si="7"/>
        <v>14486.711188191079</v>
      </c>
      <c r="H27" s="462">
        <f t="shared" si="8"/>
        <v>2489.749701961076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17022.158171522169</v>
      </c>
    </row>
    <row r="28" spans="1:17">
      <c r="A28" s="457" t="s">
        <v>563</v>
      </c>
      <c r="B28" s="458">
        <f t="shared" ca="1" si="2"/>
        <v>0</v>
      </c>
      <c r="C28" s="458">
        <f t="shared" ca="1" si="3"/>
        <v>0</v>
      </c>
      <c r="D28" s="458">
        <f t="shared" si="4"/>
        <v>0</v>
      </c>
      <c r="E28" s="458">
        <f t="shared" si="5"/>
        <v>0</v>
      </c>
      <c r="F28" s="458">
        <f t="shared" si="6"/>
        <v>0</v>
      </c>
      <c r="G28" s="458">
        <f t="shared" si="7"/>
        <v>377.86389649189539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377.86389649189539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246.1388520821219</v>
      </c>
      <c r="C32" s="458">
        <f t="shared" ca="1" si="3"/>
        <v>0</v>
      </c>
      <c r="D32" s="458">
        <f t="shared" si="4"/>
        <v>456.25317627790332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702.39202836002528</v>
      </c>
    </row>
    <row r="33" spans="1:17" s="470" customFormat="1">
      <c r="A33" s="467" t="s">
        <v>567</v>
      </c>
      <c r="B33" s="468">
        <f ca="1">SUM(B22:B32)</f>
        <v>17189.144012654029</v>
      </c>
      <c r="C33" s="468">
        <f t="shared" ref="C33:Q33" ca="1" si="18">SUM(C22:C32)</f>
        <v>10752.171428571426</v>
      </c>
      <c r="D33" s="468">
        <f t="shared" ca="1" si="18"/>
        <v>22999.010392824744</v>
      </c>
      <c r="E33" s="468">
        <f t="shared" si="18"/>
        <v>3553.5305630364596</v>
      </c>
      <c r="F33" s="468">
        <f t="shared" ca="1" si="18"/>
        <v>20661.881199749139</v>
      </c>
      <c r="G33" s="468">
        <f t="shared" si="18"/>
        <v>14864.575084682974</v>
      </c>
      <c r="H33" s="468">
        <f t="shared" si="18"/>
        <v>2489.749701961076</v>
      </c>
      <c r="I33" s="468">
        <f t="shared" si="18"/>
        <v>0</v>
      </c>
      <c r="J33" s="468">
        <f t="shared" si="18"/>
        <v>526.48031299178911</v>
      </c>
      <c r="K33" s="468">
        <f t="shared" si="18"/>
        <v>0</v>
      </c>
      <c r="L33" s="468">
        <f t="shared" ca="1" si="18"/>
        <v>0</v>
      </c>
      <c r="M33" s="468">
        <f t="shared" si="18"/>
        <v>0</v>
      </c>
      <c r="N33" s="468">
        <f t="shared" ca="1" si="18"/>
        <v>0</v>
      </c>
      <c r="O33" s="468">
        <f t="shared" si="18"/>
        <v>0</v>
      </c>
      <c r="P33" s="468">
        <f t="shared" si="18"/>
        <v>0</v>
      </c>
      <c r="Q33" s="468">
        <f t="shared" ca="1" si="18"/>
        <v>93036.542696471646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7450.105630039061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40.01250000000001</v>
      </c>
      <c r="C8" s="1034">
        <f>'SEAP template'!C76</f>
        <v>31671.000000000004</v>
      </c>
      <c r="D8" s="1034">
        <f>'SEAP template'!D76</f>
        <v>37259.999999999993</v>
      </c>
      <c r="E8" s="1034">
        <f>'SEAP template'!E76</f>
        <v>0</v>
      </c>
      <c r="F8" s="1034">
        <f>'SEAP template'!F76</f>
        <v>0</v>
      </c>
      <c r="G8" s="1034">
        <f>'SEAP template'!G76</f>
        <v>0</v>
      </c>
      <c r="H8" s="1034">
        <f>'SEAP template'!H76</f>
        <v>0</v>
      </c>
      <c r="I8" s="1034">
        <f>'SEAP template'!I76</f>
        <v>0</v>
      </c>
      <c r="J8" s="1034">
        <f>'SEAP template'!J76</f>
        <v>47.073529411764703</v>
      </c>
      <c r="K8" s="1034">
        <f>'SEAP template'!K76</f>
        <v>0</v>
      </c>
      <c r="L8" s="1034">
        <f>'SEAP template'!L76</f>
        <v>0</v>
      </c>
      <c r="M8" s="1034">
        <f>'SEAP template'!M76</f>
        <v>0</v>
      </c>
      <c r="N8" s="1034">
        <f>'SEAP template'!N76</f>
        <v>0</v>
      </c>
      <c r="O8" s="1034">
        <f>'SEAP template'!O76</f>
        <v>0</v>
      </c>
      <c r="P8" s="1035">
        <f>'SEAP template'!Q76</f>
        <v>7526.5199999999986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7490.1181300390608</v>
      </c>
      <c r="C10" s="1038">
        <f>SUM(C4:C9)</f>
        <v>31671.000000000004</v>
      </c>
      <c r="D10" s="1038">
        <f t="shared" ref="D10:H10" si="0">SUM(D8:D9)</f>
        <v>37259.999999999993</v>
      </c>
      <c r="E10" s="1038">
        <f t="shared" si="0"/>
        <v>0</v>
      </c>
      <c r="F10" s="1038">
        <f t="shared" si="0"/>
        <v>0</v>
      </c>
      <c r="G10" s="1038">
        <f t="shared" si="0"/>
        <v>0</v>
      </c>
      <c r="H10" s="1038">
        <f t="shared" si="0"/>
        <v>0</v>
      </c>
      <c r="I10" s="1038">
        <f>SUM(I8:I9)</f>
        <v>0</v>
      </c>
      <c r="J10" s="1038">
        <f>SUM(J8:J9)</f>
        <v>47.073529411764703</v>
      </c>
      <c r="K10" s="1038">
        <f t="shared" ref="K10:L10" si="1">SUM(K8:K9)</f>
        <v>0</v>
      </c>
      <c r="L10" s="1038">
        <f t="shared" si="1"/>
        <v>0</v>
      </c>
      <c r="M10" s="1038">
        <f>SUM(M8:M9)</f>
        <v>0</v>
      </c>
      <c r="N10" s="1038">
        <f>SUM(N8:N9)</f>
        <v>0</v>
      </c>
      <c r="O10" s="1038">
        <f>SUM(O8:O9)</f>
        <v>0</v>
      </c>
      <c r="P10" s="1038">
        <f>SUM(P8:P9)</f>
        <v>7526.5199999999986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0.20738946853024667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57.160714285714299</v>
      </c>
      <c r="C17" s="1040">
        <f>'SEAP template'!C87</f>
        <v>45244.28571428571</v>
      </c>
      <c r="D17" s="1035">
        <f>'SEAP template'!D87</f>
        <v>53228.571428571413</v>
      </c>
      <c r="E17" s="1035">
        <f>'SEAP template'!E87</f>
        <v>0</v>
      </c>
      <c r="F17" s="1035">
        <f>'SEAP template'!F87</f>
        <v>0</v>
      </c>
      <c r="G17" s="1035">
        <f>'SEAP template'!G87</f>
        <v>0</v>
      </c>
      <c r="H17" s="1035">
        <f>'SEAP template'!H87</f>
        <v>0</v>
      </c>
      <c r="I17" s="1035">
        <f>'SEAP template'!I87</f>
        <v>0</v>
      </c>
      <c r="J17" s="1035">
        <f>'SEAP template'!J87</f>
        <v>67.247899159663859</v>
      </c>
      <c r="K17" s="1035">
        <f>'SEAP template'!K87</f>
        <v>0</v>
      </c>
      <c r="L17" s="1035">
        <f>'SEAP template'!L87</f>
        <v>0</v>
      </c>
      <c r="M17" s="1035">
        <f>'SEAP template'!M87</f>
        <v>0</v>
      </c>
      <c r="N17" s="1035">
        <f>'SEAP template'!N87</f>
        <v>0</v>
      </c>
      <c r="O17" s="1035">
        <f>'SEAP template'!O87</f>
        <v>0</v>
      </c>
      <c r="P17" s="1035">
        <f>'SEAP template'!Q87</f>
        <v>10752.171428571426</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57.160714285714299</v>
      </c>
      <c r="C20" s="1038">
        <f>SUM(C17:C19)</f>
        <v>45244.28571428571</v>
      </c>
      <c r="D20" s="1038">
        <f t="shared" ref="D20:H20" si="2">SUM(D17:D19)</f>
        <v>53228.571428571413</v>
      </c>
      <c r="E20" s="1038">
        <f t="shared" si="2"/>
        <v>0</v>
      </c>
      <c r="F20" s="1038">
        <f t="shared" si="2"/>
        <v>0</v>
      </c>
      <c r="G20" s="1038">
        <f t="shared" si="2"/>
        <v>0</v>
      </c>
      <c r="H20" s="1038">
        <f t="shared" si="2"/>
        <v>0</v>
      </c>
      <c r="I20" s="1038">
        <f>SUM(I17:I19)</f>
        <v>0</v>
      </c>
      <c r="J20" s="1038">
        <f>SUM(J17:J19)</f>
        <v>67.247899159663859</v>
      </c>
      <c r="K20" s="1038">
        <f t="shared" ref="K20:L20" si="3">SUM(K17:K19)</f>
        <v>0</v>
      </c>
      <c r="L20" s="1038">
        <f t="shared" si="3"/>
        <v>0</v>
      </c>
      <c r="M20" s="1038">
        <f>SUM(M17:M19)</f>
        <v>0</v>
      </c>
      <c r="N20" s="1038">
        <f>SUM(N17:N19)</f>
        <v>0</v>
      </c>
      <c r="O20" s="1038">
        <f>SUM(O17:O19)</f>
        <v>0</v>
      </c>
      <c r="P20" s="1038">
        <f>SUM(P17:P19)</f>
        <v>10752.171428571426</v>
      </c>
    </row>
    <row r="22" spans="1:16">
      <c r="A22" s="471" t="s">
        <v>879</v>
      </c>
      <c r="B22" s="777" t="s">
        <v>873</v>
      </c>
      <c r="C22" s="777">
        <f ca="1">'EF ele_warmte'!B22</f>
        <v>0.23734719917883412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0.20738946853024667</v>
      </c>
      <c r="C17" s="508">
        <f ca="1">'EF ele_warmte'!B22</f>
        <v>0.23734719917883412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2020-06-20T16:15:21Z</dcterms:modified>
</cp:coreProperties>
</file>