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3\"/>
    </mc:Choice>
  </mc:AlternateContent>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16" i="5" l="1"/>
  <c r="AC17" i="5"/>
  <c r="AC18" i="5"/>
  <c r="AC19" i="5"/>
  <c r="AC20" i="5"/>
  <c r="AC21" i="5"/>
  <c r="AC22" i="5"/>
  <c r="AC23" i="5"/>
  <c r="AC24" i="5"/>
  <c r="AC15" i="5"/>
  <c r="Y15" i="5"/>
  <c r="E42" i="22" l="1"/>
  <c r="E78" i="22"/>
  <c r="E34" i="50"/>
  <c r="E32" i="50"/>
  <c r="E30" i="50"/>
  <c r="E28" i="50"/>
  <c r="P7" i="59" l="1"/>
  <c r="P6" i="59"/>
  <c r="P5" i="59"/>
  <c r="P4" i="59"/>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B45" i="18"/>
  <c r="I49" i="18" s="1"/>
  <c r="H17" i="18" s="1"/>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J9" i="18" s="1"/>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C45" i="18" s="1"/>
  <c r="M29" i="18"/>
  <c r="G22" i="18"/>
  <c r="F22" i="18"/>
  <c r="E22" i="18"/>
  <c r="D22" i="18"/>
  <c r="C22" i="18"/>
  <c r="L20" i="18"/>
  <c r="D20" i="18"/>
  <c r="B17" i="18"/>
  <c r="G12" i="18"/>
  <c r="F12" i="18"/>
  <c r="E12" i="18"/>
  <c r="D12" i="18"/>
  <c r="C12" i="18"/>
  <c r="L10" i="18"/>
  <c r="K10" i="18"/>
  <c r="G10" i="18"/>
  <c r="D10" i="18"/>
  <c r="B8" i="18"/>
  <c r="B6" i="18"/>
  <c r="B5" i="18"/>
  <c r="B4" i="18"/>
  <c r="I48" i="18" l="1"/>
  <c r="H8" i="18" s="1"/>
  <c r="H10" i="18" s="1"/>
  <c r="G48" i="18"/>
  <c r="F48" i="18"/>
  <c r="D48" i="18"/>
  <c r="C48" i="18"/>
  <c r="B48" i="18"/>
  <c r="C8" i="18" s="1"/>
  <c r="C10" i="18" s="1"/>
  <c r="H48" i="18"/>
  <c r="J8" i="18" s="1"/>
  <c r="J10" i="18" s="1"/>
  <c r="B20" i="18"/>
  <c r="B49" i="18"/>
  <c r="C17" i="18" s="1"/>
  <c r="C49" i="18"/>
  <c r="F49" i="18"/>
  <c r="G49" i="18"/>
  <c r="I17" i="18" s="1"/>
  <c r="F20" i="18"/>
  <c r="O18" i="18"/>
  <c r="H20" i="18"/>
  <c r="G20" i="18"/>
  <c r="K20" i="18"/>
  <c r="B10" i="18"/>
  <c r="O19" i="18"/>
  <c r="O9" i="18"/>
  <c r="I20" i="18"/>
  <c r="C20" i="18"/>
  <c r="D49" i="18"/>
  <c r="H49" i="18"/>
  <c r="E48" i="18"/>
  <c r="E8" i="18" s="1"/>
  <c r="E10" i="18" s="1"/>
  <c r="E49" i="18"/>
  <c r="E17" i="18" s="1"/>
  <c r="E20" i="18" s="1"/>
  <c r="N6" i="17"/>
  <c r="I8" i="18" l="1"/>
  <c r="I10" i="18" s="1"/>
  <c r="O8" i="18"/>
  <c r="O10" i="18" s="1"/>
  <c r="J17" i="18"/>
  <c r="J20" i="18" s="1"/>
  <c r="L6" i="17"/>
  <c r="F6" i="17"/>
  <c r="D6" i="17"/>
  <c r="C6" i="17"/>
  <c r="N16" i="16"/>
  <c r="L16" i="16"/>
  <c r="F16" i="16"/>
  <c r="D16" i="16"/>
  <c r="C16" i="16"/>
  <c r="B16" i="16"/>
  <c r="B13" i="15"/>
  <c r="O17" i="18" l="1"/>
  <c r="O20" i="18" s="1"/>
  <c r="J89" i="14"/>
  <c r="J19" i="59" s="1"/>
  <c r="I89" i="14"/>
  <c r="I19" i="59" s="1"/>
  <c r="F89" i="14"/>
  <c r="F19" i="59" s="1"/>
  <c r="J88" i="14"/>
  <c r="J18" i="59" s="1"/>
  <c r="H88" i="14"/>
  <c r="H18" i="59" s="1"/>
  <c r="J77" i="14"/>
  <c r="J9" i="59" s="1"/>
  <c r="M77" i="14"/>
  <c r="M9" i="59" s="1"/>
  <c r="I77" i="14"/>
  <c r="I9" i="59" s="1"/>
  <c r="F13" i="15"/>
  <c r="D13" i="15"/>
  <c r="C13" i="15"/>
  <c r="D88" i="14"/>
  <c r="D18" i="59" s="1"/>
  <c r="E77" i="14"/>
  <c r="E9" i="59" s="1"/>
  <c r="D77" i="14"/>
  <c r="D9" i="59" s="1"/>
  <c r="D5" i="17"/>
  <c r="B19" i="6"/>
  <c r="B18" i="6"/>
  <c r="B5" i="6"/>
  <c r="C29" i="14" s="1"/>
  <c r="B6" i="6"/>
  <c r="P7" i="48"/>
  <c r="O7" i="48"/>
  <c r="O25" i="48" s="1"/>
  <c r="M7" i="48"/>
  <c r="K7" i="48"/>
  <c r="K25" i="48" s="1"/>
  <c r="I7" i="48"/>
  <c r="H7" i="48"/>
  <c r="G7" i="48"/>
  <c r="G25" i="48" s="1"/>
  <c r="P10" i="48"/>
  <c r="O10" i="48"/>
  <c r="N10" i="48"/>
  <c r="N28" i="48" s="1"/>
  <c r="L10" i="48"/>
  <c r="K10" i="48"/>
  <c r="J10" i="48"/>
  <c r="J28" i="48" s="1"/>
  <c r="I10" i="48"/>
  <c r="H10" i="48"/>
  <c r="F10" i="48"/>
  <c r="F28" i="48" s="1"/>
  <c r="E10" i="48"/>
  <c r="D10" i="48"/>
  <c r="C10" i="48"/>
  <c r="P9" i="48"/>
  <c r="O9" i="48"/>
  <c r="N9" i="48"/>
  <c r="L9" i="48"/>
  <c r="K9" i="48"/>
  <c r="J9" i="48"/>
  <c r="I9" i="48"/>
  <c r="F9" i="48"/>
  <c r="C9" i="48"/>
  <c r="P13" i="48"/>
  <c r="O13" i="48"/>
  <c r="N13" i="48"/>
  <c r="L13" i="48"/>
  <c r="L31" i="48" s="1"/>
  <c r="K13" i="48"/>
  <c r="J13" i="48"/>
  <c r="I13" i="48"/>
  <c r="F13" i="48"/>
  <c r="E13" i="48"/>
  <c r="D13" i="48"/>
  <c r="D31" i="48" s="1"/>
  <c r="C13" i="48"/>
  <c r="B13" i="48"/>
  <c r="M8" i="48"/>
  <c r="K8" i="48"/>
  <c r="I8" i="48"/>
  <c r="H8" i="48"/>
  <c r="G8" i="48"/>
  <c r="B12" i="48"/>
  <c r="P17" i="48"/>
  <c r="O17" i="48"/>
  <c r="O32" i="48" s="1"/>
  <c r="N17" i="48"/>
  <c r="M17" i="48"/>
  <c r="L17" i="48"/>
  <c r="K17" i="48"/>
  <c r="K32" i="48" s="1"/>
  <c r="J17" i="48"/>
  <c r="I17" i="48"/>
  <c r="H17" i="48"/>
  <c r="G17" i="48"/>
  <c r="G32" i="48" s="1"/>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Q11" i="48" s="1"/>
  <c r="D11" i="48"/>
  <c r="C11" i="48"/>
  <c r="B11" i="48"/>
  <c r="P32" i="48"/>
  <c r="N32" i="48"/>
  <c r="M32" i="48"/>
  <c r="L32" i="48"/>
  <c r="J32" i="48"/>
  <c r="I32" i="48"/>
  <c r="H32" i="48"/>
  <c r="F32" i="48"/>
  <c r="E32" i="48"/>
  <c r="D30" i="48"/>
  <c r="N31" i="48"/>
  <c r="J31" i="48"/>
  <c r="I31" i="48"/>
  <c r="F31" i="48"/>
  <c r="E31" i="48"/>
  <c r="Q12" i="48"/>
  <c r="P29" i="48"/>
  <c r="N29" i="48"/>
  <c r="M29" i="48"/>
  <c r="L29" i="48"/>
  <c r="J29" i="48"/>
  <c r="I29" i="48"/>
  <c r="H29" i="48"/>
  <c r="F29" i="48"/>
  <c r="E29" i="48"/>
  <c r="D29" i="48"/>
  <c r="P28" i="48"/>
  <c r="O28" i="48"/>
  <c r="L28" i="48"/>
  <c r="K28" i="48"/>
  <c r="I28" i="48"/>
  <c r="H28" i="48"/>
  <c r="E28" i="48"/>
  <c r="D28" i="48"/>
  <c r="P27" i="48"/>
  <c r="N27" i="48"/>
  <c r="L27" i="48"/>
  <c r="J27" i="48"/>
  <c r="I27" i="48"/>
  <c r="F27" i="48"/>
  <c r="M26" i="48"/>
  <c r="K26" i="48"/>
  <c r="I26" i="48"/>
  <c r="H26" i="48"/>
  <c r="G26" i="48"/>
  <c r="P25" i="48"/>
  <c r="M25" i="48"/>
  <c r="I25" i="48"/>
  <c r="H25" i="48"/>
  <c r="M23" i="48"/>
  <c r="I23" i="48"/>
  <c r="H23" i="48"/>
  <c r="M22" i="48"/>
  <c r="K15" i="48"/>
  <c r="I22" i="48"/>
  <c r="O89" i="14"/>
  <c r="O19" i="59" s="1"/>
  <c r="N89" i="14"/>
  <c r="N19" i="59" s="1"/>
  <c r="M89" i="14"/>
  <c r="M19" i="59" s="1"/>
  <c r="L89" i="14"/>
  <c r="L19" i="59" s="1"/>
  <c r="L20" i="59" s="1"/>
  <c r="K89" i="14"/>
  <c r="K19" i="59" s="1"/>
  <c r="H89" i="14"/>
  <c r="H19" i="59" s="1"/>
  <c r="E89" i="14"/>
  <c r="E19" i="59" s="1"/>
  <c r="D89" i="14"/>
  <c r="D19" i="59" s="1"/>
  <c r="M88" i="14"/>
  <c r="M18" i="59" s="1"/>
  <c r="L88" i="14"/>
  <c r="L18" i="59" s="1"/>
  <c r="K88" i="14"/>
  <c r="K18" i="59" s="1"/>
  <c r="I88" i="14"/>
  <c r="I18" i="59" s="1"/>
  <c r="G88" i="14"/>
  <c r="G18" i="59" s="1"/>
  <c r="F88" i="14"/>
  <c r="F18" i="59" s="1"/>
  <c r="E88" i="14"/>
  <c r="O87" i="14"/>
  <c r="O17" i="59" s="1"/>
  <c r="N87" i="14"/>
  <c r="N17" i="59" s="1"/>
  <c r="L87" i="14"/>
  <c r="L17" i="59" s="1"/>
  <c r="K87" i="14"/>
  <c r="K17" i="59" s="1"/>
  <c r="H87" i="14"/>
  <c r="H17" i="59" s="1"/>
  <c r="H20" i="59" s="1"/>
  <c r="G87" i="14"/>
  <c r="G17" i="59" s="1"/>
  <c r="E87" i="14"/>
  <c r="E17" i="59" s="1"/>
  <c r="O77" i="14"/>
  <c r="O9" i="59" s="1"/>
  <c r="N77" i="14"/>
  <c r="N9" i="59" s="1"/>
  <c r="L77" i="14"/>
  <c r="K77" i="14"/>
  <c r="K9" i="59" s="1"/>
  <c r="G77" i="14"/>
  <c r="G9" i="59" s="1"/>
  <c r="O76" i="14"/>
  <c r="O8" i="59" s="1"/>
  <c r="O10" i="59" s="1"/>
  <c r="N76" i="14"/>
  <c r="N8" i="59" s="1"/>
  <c r="L76" i="14"/>
  <c r="L8" i="59" s="1"/>
  <c r="K76" i="14"/>
  <c r="H76" i="14"/>
  <c r="H8" i="59" s="1"/>
  <c r="G76" i="14"/>
  <c r="G8" i="59" s="1"/>
  <c r="E76" i="14"/>
  <c r="E8" i="59" s="1"/>
  <c r="B75" i="14"/>
  <c r="B7" i="59" s="1"/>
  <c r="B74" i="14"/>
  <c r="B6" i="59" s="1"/>
  <c r="B73" i="14"/>
  <c r="B5" i="59" s="1"/>
  <c r="B72" i="14"/>
  <c r="B4" i="59" s="1"/>
  <c r="C64" i="14"/>
  <c r="Q54" i="14"/>
  <c r="P54" i="14"/>
  <c r="P56" i="14" s="1"/>
  <c r="N54" i="14"/>
  <c r="L54" i="14"/>
  <c r="J54" i="14"/>
  <c r="I54" i="14"/>
  <c r="H54" i="14"/>
  <c r="H56" i="14" s="1"/>
  <c r="Q24" i="14"/>
  <c r="P24" i="14"/>
  <c r="N24" i="14"/>
  <c r="L24" i="14"/>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P22" i="14" s="1"/>
  <c r="O20" i="14"/>
  <c r="M20" i="14"/>
  <c r="L20" i="14"/>
  <c r="L22" i="14" s="1"/>
  <c r="K20" i="14"/>
  <c r="J20" i="14"/>
  <c r="G20" i="14"/>
  <c r="D20" i="14"/>
  <c r="D22" i="14" s="1"/>
  <c r="Q19" i="14"/>
  <c r="P19" i="14"/>
  <c r="O19" i="14"/>
  <c r="O22" i="14" s="1"/>
  <c r="M19" i="14"/>
  <c r="L19" i="14"/>
  <c r="K19" i="14"/>
  <c r="K22" i="14" s="1"/>
  <c r="J19" i="14"/>
  <c r="I19" i="14"/>
  <c r="G19" i="14"/>
  <c r="G22" i="14" s="1"/>
  <c r="F19" i="14"/>
  <c r="E19" i="14"/>
  <c r="D19" i="14"/>
  <c r="Q48" i="14"/>
  <c r="P48" i="14"/>
  <c r="O48" i="14"/>
  <c r="M48" i="14"/>
  <c r="L48" i="14"/>
  <c r="K48" i="14"/>
  <c r="J48" i="14"/>
  <c r="J52" i="14" s="1"/>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J46" i="14" s="1"/>
  <c r="J61" i="14" s="1"/>
  <c r="I40" i="14"/>
  <c r="H40" i="14"/>
  <c r="N10" i="14"/>
  <c r="L10" i="14"/>
  <c r="J10" i="14"/>
  <c r="I10" i="14"/>
  <c r="I16" i="14" s="1"/>
  <c r="H10" i="14"/>
  <c r="Q39" i="14"/>
  <c r="P39" i="14"/>
  <c r="O39" i="14"/>
  <c r="N39" i="14"/>
  <c r="M39" i="14"/>
  <c r="L39" i="14"/>
  <c r="L46" i="14" s="1"/>
  <c r="L61" i="14" s="1"/>
  <c r="K39" i="14"/>
  <c r="J39" i="14"/>
  <c r="I39" i="14"/>
  <c r="H39" i="14"/>
  <c r="G39" i="14"/>
  <c r="F39" i="14"/>
  <c r="E39" i="14"/>
  <c r="Q9" i="14"/>
  <c r="P9" i="14"/>
  <c r="O9" i="14"/>
  <c r="N9" i="14"/>
  <c r="M9" i="14"/>
  <c r="L9" i="14"/>
  <c r="K9" i="14"/>
  <c r="J9" i="14"/>
  <c r="I9" i="14"/>
  <c r="H9" i="14"/>
  <c r="G9" i="14"/>
  <c r="F9" i="14"/>
  <c r="E9" i="14"/>
  <c r="D9" i="14"/>
  <c r="C9" i="14"/>
  <c r="R90" i="14"/>
  <c r="R78" i="14"/>
  <c r="N56" i="14"/>
  <c r="L56" i="14"/>
  <c r="J56" i="14"/>
  <c r="Q56" i="14"/>
  <c r="I56" i="14"/>
  <c r="P52" i="14"/>
  <c r="O52" i="14"/>
  <c r="L52" i="14"/>
  <c r="K52" i="14"/>
  <c r="G52" i="14"/>
  <c r="I46" i="14"/>
  <c r="R44" i="14"/>
  <c r="N46" i="14"/>
  <c r="H46" i="14"/>
  <c r="Q26" i="14"/>
  <c r="I26" i="14"/>
  <c r="E25" i="14"/>
  <c r="E55" i="14" s="1"/>
  <c r="C25" i="14"/>
  <c r="B14" i="48" s="1"/>
  <c r="P26" i="14"/>
  <c r="N26" i="14"/>
  <c r="L26" i="14"/>
  <c r="J26" i="14"/>
  <c r="H26" i="14"/>
  <c r="Q22" i="14"/>
  <c r="M22" i="14"/>
  <c r="J22" i="14"/>
  <c r="L16" i="14"/>
  <c r="H16" i="14"/>
  <c r="R12" i="14"/>
  <c r="N16" i="14"/>
  <c r="J16" i="14"/>
  <c r="D14" i="48" l="1"/>
  <c r="D32" i="48" s="1"/>
  <c r="K78" i="14"/>
  <c r="K8" i="59"/>
  <c r="K10" i="59" s="1"/>
  <c r="E90" i="14"/>
  <c r="E18" i="59"/>
  <c r="E20" i="59" s="1"/>
  <c r="K20" i="59"/>
  <c r="E10" i="59"/>
  <c r="G10" i="59"/>
  <c r="N10" i="59"/>
  <c r="L78" i="14"/>
  <c r="L9" i="59"/>
  <c r="L10" i="59" s="1"/>
  <c r="N78" i="14"/>
  <c r="K90" i="14"/>
  <c r="L90" i="14"/>
  <c r="H90" i="14"/>
  <c r="L13" i="15"/>
  <c r="N13" i="15"/>
  <c r="F77" i="14"/>
  <c r="O78" i="14"/>
  <c r="N88" i="14"/>
  <c r="E78" i="14"/>
  <c r="H77" i="14"/>
  <c r="H9" i="59" s="1"/>
  <c r="H10" i="59" s="1"/>
  <c r="O88" i="14"/>
  <c r="G89" i="14"/>
  <c r="G78" i="14"/>
  <c r="G23" i="48"/>
  <c r="K23" i="48"/>
  <c r="K31" i="48"/>
  <c r="O31" i="48"/>
  <c r="K27" i="48"/>
  <c r="O27" i="48"/>
  <c r="G29" i="48"/>
  <c r="K29" i="48"/>
  <c r="O29" i="48"/>
  <c r="P31" i="48"/>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L27" i="14"/>
  <c r="L63" i="14" s="1"/>
  <c r="J27" i="14"/>
  <c r="J63" i="14"/>
  <c r="R9" i="14"/>
  <c r="R25" i="14"/>
  <c r="C89" i="14" l="1"/>
  <c r="C19" i="59" s="1"/>
  <c r="G19" i="59"/>
  <c r="G20" i="59" s="1"/>
  <c r="O90" i="14"/>
  <c r="O18" i="59"/>
  <c r="O20" i="59" s="1"/>
  <c r="N90" i="14"/>
  <c r="N18" i="59"/>
  <c r="N20" i="59" s="1"/>
  <c r="B77" i="14"/>
  <c r="B9" i="59" s="1"/>
  <c r="F9" i="59"/>
  <c r="Q89" i="14"/>
  <c r="P19" i="59" s="1"/>
  <c r="G90" i="14"/>
  <c r="C77" i="14"/>
  <c r="C9" i="59" s="1"/>
  <c r="Q88" i="14"/>
  <c r="P18" i="59" s="1"/>
  <c r="H78" i="14"/>
  <c r="Q77" i="14"/>
  <c r="P9" i="59" s="1"/>
  <c r="B88" i="14"/>
  <c r="B18" i="59" s="1"/>
  <c r="I87" i="14"/>
  <c r="I17" i="59" s="1"/>
  <c r="I20" i="59" s="1"/>
  <c r="F87" i="14"/>
  <c r="F76" i="14"/>
  <c r="B89" i="14"/>
  <c r="B19" i="59" s="1"/>
  <c r="D87" i="14"/>
  <c r="D17" i="59" s="1"/>
  <c r="D20" i="59" s="1"/>
  <c r="I76" i="14"/>
  <c r="I8" i="59" s="1"/>
  <c r="I10" i="59" s="1"/>
  <c r="M87" i="14"/>
  <c r="M76" i="14"/>
  <c r="D76" i="14"/>
  <c r="D8" i="59" s="1"/>
  <c r="D10" i="59" s="1"/>
  <c r="C88" i="14"/>
  <c r="C18" i="59" s="1"/>
  <c r="K33" i="48"/>
  <c r="M78" i="14" l="1"/>
  <c r="M8" i="59"/>
  <c r="M10" i="59" s="1"/>
  <c r="M90" i="14"/>
  <c r="M17" i="59"/>
  <c r="M20" i="59" s="1"/>
  <c r="F78" i="14"/>
  <c r="F8" i="59"/>
  <c r="F10" i="59" s="1"/>
  <c r="F90" i="14"/>
  <c r="F17" i="59"/>
  <c r="F20" i="59" s="1"/>
  <c r="I78" i="14"/>
  <c r="J76" i="14"/>
  <c r="J87" i="14"/>
  <c r="Q87" i="14"/>
  <c r="D90" i="14"/>
  <c r="Q76" i="14"/>
  <c r="D78" i="14"/>
  <c r="I90" i="14"/>
  <c r="Q78" i="14" l="1"/>
  <c r="B9" i="6" s="1"/>
  <c r="P8" i="59"/>
  <c r="P10" i="59" s="1"/>
  <c r="J78" i="14"/>
  <c r="J8" i="59"/>
  <c r="J10" i="59" s="1"/>
  <c r="J90" i="14"/>
  <c r="J17" i="59"/>
  <c r="J20" i="59" s="1"/>
  <c r="Q90" i="14"/>
  <c r="B17" i="6" s="1"/>
  <c r="P17" i="59"/>
  <c r="P20" i="59" s="1"/>
  <c r="B87" i="14"/>
  <c r="C76" i="14"/>
  <c r="B76" i="14"/>
  <c r="C87" i="14"/>
  <c r="C90" i="14" l="1"/>
  <c r="C17" i="59"/>
  <c r="C20" i="59" s="1"/>
  <c r="B78" i="14"/>
  <c r="B8" i="59"/>
  <c r="B10" i="59" s="1"/>
  <c r="C78" i="14"/>
  <c r="C8" i="59"/>
  <c r="C10" i="59" s="1"/>
  <c r="B90" i="14"/>
  <c r="B17" i="59"/>
  <c r="B20" i="59" s="1"/>
  <c r="B4" i="6" l="1"/>
  <c r="H14" i="15"/>
  <c r="H16" i="15" s="1"/>
  <c r="G14" i="15"/>
  <c r="G16" i="15" s="1"/>
  <c r="A32" i="23" l="1"/>
  <c r="A33" i="23"/>
  <c r="N25" i="22" l="1"/>
  <c r="N24" i="22"/>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11" i="22" l="1"/>
  <c r="E11" i="22"/>
  <c r="D9" i="22"/>
  <c r="D7" i="22"/>
  <c r="B8" i="22"/>
  <c r="D11" i="22"/>
  <c r="E10" i="22"/>
  <c r="H9" i="22"/>
  <c r="B9" i="22"/>
  <c r="E8" i="22"/>
  <c r="H7" i="22"/>
  <c r="B7" i="22"/>
  <c r="E6" i="22"/>
  <c r="H8" i="22"/>
  <c r="B6" i="22"/>
  <c r="H11" i="22"/>
  <c r="D10" i="22"/>
  <c r="D8" i="22"/>
  <c r="D6" i="22"/>
  <c r="H10" i="22"/>
  <c r="B10" i="22"/>
  <c r="E9" i="22"/>
  <c r="E7" i="22"/>
  <c r="H6" i="22"/>
  <c r="B52" i="22"/>
  <c r="C37" i="22"/>
  <c r="C73" i="22"/>
  <c r="B4" i="21" l="1"/>
  <c r="M15" i="19" l="1"/>
  <c r="M14" i="15" s="1"/>
  <c r="M16" i="15" s="1"/>
  <c r="O15" i="19"/>
  <c r="P15" i="19"/>
  <c r="E35" i="50" l="1"/>
  <c r="E33" i="50"/>
  <c r="E31" i="50"/>
  <c r="E29" i="50"/>
  <c r="B28" i="17" l="1"/>
  <c r="B27" i="17"/>
  <c r="B26" i="17"/>
  <c r="B31" i="19" l="1"/>
  <c r="B24" i="19"/>
  <c r="B69" i="13" l="1"/>
  <c r="B35" i="19" l="1"/>
  <c r="B26" i="19"/>
  <c r="B27" i="19" s="1"/>
  <c r="B6" i="13" l="1"/>
  <c r="B17" i="17" l="1"/>
  <c r="B34" i="17" l="1"/>
  <c r="B18" i="13" l="1"/>
  <c r="B19" i="13"/>
  <c r="B20" i="13"/>
  <c r="B21" i="13"/>
  <c r="B6" i="16" l="1"/>
  <c r="L5" i="17" l="1"/>
  <c r="A78" i="22"/>
  <c r="A77" i="22"/>
  <c r="A76" i="22"/>
  <c r="A75" i="22"/>
  <c r="A74" i="22"/>
  <c r="B64" i="22"/>
  <c r="B67" i="22" s="1"/>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D4" i="48" l="1"/>
  <c r="D22" i="48" s="1"/>
  <c r="E11" i="14"/>
  <c r="C24" i="14"/>
  <c r="C26" i="14" s="1"/>
  <c r="B7" i="48"/>
  <c r="P4" i="48"/>
  <c r="P22" i="48" s="1"/>
  <c r="Q11" i="14"/>
  <c r="O4" i="48"/>
  <c r="O22" i="48" s="1"/>
  <c r="P11" i="14"/>
  <c r="B4" i="48"/>
  <c r="C11" i="14"/>
  <c r="P5" i="48"/>
  <c r="Q10" i="14"/>
  <c r="B10" i="48"/>
  <c r="C19" i="14"/>
  <c r="D8" i="17"/>
  <c r="D12" i="17" s="1"/>
  <c r="E54" i="14" s="1"/>
  <c r="E56" i="14" s="1"/>
  <c r="B8" i="9"/>
  <c r="B6" i="48" s="1"/>
  <c r="Q6" i="48" s="1"/>
  <c r="C16" i="15"/>
  <c r="I14" i="15"/>
  <c r="I16" i="15" s="1"/>
  <c r="B13" i="16"/>
  <c r="C35" i="16"/>
  <c r="D14" i="15"/>
  <c r="P18" i="16"/>
  <c r="L18" i="16"/>
  <c r="L22" i="16" s="1"/>
  <c r="M43" i="14" s="1"/>
  <c r="N5" i="17"/>
  <c r="N8" i="17" s="1"/>
  <c r="J8" i="17"/>
  <c r="F8" i="17"/>
  <c r="L16" i="15"/>
  <c r="G6" i="22"/>
  <c r="G9" i="22"/>
  <c r="M6" i="22"/>
  <c r="M11" i="22"/>
  <c r="G11" i="22"/>
  <c r="G7" i="22"/>
  <c r="G8" i="22"/>
  <c r="M8" i="22"/>
  <c r="G10" i="22"/>
  <c r="M7" i="22"/>
  <c r="M10" i="22"/>
  <c r="M9" i="22"/>
  <c r="B7" i="15"/>
  <c r="O5" i="16"/>
  <c r="B38" i="13"/>
  <c r="B50" i="13" s="1"/>
  <c r="B11" i="15"/>
  <c r="B11" i="16"/>
  <c r="J19" i="19"/>
  <c r="N19" i="19"/>
  <c r="C18" i="16"/>
  <c r="D31" i="20"/>
  <c r="K19" i="19"/>
  <c r="I19" i="19"/>
  <c r="E31" i="20"/>
  <c r="L12" i="13"/>
  <c r="E8" i="16"/>
  <c r="K20" i="15"/>
  <c r="F19" i="19"/>
  <c r="L19" i="19"/>
  <c r="M12" i="13"/>
  <c r="C78" i="22"/>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P22" i="16" l="1"/>
  <c r="Q43" i="14" s="1"/>
  <c r="P8" i="48"/>
  <c r="P26" i="48" s="1"/>
  <c r="Q13" i="14"/>
  <c r="Q16" i="14"/>
  <c r="Q27" i="14" s="1"/>
  <c r="J7" i="48"/>
  <c r="J25" i="48" s="1"/>
  <c r="K24" i="14"/>
  <c r="K26" i="14" s="1"/>
  <c r="P23" i="48"/>
  <c r="P33" i="48" s="1"/>
  <c r="P15" i="48"/>
  <c r="O5" i="48"/>
  <c r="P10" i="14"/>
  <c r="F4" i="48"/>
  <c r="F22" i="48" s="1"/>
  <c r="G11" i="14"/>
  <c r="I18" i="14"/>
  <c r="H13" i="48"/>
  <c r="H31" i="48" s="1"/>
  <c r="M12" i="22"/>
  <c r="N18" i="14"/>
  <c r="M13" i="48"/>
  <c r="M31" i="48" s="1"/>
  <c r="H18" i="14"/>
  <c r="G13" i="48"/>
  <c r="F20" i="14"/>
  <c r="F22" i="14" s="1"/>
  <c r="E9" i="48"/>
  <c r="B9" i="48"/>
  <c r="C20" i="14"/>
  <c r="E20" i="14"/>
  <c r="E22" i="14" s="1"/>
  <c r="D9" i="48"/>
  <c r="D27" i="48" s="1"/>
  <c r="D24" i="14"/>
  <c r="D26" i="14" s="1"/>
  <c r="C7" i="48"/>
  <c r="C8" i="48"/>
  <c r="D13" i="14"/>
  <c r="F7" i="48"/>
  <c r="F25" i="48" s="1"/>
  <c r="G24" i="14"/>
  <c r="G26" i="14" s="1"/>
  <c r="L8" i="48"/>
  <c r="L26" i="48" s="1"/>
  <c r="M13" i="14"/>
  <c r="D7" i="48"/>
  <c r="E24" i="14"/>
  <c r="M10" i="14"/>
  <c r="L5" i="48"/>
  <c r="D10" i="14"/>
  <c r="C5" i="48"/>
  <c r="I20" i="15"/>
  <c r="H12" i="22"/>
  <c r="O18" i="16"/>
  <c r="B36" i="13"/>
  <c r="E8" i="17"/>
  <c r="G31" i="20"/>
  <c r="H48" i="14" s="1"/>
  <c r="G12" i="22"/>
  <c r="L8" i="17"/>
  <c r="D16" i="15"/>
  <c r="B34" i="13"/>
  <c r="B35" i="13"/>
  <c r="B47" i="13" s="1"/>
  <c r="D18" i="16"/>
  <c r="M51" i="22"/>
  <c r="M50" i="22" s="1"/>
  <c r="M54" i="22" s="1"/>
  <c r="G51" i="22"/>
  <c r="G50" i="22" s="1"/>
  <c r="G54" i="22" s="1"/>
  <c r="F12" i="17"/>
  <c r="G54" i="14" s="1"/>
  <c r="G56" i="14" s="1"/>
  <c r="M31" i="20"/>
  <c r="N48" i="14" s="1"/>
  <c r="H31" i="20"/>
  <c r="I48" i="14" s="1"/>
  <c r="M5" i="22"/>
  <c r="G5" i="22"/>
  <c r="G14" i="22" s="1"/>
  <c r="H5" i="22"/>
  <c r="E5" i="15"/>
  <c r="O20" i="15"/>
  <c r="P40" i="14" s="1"/>
  <c r="P20" i="15"/>
  <c r="Q40" i="14" s="1"/>
  <c r="Q46" i="14" s="1"/>
  <c r="Q61" i="14" s="1"/>
  <c r="Q63" i="14" s="1"/>
  <c r="J5" i="15"/>
  <c r="F5" i="15"/>
  <c r="F16" i="15" s="1"/>
  <c r="B5" i="15"/>
  <c r="B16" i="15" s="1"/>
  <c r="B5" i="16"/>
  <c r="B18" i="16" s="1"/>
  <c r="N5" i="15"/>
  <c r="N16" i="15" s="1"/>
  <c r="F12" i="13"/>
  <c r="G41" i="14" s="1"/>
  <c r="F13" i="16"/>
  <c r="E13" i="16"/>
  <c r="N13" i="16"/>
  <c r="J13" i="16"/>
  <c r="N12" i="16"/>
  <c r="J12" i="16"/>
  <c r="F12" i="16"/>
  <c r="E12" i="16"/>
  <c r="B46" i="13"/>
  <c r="E5" i="13" s="1"/>
  <c r="E8" i="13" s="1"/>
  <c r="B48" i="13"/>
  <c r="C48" i="13" s="1"/>
  <c r="N5" i="13" s="1"/>
  <c r="N8" i="13" s="1"/>
  <c r="C50" i="13"/>
  <c r="J5" i="13" s="1"/>
  <c r="J8" i="13" s="1"/>
  <c r="P13" i="14" l="1"/>
  <c r="O8" i="48"/>
  <c r="O26" i="48" s="1"/>
  <c r="P16" i="14"/>
  <c r="P27" i="14" s="1"/>
  <c r="F24" i="14"/>
  <c r="F26" i="14" s="1"/>
  <c r="E7" i="48"/>
  <c r="E25" i="48" s="1"/>
  <c r="O23" i="48"/>
  <c r="O33" i="48" s="1"/>
  <c r="O15" i="48"/>
  <c r="E12" i="13"/>
  <c r="F41" i="14" s="1"/>
  <c r="F11" i="14"/>
  <c r="E4" i="48"/>
  <c r="K11" i="14"/>
  <c r="J4" i="48"/>
  <c r="N4" i="48"/>
  <c r="N22" i="48" s="1"/>
  <c r="O11" i="14"/>
  <c r="R18" i="14"/>
  <c r="M14" i="22"/>
  <c r="M10" i="48"/>
  <c r="M28" i="48" s="1"/>
  <c r="N19" i="14"/>
  <c r="G10" i="48"/>
  <c r="H19" i="14"/>
  <c r="Q13" i="48"/>
  <c r="G31" i="48"/>
  <c r="G9" i="48"/>
  <c r="H20" i="14"/>
  <c r="N20" i="14"/>
  <c r="M9" i="48"/>
  <c r="E27" i="48"/>
  <c r="C22" i="14"/>
  <c r="N12" i="17"/>
  <c r="O54" i="14" s="1"/>
  <c r="O56" i="14" s="1"/>
  <c r="N7" i="48"/>
  <c r="N25" i="48" s="1"/>
  <c r="O24" i="14"/>
  <c r="O26" i="14" s="1"/>
  <c r="B8" i="48"/>
  <c r="C13" i="14"/>
  <c r="D22" i="16"/>
  <c r="E43" i="14" s="1"/>
  <c r="D8" i="48"/>
  <c r="D26" i="48" s="1"/>
  <c r="E13" i="14"/>
  <c r="L12" i="17"/>
  <c r="M54" i="14" s="1"/>
  <c r="M56" i="14" s="1"/>
  <c r="M24" i="14"/>
  <c r="M26" i="14" s="1"/>
  <c r="L7" i="48"/>
  <c r="L25" i="48" s="1"/>
  <c r="M16" i="14"/>
  <c r="D16" i="14"/>
  <c r="D27" i="14" s="1"/>
  <c r="B20" i="6" s="1"/>
  <c r="B22" i="6" s="1"/>
  <c r="C22" i="59" s="1"/>
  <c r="E26" i="14"/>
  <c r="D25" i="48"/>
  <c r="C15" i="48"/>
  <c r="C10" i="14"/>
  <c r="B5" i="48"/>
  <c r="G10" i="14"/>
  <c r="F5" i="48"/>
  <c r="E10" i="14"/>
  <c r="D5" i="48"/>
  <c r="L23" i="48"/>
  <c r="O10" i="14"/>
  <c r="N5" i="48"/>
  <c r="D20" i="15"/>
  <c r="E40" i="14" s="1"/>
  <c r="E46" i="14" s="1"/>
  <c r="E12" i="17"/>
  <c r="F54" i="14" s="1"/>
  <c r="F56" i="14" s="1"/>
  <c r="H14" i="22"/>
  <c r="E16" i="15"/>
  <c r="O22" i="16"/>
  <c r="P43" i="14" s="1"/>
  <c r="P46" i="14" s="1"/>
  <c r="P61" i="14" s="1"/>
  <c r="P63" i="14" s="1"/>
  <c r="J16" i="15"/>
  <c r="J20" i="15" s="1"/>
  <c r="K40" i="14" s="1"/>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M46" i="14" s="1"/>
  <c r="N52" i="14" l="1"/>
  <c r="N61" i="14" s="1"/>
  <c r="K10" i="14"/>
  <c r="J5" i="48"/>
  <c r="J23" i="48" s="1"/>
  <c r="E20" i="15"/>
  <c r="F40" i="14" s="1"/>
  <c r="F10" i="14"/>
  <c r="R10" i="14" s="1"/>
  <c r="E5" i="48"/>
  <c r="H22" i="14"/>
  <c r="H27" i="14" s="1"/>
  <c r="E22" i="48"/>
  <c r="Q4" i="48"/>
  <c r="R11" i="14"/>
  <c r="J22" i="48"/>
  <c r="N22" i="14"/>
  <c r="N27" i="14" s="1"/>
  <c r="N63" i="14" s="1"/>
  <c r="E61" i="14"/>
  <c r="R19" i="14"/>
  <c r="Q10" i="48"/>
  <c r="G28" i="48"/>
  <c r="H9" i="48"/>
  <c r="I20" i="14"/>
  <c r="M27" i="48"/>
  <c r="M33" i="48" s="1"/>
  <c r="M15" i="48"/>
  <c r="G15" i="48"/>
  <c r="G27" i="48"/>
  <c r="M61" i="14"/>
  <c r="M27" i="14"/>
  <c r="E16" i="14"/>
  <c r="E27" i="14" s="1"/>
  <c r="E63" i="14" s="1"/>
  <c r="L15" i="48"/>
  <c r="R24" i="14"/>
  <c r="R26" i="14" s="1"/>
  <c r="L33" i="48"/>
  <c r="Q7" i="48"/>
  <c r="D23" i="48"/>
  <c r="D33" i="48" s="1"/>
  <c r="D15" i="48"/>
  <c r="C16" i="14"/>
  <c r="C27" i="14" s="1"/>
  <c r="B3" i="6" s="1"/>
  <c r="B12" i="6" s="1"/>
  <c r="F23" i="48"/>
  <c r="N23" i="48"/>
  <c r="B15" i="48"/>
  <c r="F18" i="16"/>
  <c r="E18" i="16"/>
  <c r="N18" i="16"/>
  <c r="N22" i="16" s="1"/>
  <c r="O43" i="14" s="1"/>
  <c r="O46" i="14" s="1"/>
  <c r="O61" i="14" s="1"/>
  <c r="J18" i="16"/>
  <c r="G18" i="22"/>
  <c r="H50" i="14" s="1"/>
  <c r="H52" i="14" s="1"/>
  <c r="H61" i="14" s="1"/>
  <c r="H18" i="22"/>
  <c r="I50" i="14" s="1"/>
  <c r="I52" i="14" s="1"/>
  <c r="I61"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J22" i="16" l="1"/>
  <c r="K43" i="14" s="1"/>
  <c r="K46" i="14" s="1"/>
  <c r="K61" i="14" s="1"/>
  <c r="K13" i="14"/>
  <c r="K16" i="14" s="1"/>
  <c r="K27" i="14" s="1"/>
  <c r="J8" i="48"/>
  <c r="J26" i="48" s="1"/>
  <c r="J33" i="48" s="1"/>
  <c r="E8" i="48"/>
  <c r="E26" i="48" s="1"/>
  <c r="F13" i="14"/>
  <c r="F16" i="14" s="1"/>
  <c r="F27" i="14" s="1"/>
  <c r="E23" i="48"/>
  <c r="E33" i="48" s="1"/>
  <c r="Q5" i="48"/>
  <c r="E22" i="16"/>
  <c r="F43" i="14" s="1"/>
  <c r="F46" i="14" s="1"/>
  <c r="F61" i="14" s="1"/>
  <c r="H63" i="14"/>
  <c r="J15" i="48"/>
  <c r="G33" i="48"/>
  <c r="I22" i="14"/>
  <c r="I27" i="14" s="1"/>
  <c r="R20" i="14"/>
  <c r="R22" i="14" s="1"/>
  <c r="I63" i="14"/>
  <c r="H27" i="48"/>
  <c r="H33" i="48" s="1"/>
  <c r="H15" i="48"/>
  <c r="Q9" i="48"/>
  <c r="C55" i="14"/>
  <c r="R55" i="14" s="1"/>
  <c r="C12" i="59"/>
  <c r="M63" i="14"/>
  <c r="N8" i="48"/>
  <c r="O13" i="14"/>
  <c r="O16" i="14" s="1"/>
  <c r="O27" i="14" s="1"/>
  <c r="O63" i="14" s="1"/>
  <c r="G13" i="14"/>
  <c r="F8" i="48"/>
  <c r="C32" i="48"/>
  <c r="C27" i="48"/>
  <c r="C31" i="48"/>
  <c r="C26" i="48"/>
  <c r="C22" i="48"/>
  <c r="C24" i="48"/>
  <c r="C25" i="48"/>
  <c r="C28" i="48"/>
  <c r="C30" i="48"/>
  <c r="C29" i="48"/>
  <c r="C23" i="48"/>
  <c r="F22" i="16"/>
  <c r="G43" i="14" s="1"/>
  <c r="G46" i="14" s="1"/>
  <c r="G61" i="14" s="1"/>
  <c r="C12" i="13"/>
  <c r="D41" i="14" s="1"/>
  <c r="D46" i="14" s="1"/>
  <c r="D61" i="14" s="1"/>
  <c r="D63" i="14" s="1"/>
  <c r="F63" i="14" l="1"/>
  <c r="K63" i="14"/>
  <c r="E15" i="48"/>
  <c r="G16" i="14"/>
  <c r="G27" i="14" s="1"/>
  <c r="G63" i="14" s="1"/>
  <c r="R13" i="14"/>
  <c r="R16" i="14" s="1"/>
  <c r="R27" i="14" s="1"/>
  <c r="F26" i="48"/>
  <c r="F33" i="48" s="1"/>
  <c r="Q8" i="48"/>
  <c r="Q15" i="48" s="1"/>
  <c r="F15" i="48"/>
  <c r="N26" i="48"/>
  <c r="N33" i="48" s="1"/>
  <c r="N15" i="48"/>
  <c r="C33" i="48"/>
  <c r="B10" i="9"/>
  <c r="B12" i="9" s="1"/>
  <c r="B29" i="20"/>
  <c r="B31" i="20" s="1"/>
  <c r="C48" i="14" s="1"/>
  <c r="B20" i="16"/>
  <c r="B22" i="16" s="1"/>
  <c r="C43" i="14" s="1"/>
  <c r="R43" i="14" s="1"/>
  <c r="B18" i="15"/>
  <c r="B20" i="15" s="1"/>
  <c r="B10" i="17"/>
  <c r="B12" i="17" s="1"/>
  <c r="C54" i="14" s="1"/>
  <c r="B56" i="22"/>
  <c r="B58" i="22" s="1"/>
  <c r="C49" i="14" s="1"/>
  <c r="R49" i="14" s="1"/>
  <c r="B16" i="22"/>
  <c r="B18" i="22" s="1"/>
  <c r="C50" i="14" s="1"/>
  <c r="R50" i="14" s="1"/>
  <c r="B17" i="19"/>
  <c r="B19" i="19" s="1"/>
  <c r="C39" i="14" s="1"/>
  <c r="B17" i="49"/>
  <c r="B19" i="49" s="1"/>
  <c r="C42" i="14" s="1"/>
  <c r="R42" i="14" s="1"/>
  <c r="B10" i="13"/>
  <c r="R54" i="14" l="1"/>
  <c r="R56" i="14" s="1"/>
  <c r="C56" i="14"/>
  <c r="R39" i="14"/>
  <c r="C40" i="14"/>
  <c r="R40" i="14" s="1"/>
  <c r="B12" i="13"/>
  <c r="C41" i="14" s="1"/>
  <c r="R41" i="14" s="1"/>
  <c r="B17" i="48"/>
  <c r="C52" i="14"/>
  <c r="R48" i="14"/>
  <c r="R52" i="14" s="1"/>
  <c r="C46" i="14" l="1"/>
  <c r="C61" i="14" s="1"/>
  <c r="C63" i="14" s="1"/>
  <c r="R46" i="14"/>
  <c r="R61" i="14" s="1"/>
  <c r="B22" i="48"/>
  <c r="B26" i="48"/>
  <c r="Q26" i="48" s="1"/>
  <c r="B32" i="48"/>
  <c r="Q32" i="48" s="1"/>
  <c r="B24" i="48"/>
  <c r="Q24" i="48" s="1"/>
  <c r="B28" i="48"/>
  <c r="Q28" i="48" s="1"/>
  <c r="B30" i="48"/>
  <c r="Q30" i="48" s="1"/>
  <c r="B27" i="48"/>
  <c r="Q27" i="48" s="1"/>
  <c r="B25" i="48"/>
  <c r="Q25" i="48" s="1"/>
  <c r="B31" i="48"/>
  <c r="Q31" i="48" s="1"/>
  <c r="B29" i="48"/>
  <c r="Q29" i="48" s="1"/>
  <c r="B23" i="48"/>
  <c r="Q23" i="48" s="1"/>
  <c r="Q22" i="48" l="1"/>
  <c r="Q33" i="48" s="1"/>
  <c r="B33" i="48"/>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<sst xmlns="http://schemas.openxmlformats.org/spreadsheetml/2006/main" count="2465" uniqueCount="932">
  <si>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</si>
  <si>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</si>
  <si>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</si>
  <si>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</si>
  <si>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</si>
  <si>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</si>
  <si>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</si>
  <si>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</si>
  <si>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</si>
  <si>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</si>
  <si>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</si>
  <si>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</si>
  <si>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</si>
  <si>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</si>
  <si>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</si>
  <si>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</si>
  <si>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</si>
  <si>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</si>
  <si>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</si>
  <si>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</si>
  <si>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</si>
  <si>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</si>
  <si>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</si>
  <si>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</si>
  <si>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</si>
  <si>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</si>
  <si>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</si>
  <si>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</si>
  <si>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</si>
  <si>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</si>
  <si>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</si>
  <si>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</si>
  <si>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</si>
  <si>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</si>
  <si>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</si>
  <si>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</si>
  <si>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</si>
  <si>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</si>
  <si>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</si>
  <si>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</si>
  <si>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</si>
  <si>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</si>
  <si>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</si>
  <si>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</si>
  <si>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</si>
  <si>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</si>
  <si>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</si>
  <si>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</si>
  <si>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</si>
  <si>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</si>
  <si>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</si>
  <si>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</si>
  <si>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</si>
  <si>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</si>
  <si>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</si>
  <si>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</si>
  <si>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</si>
  <si>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</si>
  <si>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</si>
  <si>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</si>
  <si>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</si>
  <si>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</si>
  <si>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</si>
  <si>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</si>
  <si>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</si>
  <si>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</si>
  <si>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</si>
  <si>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</si>
  <si>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</si>
  <si>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</si>
  <si>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</si>
  <si>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</si>
  <si>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</si>
  <si>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</si>
  <si>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</si>
  <si>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</si>
  <si>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</si>
  <si>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</si>
  <si>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</si>
  <si>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</si>
  <si>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</si>
  <si>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</si>
  <si>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</si>
  <si>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</si>
  <si>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</si>
  <si>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</si>
  <si>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</si>
  <si>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</si>
  <si>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</si>
  <si>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</si>
  <si>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</si>
  <si>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</si>
  <si>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</si>
  <si>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</si>
  <si>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</si>
  <si>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</si>
  <si>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</si>
  <si>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</si>
  <si>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</si>
  <si>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</si>
  <si>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</si>
  <si>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</si>
  <si>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</si>
  <si>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</si>
  <si>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</si>
  <si>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</si>
  <si>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</si>
  <si>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</si>
  <si>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</si>
  <si>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</si>
  <si>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</si>
  <si>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</si>
  <si>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</si>
  <si>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</si>
  <si>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</si>
  <si>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</si>
  <si>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</si>
  <si>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</si>
  <si>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</si>
  <si>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</si>
  <si>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</si>
  <si>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</si>
  <si>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</si>
  <si>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</si>
  <si>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</si>
  <si>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</si>
  <si>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</si>
  <si>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</si>
  <si>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</si>
  <si>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</si>
  <si>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</si>
  <si>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</si>
  <si>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</si>
  <si>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</si>
  <si>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</si>
  <si>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</si>
  <si>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</si>
  <si>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</si>
  <si>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</si>
  <si>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</si>
  <si>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</si>
  <si>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</si>
  <si>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</si>
  <si>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</si>
  <si>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</si>
  <si>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</si>
  <si>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</si>
  <si>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</si>
  <si>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</si>
  <si>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</si>
  <si>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</si>
  <si>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</si>
  <si>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</si>
  <si>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</si>
  <si>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</si>
  <si>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</si>
  <si>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</si>
  <si>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</si>
  <si>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</si>
  <si>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</si>
  <si>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</si>
  <si>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</si>
  <si>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</si>
  <si>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</si>
  <si>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</si>
  <si>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</si>
  <si>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</si>
  <si>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</si>
  <si>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</si>
  <si>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</si>
  <si>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</si>
  <si>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</si>
  <si>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</si>
  <si>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</si>
  <si>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</si>
  <si>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</si>
  <si>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</si>
  <si>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</si>
  <si>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</si>
  <si>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</si>
  <si>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</si>
  <si>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</si>
  <si>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</si>
  <si>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</si>
  <si>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</si>
  <si>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</si>
  <si>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</si>
  <si>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</si>
  <si>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</si>
  <si>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</si>
  <si>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</si>
  <si>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</si>
  <si>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</si>
  <si>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</si>
  <si>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</si>
  <si>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</si>
  <si>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</si>
  <si>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</si>
  <si>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</si>
  <si>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</si>
  <si>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</si>
  <si>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</si>
  <si>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</si>
  <si>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</si>
  <si>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</si>
  <si>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</si>
  <si>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</si>
  <si>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</si>
  <si>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</si>
  <si>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</si>
  <si>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</si>
  <si>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</si>
  <si>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</si>
  <si>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</si>
  <si>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</si>
  <si>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</si>
  <si>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</si>
  <si>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</si>
  <si>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</si>
  <si>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</si>
  <si>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</si>
  <si>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</si>
  <si>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</si>
  <si>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</si>
  <si>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</si>
  <si>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</si>
  <si>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</si>
  <si>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</si>
  <si>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</si>
  <si>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</si>
  <si>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</si>
  <si>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</si>
  <si>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</si>
  <si>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</si>
  <si>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</si>
  <si>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</si>
  <si>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</si>
  <si>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</si>
  <si>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</si>
  <si>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</si>
  <si>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</si>
  <si>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</si>
  <si>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</si>
  <si>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</si>
  <si>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</si>
  <si>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</si>
  <si>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</si>
  <si>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</si>
  <si>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</si>
  <si>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</si>
  <si>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</si>
  <si>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</si>
  <si>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</si>
  <si>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</si>
  <si>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</si>
  <si>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</si>
  <si>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</si>
  <si>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</si>
  <si>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</si>
  <si>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</si>
  <si>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</si>
  <si>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</si>
  <si>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</si>
  <si>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</si>
  <si>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</si>
  <si>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</si>
  <si>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</si>
  <si>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</si>
  <si>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</si>
  <si>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</si>
  <si>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</si>
  <si>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</si>
  <si>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</si>
  <si>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</si>
  <si>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</si>
  <si>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</si>
  <si>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</si>
  <si>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</si>
  <si>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</si>
  <si>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</si>
  <si>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</si>
  <si>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</si>
  <si>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</si>
  <si>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</si>
  <si>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</si>
  <si>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</si>
  <si>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</si>
  <si>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</si>
  <si>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</si>
  <si>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</si>
  <si>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</si>
  <si>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</si>
  <si>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</si>
  <si>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</si>
  <si>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</si>
  <si>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</si>
  <si>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</si>
  <si>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</si>
  <si>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</si>
  <si>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</si>
  <si>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</si>
  <si>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</si>
  <si>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</si>
  <si>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</si>
  <si>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</si>
  <si>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</si>
  <si>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</si>
  <si>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</si>
  <si>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</si>
  <si>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</si>
  <si>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</si>
  <si>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</si>
  <si>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</si>
  <si>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</si>
  <si>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</si>
  <si>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</si>
  <si>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</si>
  <si>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</si>
  <si>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</si>
  <si>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</si>
  <si>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</si>
  <si>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</si>
  <si>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</si>
  <si>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</si>
  <si>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</si>
  <si>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</si>
  <si>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</si>
  <si>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</si>
  <si>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</si>
  <si>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</si>
  <si>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</si>
  <si>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</si>
  <si>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</si>
  <si>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</si>
  <si>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</si>
  <si>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</si>
  <si>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</si>
  <si>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</si>
  <si>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</si>
  <si>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</si>
  <si>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</si>
  <si>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</si>
  <si>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</si>
  <si>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</si>
  <si>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</si>
  <si>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</si>
  <si>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</si>
  <si>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</si>
  <si>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</si>
  <si>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</si>
  <si>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</si>
  <si>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</si>
  <si>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</si>
  <si>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</si>
  <si>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</si>
  <si>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</si>
  <si>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</si>
  <si>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</si>
  <si>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</si>
  <si>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</si>
  <si>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</si>
  <si>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</si>
  <si>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</si>
  <si>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</si>
  <si>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</si>
  <si>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</si>
  <si>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</si>
  <si>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</si>
  <si>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</si>
  <si>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</si>
  <si>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</si>
  <si>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</si>
  <si>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</si>
  <si>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</si>
  <si>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</si>
  <si>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</si>
  <si>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</si>
  <si>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</si>
  <si>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</si>
  <si>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</si>
  <si>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</si>
  <si>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</si>
  <si>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</si>
  <si>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</si>
  <si>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</si>
  <si>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</si>
  <si>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</si>
  <si>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</si>
  <si>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</si>
  <si>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</si>
  <si>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</si>
  <si>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</si>
  <si>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</si>
  <si>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</si>
  <si>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</si>
  <si>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</si>
  <si>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</si>
  <si>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</si>
  <si>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</si>
  <si>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</si>
  <si>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</si>
  <si>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</si>
  <si>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</si>
  <si>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</si>
  <si>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</si>
  <si>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</si>
  <si>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</si>
  <si>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</si>
  <si>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</si>
  <si>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</si>
  <si>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</si>
  <si>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</si>
  <si>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</si>
  <si>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</si>
  <si>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</si>
  <si>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</si>
  <si>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</si>
  <si>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</si>
  <si>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</si>
  <si>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</si>
  <si>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</si>
  <si>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</si>
  <si>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</si>
  <si>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</si>
  <si>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</si>
  <si>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</si>
  <si>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</si>
  <si>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</si>
  <si>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</si>
  <si>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</si>
  <si>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</si>
  <si>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</si>
  <si>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</si>
  <si>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</si>
  <si>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</si>
  <si>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</si>
  <si>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</si>
  <si>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</si>
  <si>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</si>
  <si>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</si>
  <si>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</si>
  <si>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</si>
  <si>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</si>
  <si>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</si>
  <si>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</si>
  <si>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</si>
  <si>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</si>
  <si>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</si>
  <si>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</si>
  <si>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</si>
  <si>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</si>
  <si>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</si>
  <si>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</si>
  <si>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</si>
  <si>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</si>
  <si>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</si>
  <si>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</si>
  <si>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</si>
  <si>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</si>
  <si>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</si>
  <si>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</si>
  <si>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</si>
  <si>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</si>
  <si>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</si>
  <si>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</si>
  <si>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</si>
  <si>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</si>
  <si>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</si>
  <si>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</si>
  <si>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</si>
  <si>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</si>
  <si>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</si>
  <si>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</si>
  <si>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</si>
  <si>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</si>
  <si>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</si>
  <si>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</si>
  <si>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</si>
  <si>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</si>
  <si>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</si>
  <si>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</si>
  <si>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</si>
  <si>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</si>
  <si>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</si>
  <si>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</si>
  <si>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</si>
  <si>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</si>
  <si>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</si>
  <si>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</si>
  <si>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</si>
  <si>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</si>
  <si>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</si>
  <si>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</si>
  <si>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</si>
  <si>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</si>
  <si>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</si>
  <si>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</si>
  <si>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</si>
  <si>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</si>
  <si>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</si>
  <si>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</si>
  <si>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</si>
  <si>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</si>
  <si>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</si>
  <si>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</si>
  <si>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</si>
  <si>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</si>
  <si>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</si>
  <si>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</si>
  <si>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</si>
  <si>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</si>
  <si>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</si>
  <si>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</si>
  <si>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</si>
  <si>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</si>
  <si>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</si>
  <si>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</si>
  <si>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</si>
  <si>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</si>
  <si>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</si>
  <si>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</si>
  <si>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</si>
  <si>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</si>
  <si>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</si>
  <si>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</si>
  <si>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</si>
  <si>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</si>
  <si>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</si>
  <si>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</si>
  <si>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</si>
  <si>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</si>
  <si>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</si>
  <si>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</si>
  <si>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</si>
  <si>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</si>
  <si>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</si>
  <si>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</si>
  <si>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</si>
  <si>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</si>
  <si>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</si>
  <si>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</si>
  <si>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</si>
  <si>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</si>
  <si>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</si>
  <si>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</si>
  <si>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</si>
  <si>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</si>
  <si>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</si>
  <si>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</si>
  <si>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</si>
  <si>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</si>
  <si>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</si>
  <si>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</si>
  <si>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</si>
  <si>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</si>
  <si>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</si>
  <si>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</si>
  <si>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</si>
  <si>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</si>
  <si>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</si>
  <si>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</si>
  <si>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</si>
  <si>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</si>
  <si>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</si>
  <si>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</si>
  <si>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</si>
  <si>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</si>
  <si>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</si>
  <si>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</si>
  <si>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</si>
  <si>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</si>
  <si>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</si>
  <si>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</si>
  <si>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</si>
  <si>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</si>
  <si>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</si>
  <si>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</si>
  <si>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</si>
  <si>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</si>
  <si>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</si>
  <si>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</si>
  <si>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</si>
  <si>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</si>
  <si>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</si>
  <si>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</si>
  <si>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</si>
  <si>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</si>
  <si>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</si>
  <si>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</si>
  <si>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</si>
  <si>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</si>
  <si>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</si>
  <si>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</si>
  <si>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</si>
  <si>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</si>
  <si>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</si>
  <si>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</si>
  <si>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</si>
  <si>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</si>
  <si>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</si>
  <si>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</si>
  <si>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</si>
  <si>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</si>
  <si>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</si>
  <si>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</si>
  <si>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</si>
  <si>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</si>
  <si>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</si>
  <si>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</si>
  <si>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</si>
  <si>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</si>
  <si>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</si>
  <si>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</si>
  <si>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</si>
  <si>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</si>
  <si>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</si>
  <si>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</si>
  <si>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</si>
  <si>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</si>
  <si>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</si>
  <si>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</si>
  <si>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</si>
  <si>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</si>
  <si>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</si>
  <si>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</si>
  <si>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</si>
  <si>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</si>
  <si>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</si>
  <si>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</si>
  <si>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</si>
  <si>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</si>
  <si>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</si>
  <si>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</si>
  <si>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</si>
  <si>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</si>
  <si>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</si>
  <si>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</si>
  <si>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</si>
  <si>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</si>
  <si>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</si>
  <si>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</si>
  <si>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</si>
  <si>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</si>
  <si>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</si>
  <si>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</si>
  <si>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</si>
  <si>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</si>
  <si>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</si>
  <si>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</si>
  <si>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</si>
  <si>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</si>
  <si>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</si>
  <si>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</si>
  <si>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</si>
  <si>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</si>
  <si>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</si>
  <si>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</si>
  <si>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</si>
  <si>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</si>
  <si>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</si>
  <si>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</si>
  <si>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</si>
  <si>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</si>
  <si>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</si>
  <si>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</si>
  <si>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</si>
  <si>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</si>
  <si>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</si>
  <si>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</si>
  <si>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</si>
  <si>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</si>
  <si>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</si>
  <si>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</si>
  <si>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</si>
  <si>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</si>
  <si>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</si>
  <si>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</si>
  <si>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</si>
  <si>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</si>
  <si>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</si>
  <si>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</si>
  <si>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</si>
  <si>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</si>
  <si>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</si>
  <si>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</si>
  <si>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</si>
  <si>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</si>
  <si>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</si>
  <si>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</si>
  <si>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</si>
  <si>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</si>
  <si>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</si>
  <si>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</si>
  <si>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</si>
  <si>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</si>
  <si>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</si>
  <si>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</si>
  <si>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</si>
  <si>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</si>
  <si>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</si>
  <si>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</si>
  <si>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</si>
  <si>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</si>
  <si>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</si>
  <si>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</si>
  <si>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</si>
  <si>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</si>
  <si>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</si>
  <si>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</si>
  <si>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</si>
  <si>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</si>
  <si>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</si>
  <si>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</si>
  <si>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</si>
  <si>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</si>
  <si>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</si>
  <si>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</si>
  <si>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</si>
  <si>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</si>
  <si>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</si>
  <si>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</si>
  <si>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</si>
  <si>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</si>
  <si>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</si>
  <si>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</si>
  <si>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</si>
  <si>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</si>
  <si>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</si>
  <si>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</si>
  <si>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</si>
  <si>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</si>
  <si>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</si>
  <si>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</si>
  <si>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</si>
  <si>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</si>
  <si>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</si>
  <si>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</si>
  <si>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</si>
  <si>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</si>
  <si>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</si>
  <si>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</si>
  <si>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</si>
  <si>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</si>
  <si>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</si>
  <si>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</si>
  <si>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</si>
  <si>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</si>
  <si>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2013_04</t>
  </si>
  <si>
    <t>transport!A21</t>
  </si>
  <si>
    <t>transport!A28</t>
  </si>
  <si>
    <t>Caroline De Bosscher</t>
  </si>
  <si>
    <t xml:space="preserve">053 / 72 66 55 </t>
  </si>
  <si>
    <t xml:space="preserve">c.debosscher@vmm.be </t>
  </si>
  <si>
    <t>Wilfrid Degroot</t>
  </si>
  <si>
    <t>015 / 408 791</t>
  </si>
  <si>
    <t>Wilfrid.degroot@delijn.be</t>
  </si>
  <si>
    <t>De Lijn (2014)</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</si>
  <si>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</si>
  <si>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</si>
  <si>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</si>
  <si>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</si>
  <si>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</si>
  <si>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</si>
  <si>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</si>
  <si>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</si>
  <si>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</si>
  <si>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</si>
  <si>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</si>
  <si>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</si>
  <si>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</si>
  <si>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</si>
  <si>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</si>
  <si>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</si>
  <si>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</si>
  <si>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</si>
  <si>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</si>
  <si>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</si>
  <si>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</si>
  <si>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</si>
  <si>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</si>
  <si>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</si>
  <si>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</si>
  <si>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</si>
  <si>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</si>
  <si>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</si>
  <si>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</si>
  <si>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</si>
  <si>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</si>
  <si>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</si>
  <si>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</si>
  <si>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</si>
  <si>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</si>
  <si>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</si>
  <si>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</si>
  <si>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</si>
  <si>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</si>
  <si>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</si>
  <si>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</si>
  <si>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</si>
  <si>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</si>
  <si>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</si>
  <si>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</si>
  <si>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</si>
  <si>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</si>
  <si>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</si>
  <si>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</si>
  <si>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</si>
  <si>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</si>
  <si>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</si>
  <si>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</si>
  <si>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</si>
  <si>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</si>
  <si>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</si>
  <si>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</si>
  <si>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</si>
  <si>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</si>
  <si>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</si>
  <si>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</si>
  <si>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</si>
  <si>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</si>
  <si>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</si>
  <si>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</si>
  <si>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</si>
  <si>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</si>
  <si>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</si>
  <si>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</si>
  <si>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</si>
  <si>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</si>
  <si>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</si>
  <si>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</si>
  <si>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</si>
  <si>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</si>
  <si>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</si>
  <si>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</si>
  <si>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</si>
  <si>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</si>
  <si>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</si>
  <si>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</si>
  <si>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</si>
  <si>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</si>
  <si>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</si>
  <si>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</si>
  <si>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</si>
  <si>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</si>
  <si>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</si>
  <si>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</si>
  <si>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</si>
  <si>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</si>
  <si>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</si>
  <si>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</si>
  <si>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</si>
  <si>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</si>
  <si>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</si>
  <si>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</si>
  <si>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</si>
  <si>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</si>
  <si>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</si>
  <si>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</si>
  <si>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</si>
  <si>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</si>
  <si>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</si>
  <si>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</si>
  <si>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</si>
  <si>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</si>
  <si>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</si>
  <si>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</si>
  <si>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</si>
  <si>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</si>
  <si>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</si>
  <si>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</si>
  <si>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</si>
  <si>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</si>
  <si>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</si>
  <si>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</si>
  <si>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</si>
  <si>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</si>
  <si>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</si>
  <si>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</si>
  <si>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</si>
  <si>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</si>
  <si>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</si>
  <si>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</si>
  <si>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</si>
  <si>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</si>
  <si>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</si>
  <si>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</si>
  <si>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</si>
  <si>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</si>
  <si>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</si>
  <si>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</si>
  <si>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</si>
  <si>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</si>
  <si>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2013_09</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</si>
  <si>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</si>
  <si>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</si>
  <si>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</si>
  <si>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</si>
  <si>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</si>
  <si>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</si>
  <si>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</si>
  <si>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</si>
  <si>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</si>
  <si>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</si>
  <si>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</si>
  <si>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</si>
  <si>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</si>
  <si>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</si>
  <si>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</si>
  <si>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 huishoudens (hoofdverwarming, bijverwarming)</t>
  </si>
  <si>
    <t>huishoudens!B54</t>
  </si>
  <si>
    <t>versie: 2013_09</t>
  </si>
  <si>
    <t>verbruik biomassa andere industrie en papier en uitgeverijen</t>
  </si>
  <si>
    <t>NIET RESIDENTIEEL EPN</t>
  </si>
  <si>
    <t>13029</t>
  </si>
  <si>
    <t>OLEN</t>
  </si>
  <si>
    <t>Cultuurgrond (ha)</t>
  </si>
  <si>
    <t>Paarden&amp;pony's 200 - 600 kg</t>
  </si>
  <si>
    <t>Paarden&amp;pony's &lt; 200 kg</t>
  </si>
  <si>
    <t>Fluvius</t>
  </si>
  <si>
    <t>referentietaak LNE (2017); Jaarverslag De Lijn</t>
  </si>
  <si>
    <t>Reneco bvba - Serilge bvba</t>
  </si>
  <si>
    <t>Schrans 4, 2250 Olen</t>
  </si>
  <si>
    <t>WKK-0116 Reneco Serilge</t>
  </si>
  <si>
    <t>interne verbrandingsmotor</t>
  </si>
  <si>
    <t>WKK interne verbrandinsgmotor (gas)</t>
  </si>
  <si>
    <t>IVEKA</t>
  </si>
  <si>
    <t>Iveka</t>
  </si>
  <si>
    <t>Brusselsesteenweg 199 Blok A - 1 e verdiep , 9090 Melle</t>
  </si>
  <si>
    <t>BGS-0020 IOK Olen</t>
  </si>
  <si>
    <t>biogas - stortgas</t>
  </si>
  <si>
    <t>niet WKK interne verbrandingsmotor (gas)</t>
  </si>
  <si>
    <t>Rendelaar, 2250 Olen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</si>
</sst>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811">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71" fontId="3" fillId="9" borderId="15">
      <alignment horizontal="right" vertical="center"/>
    </xf>
    <xf numFmtId="171" fontId="3" fillId="9" borderId="15">
      <alignment horizontal="right" vertical="center"/>
    </xf>
    <xf numFmtId="171" fontId="3" fillId="9" borderId="15">
      <alignment horizontal="right" vertical="center"/>
    </xf>
    <xf numFmtId="167"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5"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15">
      <alignment vertical="center"/>
    </xf>
    <xf numFmtId="168" fontId="19" fillId="0" borderId="15">
      <alignment vertical="center"/>
    </xf>
    <xf numFmtId="168" fontId="19" fillId="0" borderId="15">
      <alignment vertical="center"/>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0" fontId="7"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5" fontId="29" fillId="59" borderId="184" applyNumberFormat="0" applyFont="0" applyBorder="0" applyAlignment="0" applyProtection="0">
      <alignment horizontal="right" vertical="center"/>
    </xf>
    <xf numFmtId="168" fontId="19" fillId="0" borderId="184">
      <alignment vertical="center"/>
    </xf>
    <xf numFmtId="168" fontId="19" fillId="0" borderId="184">
      <alignment vertical="center"/>
    </xf>
    <xf numFmtId="168" fontId="19" fillId="0" borderId="184">
      <alignment vertical="center"/>
    </xf>
    <xf numFmtId="171" fontId="26" fillId="8" borderId="184">
      <alignment horizontal="right" vertical="center"/>
    </xf>
    <xf numFmtId="171" fontId="26" fillId="8" borderId="184">
      <alignment horizontal="right" vertical="center"/>
    </xf>
    <xf numFmtId="171" fontId="26" fillId="8"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170" fontId="37" fillId="1" borderId="203" applyNumberFormat="0" applyProtection="0">
      <alignment horizontal="left" vertical="top"/>
    </xf>
    <xf numFmtId="170" fontId="7" fillId="0" borderId="0"/>
    <xf numFmtId="0" fontId="117" fillId="0" borderId="0"/>
    <xf numFmtId="49" fontId="29" fillId="0" borderId="204" applyNumberFormat="0" applyFont="0" applyFill="0" applyBorder="0" applyProtection="0">
      <alignment horizontal="left" vertical="center" indent="2"/>
    </xf>
    <xf numFmtId="4" fontId="29" fillId="0" borderId="204" applyFill="0" applyBorder="0" applyProtection="0">
      <alignment horizontal="right" vertical="center"/>
    </xf>
    <xf numFmtId="49" fontId="120" fillId="0" borderId="204" applyNumberFormat="0" applyFill="0" applyBorder="0" applyProtection="0">
      <alignment horizontal="left" vertical="center"/>
    </xf>
    <xf numFmtId="0" fontId="29" fillId="0" borderId="204" applyNumberFormat="0" applyFill="0" applyAlignment="0" applyProtection="0"/>
    <xf numFmtId="175" fontId="29" fillId="59" borderId="204" applyNumberFormat="0" applyFont="0" applyBorder="0" applyAlignment="0" applyProtection="0">
      <alignment horizontal="right" vertical="center"/>
    </xf>
    <xf numFmtId="168" fontId="19" fillId="0" borderId="204">
      <alignment vertical="center"/>
    </xf>
    <xf numFmtId="168" fontId="19" fillId="0" borderId="204">
      <alignment vertical="center"/>
    </xf>
    <xf numFmtId="168" fontId="19" fillId="0" borderId="204">
      <alignment vertical="center"/>
    </xf>
    <xf numFmtId="171" fontId="26" fillId="8" borderId="204">
      <alignment horizontal="right" vertical="center"/>
    </xf>
    <xf numFmtId="171" fontId="26" fillId="8" borderId="204">
      <alignment horizontal="right" vertical="center"/>
    </xf>
    <xf numFmtId="171" fontId="26" fillId="8"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0" fontId="37" fillId="1" borderId="23" applyNumberFormat="0" applyProtection="0">
      <alignment horizontal="left" vertical="top"/>
    </xf>
    <xf numFmtId="0" fontId="7" fillId="0" borderId="0"/>
    <xf numFmtId="0" fontId="7" fillId="0" borderId="0"/>
    <xf numFmtId="175" fontId="29" fillId="59" borderId="207" applyNumberFormat="0" applyFont="0" applyBorder="0" applyAlignment="0" applyProtection="0">
      <alignment horizontal="right" vertical="center"/>
    </xf>
    <xf numFmtId="171" fontId="26" fillId="8" borderId="207">
      <alignment horizontal="right" vertical="center"/>
    </xf>
    <xf numFmtId="175" fontId="29" fillId="59" borderId="208"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07">
      <alignment vertical="center"/>
    </xf>
    <xf numFmtId="171" fontId="1" fillId="9" borderId="207">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49" fontId="120" fillId="0" borderId="208" applyNumberFormat="0" applyFill="0" applyBorder="0" applyProtection="0">
      <alignment horizontal="left" vertical="center"/>
    </xf>
    <xf numFmtId="168" fontId="19" fillId="0" borderId="208">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0" fontId="7" fillId="0" borderId="0"/>
    <xf numFmtId="171" fontId="1" fillId="9" borderId="214">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07">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68" fontId="19" fillId="0" borderId="214">
      <alignment vertical="center"/>
    </xf>
    <xf numFmtId="171" fontId="26" fillId="8" borderId="212">
      <alignment horizontal="righ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0" fontId="29" fillId="0" borderId="210" applyNumberFormat="0" applyFill="0" applyAlignment="0" applyProtection="0"/>
    <xf numFmtId="171" fontId="1" fillId="9" borderId="210">
      <alignment horizontal="right" vertical="center"/>
    </xf>
    <xf numFmtId="171" fontId="1" fillId="9" borderId="214">
      <alignment horizontal="right" vertical="center"/>
    </xf>
    <xf numFmtId="171" fontId="1" fillId="9" borderId="214">
      <alignment horizontal="right" vertical="center"/>
    </xf>
    <xf numFmtId="170" fontId="37" fillId="1" borderId="211" applyNumberFormat="0" applyProtection="0">
      <alignment horizontal="left" vertical="top"/>
    </xf>
    <xf numFmtId="171" fontId="1" fillId="9" borderId="210">
      <alignment horizontal="right" vertical="center"/>
    </xf>
    <xf numFmtId="0" fontId="29" fillId="0" borderId="210" applyNumberFormat="0" applyFill="0" applyAlignment="0" applyProtection="0"/>
    <xf numFmtId="171" fontId="1" fillId="9" borderId="210">
      <alignment horizontal="right" vertical="center"/>
    </xf>
    <xf numFmtId="4" fontId="29" fillId="0" borderId="214" applyFill="0" applyBorder="0" applyProtection="0">
      <alignment horizontal="right" vertical="center"/>
    </xf>
    <xf numFmtId="49" fontId="120" fillId="0" borderId="212" applyNumberFormat="0" applyFill="0" applyBorder="0" applyProtection="0">
      <alignment horizontal="left" vertical="center"/>
    </xf>
    <xf numFmtId="49" fontId="120" fillId="0" borderId="210" applyNumberFormat="0" applyFill="0" applyBorder="0" applyProtection="0">
      <alignment horizontal="left" vertical="center"/>
    </xf>
    <xf numFmtId="49" fontId="29" fillId="0" borderId="210" applyNumberFormat="0" applyFont="0" applyFill="0" applyBorder="0" applyProtection="0">
      <alignment horizontal="left" vertical="center" indent="2"/>
    </xf>
    <xf numFmtId="171" fontId="26" fillId="8" borderId="207">
      <alignment horizontal="right" vertical="center"/>
    </xf>
    <xf numFmtId="171" fontId="1" fillId="9" borderId="210">
      <alignment horizontal="right" vertical="center"/>
    </xf>
    <xf numFmtId="171" fontId="1" fillId="9" borderId="214">
      <alignment horizontal="right" vertical="center"/>
    </xf>
    <xf numFmtId="171" fontId="26" fillId="8" borderId="214">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0" fontId="37" fillId="1" borderId="205" applyNumberFormat="0" applyProtection="0">
      <alignment horizontal="left" vertical="top"/>
    </xf>
    <xf numFmtId="170" fontId="37" fillId="1" borderId="211" applyNumberFormat="0" applyProtection="0">
      <alignment horizontal="left" vertical="top"/>
    </xf>
    <xf numFmtId="171" fontId="1" fillId="9" borderId="214">
      <alignment horizontal="right" vertical="center"/>
    </xf>
    <xf numFmtId="171" fontId="1" fillId="9" borderId="214">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14">
      <alignment vertical="center"/>
    </xf>
    <xf numFmtId="43" fontId="7" fillId="0" borderId="0" applyFont="0" applyFill="0" applyBorder="0" applyAlignment="0" applyProtection="0"/>
    <xf numFmtId="171" fontId="26" fillId="8" borderId="210">
      <alignment horizontal="right" vertical="center"/>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14">
      <alignment vertical="center"/>
    </xf>
    <xf numFmtId="0" fontId="49" fillId="40" borderId="0" applyNumberFormat="0" applyBorder="0" applyAlignment="0" applyProtection="0"/>
    <xf numFmtId="0" fontId="49" fillId="48" borderId="0" applyNumberFormat="0" applyBorder="0" applyAlignment="0" applyProtection="0"/>
    <xf numFmtId="0" fontId="49" fillId="52" borderId="0" applyNumberFormat="0" applyBorder="0" applyAlignment="0" applyProtection="0"/>
    <xf numFmtId="0" fontId="49" fillId="56" borderId="0" applyNumberFormat="0" applyBorder="0" applyAlignment="0" applyProtection="0"/>
    <xf numFmtId="171" fontId="1" fillId="9" borderId="207">
      <alignment horizontal="right" vertical="center"/>
    </xf>
    <xf numFmtId="171" fontId="1" fillId="9" borderId="207">
      <alignment horizontal="right" vertical="center"/>
    </xf>
    <xf numFmtId="4" fontId="29" fillId="0" borderId="212" applyFill="0" applyBorder="0" applyProtection="0">
      <alignment horizontal="right" vertical="center"/>
    </xf>
    <xf numFmtId="171" fontId="26" fillId="8" borderId="214">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1" fontId="1" fillId="9" borderId="214">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4">
      <alignment vertical="center"/>
    </xf>
    <xf numFmtId="171" fontId="26" fillId="8" borderId="210">
      <alignment horizontal="right" vertical="center"/>
    </xf>
    <xf numFmtId="168" fontId="19" fillId="0" borderId="210">
      <alignment vertical="center"/>
    </xf>
    <xf numFmtId="170" fontId="37" fillId="1" borderId="206" applyNumberFormat="0" applyProtection="0">
      <alignment horizontal="left" vertical="top"/>
    </xf>
    <xf numFmtId="170" fontId="37" fillId="1" borderId="209" applyNumberFormat="0" applyProtection="0">
      <alignment horizontal="left" vertical="top"/>
    </xf>
    <xf numFmtId="171" fontId="1" fillId="9" borderId="210">
      <alignment horizontal="right" vertical="center"/>
    </xf>
    <xf numFmtId="171" fontId="26" fillId="8" borderId="210">
      <alignment horizontal="right" vertical="center"/>
    </xf>
    <xf numFmtId="168" fontId="19" fillId="0" borderId="214">
      <alignment vertical="center"/>
    </xf>
    <xf numFmtId="0" fontId="29" fillId="0" borderId="210" applyNumberFormat="0" applyFill="0" applyAlignment="0" applyProtection="0"/>
    <xf numFmtId="168" fontId="19" fillId="0" borderId="214">
      <alignment vertical="center"/>
    </xf>
    <xf numFmtId="170" fontId="37" fillId="1" borderId="205" applyNumberFormat="0" applyProtection="0">
      <alignment horizontal="left" vertical="top"/>
    </xf>
    <xf numFmtId="171" fontId="26" fillId="8" borderId="207">
      <alignment horizontal="right" vertical="center"/>
    </xf>
    <xf numFmtId="49" fontId="29" fillId="0" borderId="208" applyNumberFormat="0" applyFont="0" applyFill="0" applyBorder="0" applyProtection="0">
      <alignment horizontal="left" vertical="center" indent="2"/>
    </xf>
    <xf numFmtId="171" fontId="1" fillId="9" borderId="207">
      <alignment horizontal="right" vertical="center"/>
    </xf>
    <xf numFmtId="171" fontId="1" fillId="9" borderId="210">
      <alignment horizontal="right" vertical="center"/>
    </xf>
    <xf numFmtId="168" fontId="19" fillId="0" borderId="207">
      <alignment vertical="center"/>
    </xf>
    <xf numFmtId="171" fontId="26" fillId="8" borderId="214">
      <alignment horizontal="right" vertical="center"/>
    </xf>
    <xf numFmtId="171" fontId="1" fillId="9" borderId="214">
      <alignment horizontal="right" vertical="center"/>
    </xf>
    <xf numFmtId="171" fontId="26" fillId="8" borderId="207">
      <alignment horizontal="right" vertical="center"/>
    </xf>
    <xf numFmtId="0" fontId="49" fillId="36" borderId="0" applyNumberFormat="0" applyBorder="0" applyAlignment="0" applyProtection="0"/>
    <xf numFmtId="171" fontId="1" fillId="9" borderId="214">
      <alignment horizontal="right" vertical="center"/>
    </xf>
    <xf numFmtId="171" fontId="1" fillId="9" borderId="210">
      <alignment horizontal="right" vertical="center"/>
    </xf>
    <xf numFmtId="0" fontId="7" fillId="0" borderId="0"/>
    <xf numFmtId="168" fontId="19" fillId="0" borderId="210">
      <alignment vertical="center"/>
    </xf>
    <xf numFmtId="49" fontId="29" fillId="0" borderId="210" applyNumberFormat="0" applyFont="0" applyFill="0" applyBorder="0" applyProtection="0">
      <alignment horizontal="left" vertical="center" indent="2"/>
    </xf>
    <xf numFmtId="4" fontId="29" fillId="0" borderId="208" applyFill="0" applyBorder="0" applyProtection="0">
      <alignment horizontal="right" vertical="center"/>
    </xf>
    <xf numFmtId="0" fontId="111" fillId="28" borderId="0" applyNumberFormat="0" applyBorder="0" applyAlignment="0" applyProtection="0"/>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4">
      <alignment horizontal="right" vertical="center"/>
    </xf>
    <xf numFmtId="4" fontId="29" fillId="0" borderId="207" applyFill="0" applyBorder="0" applyProtection="0">
      <alignment horizontal="right" vertical="center"/>
    </xf>
    <xf numFmtId="0" fontId="49" fillId="44" borderId="0" applyNumberFormat="0" applyBorder="0" applyAlignment="0" applyProtection="0"/>
    <xf numFmtId="171" fontId="1" fillId="9" borderId="210">
      <alignment horizontal="right" vertical="center"/>
    </xf>
    <xf numFmtId="171" fontId="26" fillId="8" borderId="214">
      <alignment horizontal="right" vertical="center"/>
    </xf>
    <xf numFmtId="171" fontId="1" fillId="9" borderId="210">
      <alignment horizontal="right" vertical="center"/>
    </xf>
    <xf numFmtId="0" fontId="29" fillId="0" borderId="208" applyNumberFormat="0" applyFill="0" applyAlignment="0" applyProtection="0"/>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26" fillId="8" borderId="214">
      <alignment horizontal="right" vertical="center"/>
    </xf>
    <xf numFmtId="49" fontId="120" fillId="0" borderId="210"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3" applyNumberFormat="0" applyProtection="0">
      <alignment horizontal="left" vertical="top"/>
    </xf>
    <xf numFmtId="168" fontId="19" fillId="0" borderId="210">
      <alignment vertical="center"/>
    </xf>
    <xf numFmtId="171" fontId="1" fillId="9" borderId="207">
      <alignment horizontal="right" vertical="center"/>
    </xf>
    <xf numFmtId="49" fontId="29" fillId="0" borderId="210" applyNumberFormat="0" applyFont="0" applyFill="0" applyBorder="0" applyProtection="0">
      <alignment horizontal="left" vertical="center" indent="2"/>
    </xf>
    <xf numFmtId="49" fontId="120" fillId="0" borderId="207" applyNumberFormat="0" applyFill="0" applyBorder="0" applyProtection="0">
      <alignment horizontal="left" vertical="center"/>
    </xf>
    <xf numFmtId="171" fontId="26" fillId="8" borderId="214">
      <alignment horizontal="right" vertical="center"/>
    </xf>
    <xf numFmtId="170" fontId="37" fillId="1" borderId="209" applyNumberFormat="0" applyProtection="0">
      <alignment horizontal="left" vertical="top"/>
    </xf>
    <xf numFmtId="171" fontId="1" fillId="9" borderId="210">
      <alignment horizontal="right" vertical="center"/>
    </xf>
    <xf numFmtId="171" fontId="26" fillId="8" borderId="212">
      <alignment horizontal="right" vertical="center"/>
    </xf>
    <xf numFmtId="171" fontId="1" fillId="9" borderId="207">
      <alignment horizontal="right" vertical="center"/>
    </xf>
    <xf numFmtId="170" fontId="37" fillId="1" borderId="205" applyNumberFormat="0" applyProtection="0">
      <alignment horizontal="left" vertical="top"/>
    </xf>
    <xf numFmtId="0" fontId="29" fillId="0" borderId="207" applyNumberFormat="0" applyFill="0" applyAlignment="0" applyProtection="0"/>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6" fillId="8" borderId="210">
      <alignment horizontal="right" vertical="center"/>
    </xf>
    <xf numFmtId="170" fontId="37" fillId="1" borderId="206" applyNumberFormat="0" applyProtection="0">
      <alignment horizontal="left" vertical="top"/>
    </xf>
    <xf numFmtId="171" fontId="26" fillId="8" borderId="210">
      <alignment horizontal="right" vertical="center"/>
    </xf>
    <xf numFmtId="49" fontId="29" fillId="0" borderId="208" applyNumberFormat="0" applyFont="0" applyFill="0" applyBorder="0" applyProtection="0">
      <alignment horizontal="left" vertical="center" indent="2"/>
    </xf>
    <xf numFmtId="0" fontId="29" fillId="0" borderId="208" applyNumberFormat="0" applyFill="0" applyAlignment="0" applyProtection="0"/>
    <xf numFmtId="171" fontId="1" fillId="9" borderId="208">
      <alignment horizontal="right" vertical="center"/>
    </xf>
    <xf numFmtId="49" fontId="120" fillId="0" borderId="208" applyNumberFormat="0" applyFill="0" applyBorder="0" applyProtection="0">
      <alignment horizontal="left" vertical="center"/>
    </xf>
    <xf numFmtId="171" fontId="26" fillId="8" borderId="208">
      <alignment horizontal="right" vertical="center"/>
    </xf>
    <xf numFmtId="4" fontId="29" fillId="0" borderId="208" applyFill="0" applyBorder="0" applyProtection="0">
      <alignment horizontal="right" vertical="center"/>
    </xf>
    <xf numFmtId="171" fontId="26" fillId="8" borderId="208">
      <alignment horizontal="right" vertical="center"/>
    </xf>
    <xf numFmtId="168" fontId="19" fillId="0" borderId="208">
      <alignment vertical="center"/>
    </xf>
    <xf numFmtId="175" fontId="29" fillId="59" borderId="208" applyNumberFormat="0" applyFont="0" applyBorder="0" applyAlignment="0" applyProtection="0">
      <alignment horizontal="right" vertical="center"/>
    </xf>
    <xf numFmtId="168" fontId="19" fillId="0" borderId="208">
      <alignment vertical="center"/>
    </xf>
    <xf numFmtId="168" fontId="19" fillId="0" borderId="208">
      <alignmen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7" fillId="1" borderId="205"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49" fontId="120" fillId="0" borderId="210" applyNumberFormat="0" applyFill="0" applyBorder="0" applyProtection="0">
      <alignment horizontal="left" vertical="center"/>
    </xf>
    <xf numFmtId="4" fontId="29" fillId="0" borderId="210"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2">
      <alignment vertical="center"/>
    </xf>
    <xf numFmtId="168" fontId="19" fillId="0" borderId="212">
      <alignment vertical="center"/>
    </xf>
    <xf numFmtId="171" fontId="1" fillId="9" borderId="210">
      <alignment horizontal="right" vertical="center"/>
    </xf>
    <xf numFmtId="170" fontId="37" fillId="1" borderId="211" applyNumberFormat="0" applyProtection="0">
      <alignment horizontal="left" vertical="top"/>
    </xf>
    <xf numFmtId="170" fontId="37" fillId="1" borderId="209" applyNumberFormat="0" applyProtection="0">
      <alignment horizontal="left" vertical="top"/>
    </xf>
    <xf numFmtId="168" fontId="19" fillId="0" borderId="207">
      <alignment vertical="center"/>
    </xf>
    <xf numFmtId="171" fontId="1" fillId="9" borderId="214">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9" applyNumberFormat="0" applyProtection="0">
      <alignment horizontal="left" vertical="top"/>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07">
      <alignment vertical="center"/>
    </xf>
    <xf numFmtId="171" fontId="1" fillId="9" borderId="210">
      <alignment horizontal="righ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1" fontId="1" fillId="9"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08">
      <alignment horizontal="right" vertical="center"/>
    </xf>
    <xf numFmtId="4" fontId="29"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6" fillId="8" borderId="208">
      <alignment horizontal="right" vertical="center"/>
    </xf>
    <xf numFmtId="168" fontId="19" fillId="0" borderId="208">
      <alignment vertical="center"/>
    </xf>
    <xf numFmtId="171" fontId="26" fillId="8" borderId="208">
      <alignment horizontal="right" vertical="center"/>
    </xf>
    <xf numFmtId="171" fontId="1" fillId="9" borderId="208">
      <alignment horizontal="right" vertical="center"/>
    </xf>
    <xf numFmtId="4" fontId="29" fillId="0" borderId="208" applyFill="0" applyBorder="0" applyProtection="0">
      <alignment horizontal="right" vertical="center"/>
    </xf>
    <xf numFmtId="175" fontId="29" fillId="59" borderId="208" applyNumberFormat="0" applyFont="0" applyBorder="0" applyAlignment="0" applyProtection="0">
      <alignment horizontal="right" vertical="center"/>
    </xf>
    <xf numFmtId="49" fontId="29"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9" fillId="0" borderId="208" applyNumberFormat="0" applyFill="0" applyAlignment="0" applyProtection="0"/>
    <xf numFmtId="168" fontId="19" fillId="0" borderId="208">
      <alignment vertical="center"/>
    </xf>
    <xf numFmtId="171" fontId="1" fillId="9" borderId="210">
      <alignment horizontal="right" vertical="center"/>
    </xf>
    <xf numFmtId="171" fontId="1" fillId="9" borderId="210">
      <alignment horizontal="right" vertical="center"/>
    </xf>
    <xf numFmtId="168" fontId="19" fillId="0" borderId="208">
      <alignment vertical="center"/>
    </xf>
    <xf numFmtId="49" fontId="120" fillId="0" borderId="208" applyNumberFormat="0" applyFill="0" applyBorder="0" applyProtection="0">
      <alignment horizontal="left" vertical="center"/>
    </xf>
    <xf numFmtId="168" fontId="19" fillId="0" borderId="208">
      <alignment vertical="center"/>
    </xf>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0">
      <alignment vertical="center"/>
    </xf>
    <xf numFmtId="49" fontId="120"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10">
      <alignment vertical="center"/>
    </xf>
    <xf numFmtId="175" fontId="29" fillId="59" borderId="207" applyNumberFormat="0" applyFont="0" applyBorder="0" applyAlignment="0" applyProtection="0">
      <alignment horizontal="right" vertical="center"/>
    </xf>
    <xf numFmtId="0" fontId="29" fillId="0" borderId="210" applyNumberFormat="0" applyFill="0" applyAlignment="0" applyProtection="0"/>
    <xf numFmtId="170" fontId="37" fillId="1" borderId="209" applyNumberFormat="0" applyProtection="0">
      <alignment horizontal="left" vertical="top"/>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71" fontId="26" fillId="8" borderId="207">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07">
      <alignment vertical="center"/>
    </xf>
    <xf numFmtId="4" fontId="29" fillId="0" borderId="214" applyFill="0" applyBorder="0" applyProtection="0">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9" fillId="59"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68" fontId="19" fillId="0" borderId="212">
      <alignment vertical="center"/>
    </xf>
    <xf numFmtId="4" fontId="29" fillId="0" borderId="210" applyFill="0" applyBorder="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26" fillId="8" borderId="207">
      <alignment horizontal="right" vertical="center"/>
    </xf>
    <xf numFmtId="171" fontId="1" fillId="9" borderId="207">
      <alignment horizontal="right" vertical="center"/>
    </xf>
    <xf numFmtId="168" fontId="19" fillId="0" borderId="207">
      <alignment vertical="center"/>
    </xf>
    <xf numFmtId="171" fontId="26" fillId="8" borderId="207">
      <alignment horizontal="right" vertical="center"/>
    </xf>
    <xf numFmtId="170" fontId="37" fillId="1" borderId="209" applyNumberFormat="0" applyProtection="0">
      <alignment horizontal="left" vertical="top"/>
    </xf>
    <xf numFmtId="171" fontId="1" fillId="9" borderId="207">
      <alignment horizontal="right" vertical="center"/>
    </xf>
    <xf numFmtId="0" fontId="29" fillId="0" borderId="207" applyNumberFormat="0" applyFill="0" applyAlignment="0" applyProtection="0"/>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10" applyFill="0" applyBorder="0" applyProtection="0">
      <alignment horizontal="right" vertical="center"/>
    </xf>
    <xf numFmtId="175" fontId="29" fillId="59"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9" applyNumberFormat="0" applyProtection="0">
      <alignment horizontal="left" vertical="top"/>
    </xf>
    <xf numFmtId="171" fontId="1" fillId="9" borderId="210">
      <alignment horizontal="righ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70" fontId="7" fillId="0" borderId="0"/>
    <xf numFmtId="171" fontId="1" fillId="9" borderId="210">
      <alignment horizontal="right" vertical="center"/>
    </xf>
    <xf numFmtId="171" fontId="1" fillId="9" borderId="214">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10" applyNumberFormat="0" applyFont="0" applyFill="0" applyBorder="0" applyProtection="0">
      <alignment horizontal="left" vertical="center" indent="2"/>
    </xf>
    <xf numFmtId="168" fontId="19" fillId="0" borderId="207">
      <alignmen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1" fontId="1" fillId="9" borderId="207">
      <alignment horizontal="right" vertical="center"/>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5" fontId="29" fillId="59"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120"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0" fontId="29" fillId="0" borderId="212"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0" fontId="7" fillId="0" borderId="0"/>
    <xf numFmtId="171" fontId="1" fillId="9" borderId="21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68" fontId="19" fillId="0" borderId="210">
      <alignment vertical="center"/>
    </xf>
    <xf numFmtId="0" fontId="29" fillId="0" borderId="210" applyNumberFormat="0" applyFill="0" applyAlignment="0" applyProtection="0"/>
    <xf numFmtId="170" fontId="37" fillId="1" borderId="211" applyNumberFormat="0" applyProtection="0">
      <alignment horizontal="left" vertical="top"/>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1" fontId="26" fillId="8" borderId="210">
      <alignment horizontal="right" vertical="center"/>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68" fontId="19" fillId="0" borderId="212">
      <alignmen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0" fontId="29" fillId="0" borderId="212" applyNumberFormat="0" applyFill="0" applyAlignment="0" applyProtection="0"/>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0" fontId="37" fillId="1" borderId="213" applyNumberFormat="0" applyProtection="0">
      <alignment horizontal="left" vertical="top"/>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49" fontId="120" fillId="0" borderId="212" applyNumberFormat="0" applyFill="0" applyBorder="0" applyProtection="0">
      <alignment horizontal="lef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0" fontId="29" fillId="0" borderId="210" applyNumberFormat="0" applyFill="0" applyAlignment="0" applyProtection="0"/>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7" fillId="0" borderId="0" applyFont="0" applyFill="0" applyBorder="0" applyAlignment="0" applyProtection="0"/>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68" fontId="19" fillId="0" borderId="210">
      <alignmen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120" fillId="0" borderId="210" applyNumberFormat="0" applyFill="0" applyBorder="0" applyProtection="0">
      <alignment horizontal="lef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29" fillId="0" borderId="210" applyNumberFormat="0" applyFont="0" applyFill="0" applyBorder="0" applyProtection="0">
      <alignment horizontal="left" vertical="center" indent="2"/>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0" fontId="29" fillId="0" borderId="210" applyNumberFormat="0" applyFill="0" applyAlignment="0" applyProtection="0"/>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43" fontId="7" fillId="0" borderId="0" applyFont="0" applyFill="0" applyBorder="0" applyAlignment="0" applyProtection="0"/>
    <xf numFmtId="170" fontId="6" fillId="0" borderId="2" applyNumberFormat="0" applyFill="0" applyAlignment="0" applyProtection="0"/>
  </cellStyleXfs>
  <cellXfs count="1331">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70" fontId="26" fillId="0" borderId="5" xfId="0" applyFont="1" applyFill="1" applyBorder="1" applyAlignment="1">
      <alignment horizontal="left" vertical="top" wrapText="1"/>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20" fillId="0" borderId="0" xfId="0" applyNumberFormat="1"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7" fillId="23" borderId="4" xfId="0" applyFont="1" applyFill="1" applyBorder="1"/>
    <xf numFmtId="170" fontId="97"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7"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8"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9" fontId="26" fillId="3" borderId="0" xfId="0" applyNumberFormat="1" applyFont="1" applyFill="1" applyBorder="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4" fillId="0" borderId="0" xfId="5" applyNumberFormat="1" applyFont="1" applyFill="1" applyBorder="1" applyAlignment="1">
      <alignment horizontal="right" wrapText="1"/>
    </xf>
    <xf numFmtId="174"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4" fontId="0" fillId="0" borderId="0" xfId="0" applyNumberFormat="1"/>
    <xf numFmtId="170" fontId="74" fillId="0" borderId="0" xfId="148" quotePrefix="1" applyAlignment="1" applyProtection="1"/>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9"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170"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0" fillId="0" borderId="0" xfId="0" applyNumberFormat="1" applyFont="1"/>
    <xf numFmtId="170"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0" fontId="74" fillId="0" borderId="0" xfId="148" quotePrefix="1" applyNumberFormat="1" applyAlignment="1" applyProtection="1"/>
    <xf numFmtId="168"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0" fillId="0" borderId="0" xfId="196" applyNumberFormat="1" applyFont="1" applyFill="1"/>
    <xf numFmtId="0" fontId="7" fillId="0" borderId="0" xfId="196" applyNumberFormat="1" applyFill="1"/>
    <xf numFmtId="170" fontId="0" fillId="0" borderId="121" xfId="0" applyFont="1" applyFill="1" applyBorder="1" applyAlignment="1">
      <alignment horizontal="right"/>
    </xf>
    <xf numFmtId="170" fontId="0" fillId="0" borderId="121" xfId="0" applyBorder="1" applyAlignment="1">
      <alignment horizontal="right"/>
    </xf>
    <xf numFmtId="9" fontId="0" fillId="0" borderId="0" xfId="52" applyFont="1"/>
    <xf numFmtId="170" fontId="26" fillId="0" borderId="121" xfId="0" applyFont="1" applyFill="1" applyBorder="1"/>
    <xf numFmtId="0" fontId="7" fillId="0" borderId="0" xfId="264"/>
    <xf numFmtId="170" fontId="74" fillId="0" borderId="0" xfId="148" applyAlignment="1" applyProtection="1"/>
    <xf numFmtId="0" fontId="26" fillId="24" borderId="0" xfId="197" applyNumberFormat="1" applyFont="1" applyFill="1"/>
    <xf numFmtId="0" fontId="26" fillId="25" borderId="0" xfId="197"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0" fontId="26" fillId="0" borderId="0" xfId="0" applyFont="1" applyBorder="1"/>
    <xf numFmtId="175"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0" fontId="0" fillId="60" borderId="186" xfId="0" applyFill="1" applyBorder="1" applyAlignment="1">
      <alignment horizontal="left" vertical="top" wrapText="1"/>
    </xf>
    <xf numFmtId="170"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170" fontId="0" fillId="0" borderId="0" xfId="0" applyFont="1"/>
    <xf numFmtId="11" fontId="7" fillId="0" borderId="0" xfId="264" applyNumberFormat="1"/>
    <xf numFmtId="178" fontId="117" fillId="0" borderId="0" xfId="52" applyNumberFormat="1" applyFont="1"/>
    <xf numFmtId="178" fontId="0" fillId="0" borderId="0" xfId="52" applyNumberFormat="1" applyFont="1" applyFill="1" applyBorder="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4" borderId="0" xfId="197" applyNumberFormat="1" applyFont="1" applyFill="1"/>
    <xf numFmtId="17" fontId="26" fillId="24" borderId="0" xfId="197" quotePrefix="1" applyNumberFormat="1" applyFont="1" applyFill="1"/>
    <xf numFmtId="9" fontId="26" fillId="0" borderId="0" xfId="0" applyNumberFormat="1" applyFont="1" applyFill="1" applyBorder="1"/>
    <xf numFmtId="11" fontId="0" fillId="0" borderId="0" xfId="0" applyNumberFormat="1" applyFill="1"/>
    <xf numFmtId="0" fontId="26" fillId="24" borderId="0" xfId="197" applyNumberFormat="1" applyFont="1" applyFill="1"/>
    <xf numFmtId="0" fontId="26" fillId="24" borderId="0" xfId="197" quotePrefix="1" applyNumberFormat="1" applyFont="1" applyFill="1"/>
    <xf numFmtId="2" fontId="0" fillId="0" borderId="0" xfId="0" applyNumberFormat="1" applyBorder="1"/>
    <xf numFmtId="170" fontId="26" fillId="0" borderId="0" xfId="0" applyFont="1" applyFill="1" applyBorder="1" applyAlignment="1">
      <alignment horizontal="left" vertical="top" wrapText="1"/>
    </xf>
    <xf numFmtId="11" fontId="7" fillId="0" borderId="0" xfId="196" applyNumberFormat="1" applyFill="1"/>
    <xf numFmtId="170" fontId="0" fillId="0" borderId="0" xfId="0"/>
    <xf numFmtId="170" fontId="74" fillId="0" borderId="0" xfId="148" quotePrefix="1" applyAlignment="1" applyProtection="1"/>
    <xf numFmtId="170" fontId="74" fillId="0" borderId="0" xfId="148" applyAlignment="1" applyProtection="1"/>
    <xf numFmtId="14" fontId="0" fillId="0" borderId="0" xfId="0" applyNumberFormat="1" applyFill="1"/>
    <xf numFmtId="170" fontId="0" fillId="0" borderId="0" xfId="0" applyFont="1"/>
    <xf numFmtId="0" fontId="26"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170" fontId="41" fillId="0" borderId="0" xfId="0"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28"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91" fillId="23" borderId="123" xfId="224" applyFont="1" applyFill="1" applyBorder="1"/>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179" fontId="0" fillId="0" borderId="111" xfId="4809" applyNumberFormat="1"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179" fontId="0" fillId="0" borderId="0" xfId="4809" applyNumberFormat="1" applyFont="1"/>
    <xf numFmtId="0" fontId="26" fillId="0" borderId="0" xfId="225" applyFont="1" applyBorder="1"/>
    <xf numFmtId="179" fontId="26" fillId="0" borderId="0" xfId="4809" applyNumberFormat="1" applyFont="1" applyBorder="1"/>
    <xf numFmtId="179" fontId="26" fillId="0" borderId="111" xfId="4809" applyNumberFormat="1"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4810" applyNumberFormat="1" applyFont="1" applyFill="1" applyBorder="1" applyAlignment="1">
      <alignment horizontal="left"/>
    </xf>
    <xf numFmtId="0" fontId="47" fillId="23" borderId="125" xfId="224" applyFont="1" applyFill="1" applyBorder="1" applyAlignment="1">
      <alignment horizontal="left"/>
    </xf>
    <xf numFmtId="0" fontId="7" fillId="0" borderId="0" xfId="220" applyNumberFormat="1"/>
    <xf numFmtId="179" fontId="0" fillId="0" borderId="0" xfId="4809" applyNumberFormat="1" applyFont="1" applyFill="1"/>
    <xf numFmtId="179" fontId="26" fillId="0" borderId="111" xfId="4809" applyNumberFormat="1" applyFont="1" applyFill="1" applyBorder="1"/>
    <xf numFmtId="3" fontId="26" fillId="0" borderId="111" xfId="225" applyNumberFormat="1" applyFont="1" applyBorder="1"/>
    <xf numFmtId="0" fontId="83" fillId="0" borderId="0" xfId="225" applyFont="1"/>
    <xf numFmtId="0" fontId="26" fillId="23" borderId="52" xfId="225" applyFont="1" applyFill="1" applyBorder="1"/>
    <xf numFmtId="0" fontId="6" fillId="0" borderId="0" xfId="225"/>
    <xf numFmtId="0" fontId="26" fillId="0" borderId="215" xfId="225" applyFont="1" applyBorder="1"/>
    <xf numFmtId="179" fontId="0" fillId="0" borderId="215" xfId="4809" applyNumberFormat="1" applyFont="1" applyBorder="1"/>
    <xf numFmtId="179" fontId="0" fillId="0" borderId="0" xfId="4809" applyNumberFormat="1" applyFont="1" applyBorder="1"/>
    <xf numFmtId="0" fontId="0" fillId="0" borderId="215" xfId="0" applyNumberFormat="1" applyBorder="1"/>
  </cellXfs>
  <cellStyles count="4811">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10" xfId="1560"/>
    <cellStyle name="2x indented GHG Textfiels 11" xfId="898"/>
    <cellStyle name="2x indented GHG Textfiels 2" xfId="271"/>
    <cellStyle name="2x indented GHG Textfiels 2 10" xfId="1375"/>
    <cellStyle name="2x indented GHG Textfiels 2 2" xfId="473"/>
    <cellStyle name="2x indented GHG Textfiels 2 2 2" xfId="740"/>
    <cellStyle name="2x indented GHG Textfiels 2 2 2 2" xfId="1063"/>
    <cellStyle name="2x indented GHG Textfiels 2 2 2 2 2" xfId="4003"/>
    <cellStyle name="2x indented GHG Textfiels 2 2 2 2 3" xfId="2764"/>
    <cellStyle name="2x indented GHG Textfiels 2 2 2 3" xfId="2445"/>
    <cellStyle name="2x indented GHG Textfiels 2 2 2 4" xfId="3684"/>
    <cellStyle name="2x indented GHG Textfiels 2 2 2 5" xfId="1526"/>
    <cellStyle name="2x indented GHG Textfiels 2 2 3" xfId="657"/>
    <cellStyle name="2x indented GHG Textfiels 2 2 3 2" xfId="3601"/>
    <cellStyle name="2x indented GHG Textfiels 2 2 3 3" xfId="2362"/>
    <cellStyle name="2x indented GHG Textfiels 2 2 3 4" xfId="4575"/>
    <cellStyle name="2x indented GHG Textfiels 2 2 4" xfId="423"/>
    <cellStyle name="2x indented GHG Textfiels 2 2 4 2" xfId="3387"/>
    <cellStyle name="2x indented GHG Textfiels 2 2 4 3" xfId="2148"/>
    <cellStyle name="2x indented GHG Textfiels 2 2 5" xfId="2185"/>
    <cellStyle name="2x indented GHG Textfiels 2 2 5 2" xfId="3424"/>
    <cellStyle name="2x indented GHG Textfiels 2 2 5 3" xfId="4456"/>
    <cellStyle name="2x indented GHG Textfiels 2 2 6" xfId="1827"/>
    <cellStyle name="2x indented GHG Textfiels 2 2 6 2" xfId="4307"/>
    <cellStyle name="2x indented GHG Textfiels 2 2 7" xfId="3066"/>
    <cellStyle name="2x indented GHG Textfiels 2 2 8" xfId="1429"/>
    <cellStyle name="2x indented GHG Textfiels 2 3" xfId="538"/>
    <cellStyle name="2x indented GHG Textfiels 2 3 2" xfId="1096"/>
    <cellStyle name="2x indented GHG Textfiels 2 3 2 2" xfId="4036"/>
    <cellStyle name="2x indented GHG Textfiels 2 3 2 3" xfId="2797"/>
    <cellStyle name="2x indented GHG Textfiels 2 3 3" xfId="2247"/>
    <cellStyle name="2x indented GHG Textfiels 2 3 3 2" xfId="3486"/>
    <cellStyle name="2x indented GHG Textfiels 2 3 3 3" xfId="4508"/>
    <cellStyle name="2x indented GHG Textfiels 2 3 4" xfId="1875"/>
    <cellStyle name="2x indented GHG Textfiels 2 3 5" xfId="3114"/>
    <cellStyle name="2x indented GHG Textfiels 2 3 6" xfId="1575"/>
    <cellStyle name="2x indented GHG Textfiels 2 4" xfId="840"/>
    <cellStyle name="2x indented GHG Textfiels 2 4 2" xfId="1160"/>
    <cellStyle name="2x indented GHG Textfiels 2 4 2 2" xfId="4100"/>
    <cellStyle name="2x indented GHG Textfiels 2 4 2 3" xfId="2861"/>
    <cellStyle name="2x indented GHG Textfiels 2 4 3" xfId="2544"/>
    <cellStyle name="2x indented GHG Textfiels 2 4 3 2" xfId="3783"/>
    <cellStyle name="2x indented GHG Textfiels 2 4 3 3" xfId="4681"/>
    <cellStyle name="2x indented GHG Textfiels 2 4 4" xfId="1939"/>
    <cellStyle name="2x indented GHG Textfiels 2 4 5" xfId="3178"/>
    <cellStyle name="2x indented GHG Textfiels 2 4 6" xfId="1639"/>
    <cellStyle name="2x indented GHG Textfiels 2 5" xfId="900"/>
    <cellStyle name="2x indented GHG Textfiels 2 5 2" xfId="1222"/>
    <cellStyle name="2x indented GHG Textfiels 2 5 2 2" xfId="4162"/>
    <cellStyle name="2x indented GHG Textfiels 2 5 2 3" xfId="2923"/>
    <cellStyle name="2x indented GHG Textfiels 2 5 3" xfId="2601"/>
    <cellStyle name="2x indented GHG Textfiels 2 5 3 2" xfId="3840"/>
    <cellStyle name="2x indented GHG Textfiels 2 5 3 3" xfId="4737"/>
    <cellStyle name="2x indented GHG Textfiels 2 5 4" xfId="2001"/>
    <cellStyle name="2x indented GHG Textfiels 2 5 5" xfId="3240"/>
    <cellStyle name="2x indented GHG Textfiels 2 5 6" xfId="1701"/>
    <cellStyle name="2x indented GHG Textfiels 2 6" xfId="721"/>
    <cellStyle name="2x indented GHG Textfiels 2 6 2" xfId="2426"/>
    <cellStyle name="2x indented GHG Textfiels 2 6 3" xfId="3665"/>
    <cellStyle name="2x indented GHG Textfiels 2 6 4" xfId="1506"/>
    <cellStyle name="2x indented GHG Textfiels 2 6 5" xfId="4630"/>
    <cellStyle name="2x indented GHG Textfiels 2 7" xfId="360"/>
    <cellStyle name="2x indented GHG Textfiels 2 7 2" xfId="3346"/>
    <cellStyle name="2x indented GHG Textfiels 2 7 3" xfId="2107"/>
    <cellStyle name="2x indented GHG Textfiels 2 8" xfId="1804"/>
    <cellStyle name="2x indented GHG Textfiels 2 8 2" xfId="4260"/>
    <cellStyle name="2x indented GHG Textfiels 2 9" xfId="3043"/>
    <cellStyle name="2x indented GHG Textfiels 3" xfId="299"/>
    <cellStyle name="2x indented GHG Textfiels 3 10" xfId="3005"/>
    <cellStyle name="2x indented GHG Textfiels 3 11" xfId="1323"/>
    <cellStyle name="2x indented GHG Textfiels 3 2" xfId="518"/>
    <cellStyle name="2x indented GHG Textfiels 3 2 2" xfId="768"/>
    <cellStyle name="2x indented GHG Textfiels 3 2 2 2" xfId="2473"/>
    <cellStyle name="2x indented GHG Textfiels 3 2 2 3" xfId="3712"/>
    <cellStyle name="2x indented GHG Textfiels 3 2 2 4" xfId="1554"/>
    <cellStyle name="2x indented GHG Textfiels 3 2 2 5" xfId="4658"/>
    <cellStyle name="2x indented GHG Textfiels 3 2 3" xfId="975"/>
    <cellStyle name="2x indented GHG Textfiels 3 2 3 2" xfId="3915"/>
    <cellStyle name="2x indented GHG Textfiels 3 2 3 3" xfId="2676"/>
    <cellStyle name="2x indented GHG Textfiels 3 2 4" xfId="2227"/>
    <cellStyle name="2x indented GHG Textfiels 3 2 4 2" xfId="3466"/>
    <cellStyle name="2x indented GHG Textfiels 3 2 4 3" xfId="4490"/>
    <cellStyle name="2x indented GHG Textfiels 3 2 5" xfId="1855"/>
    <cellStyle name="2x indented GHG Textfiels 3 2 5 2" xfId="4334"/>
    <cellStyle name="2x indented GHG Textfiels 3 2 6" xfId="3094"/>
    <cellStyle name="2x indented GHG Textfiels 3 2 7" xfId="1409"/>
    <cellStyle name="2x indented GHG Textfiels 3 3" xfId="576"/>
    <cellStyle name="2x indented GHG Textfiels 3 3 2" xfId="807"/>
    <cellStyle name="2x indented GHG Textfiels 3 3 2 2" xfId="1124"/>
    <cellStyle name="2x indented GHG Textfiels 3 3 2 2 2" xfId="4064"/>
    <cellStyle name="2x indented GHG Textfiels 3 3 2 2 3" xfId="2825"/>
    <cellStyle name="2x indented GHG Textfiels 3 3 2 3" xfId="3750"/>
    <cellStyle name="2x indented GHG Textfiels 3 3 2 4" xfId="2511"/>
    <cellStyle name="2x indented GHG Textfiels 3 3 3" xfId="450"/>
    <cellStyle name="2x indented GHG Textfiels 3 3 3 2" xfId="3403"/>
    <cellStyle name="2x indented GHG Textfiels 3 3 3 3" xfId="2164"/>
    <cellStyle name="2x indented GHG Textfiels 3 3 4" xfId="2285"/>
    <cellStyle name="2x indented GHG Textfiels 3 3 4 2" xfId="3524"/>
    <cellStyle name="2x indented GHG Textfiels 3 3 4 3" xfId="4535"/>
    <cellStyle name="2x indented GHG Textfiels 3 3 5" xfId="1903"/>
    <cellStyle name="2x indented GHG Textfiels 3 3 6" xfId="3142"/>
    <cellStyle name="2x indented GHG Textfiels 3 3 7" xfId="1603"/>
    <cellStyle name="2x indented GHG Textfiels 3 4" xfId="868"/>
    <cellStyle name="2x indented GHG Textfiels 3 4 2" xfId="1188"/>
    <cellStyle name="2x indented GHG Textfiels 3 4 2 2" xfId="4128"/>
    <cellStyle name="2x indented GHG Textfiels 3 4 2 3" xfId="2889"/>
    <cellStyle name="2x indented GHG Textfiels 3 4 3" xfId="2572"/>
    <cellStyle name="2x indented GHG Textfiels 3 4 3 2" xfId="3811"/>
    <cellStyle name="2x indented GHG Textfiels 3 4 3 3" xfId="4709"/>
    <cellStyle name="2x indented GHG Textfiels 3 4 4" xfId="1967"/>
    <cellStyle name="2x indented GHG Textfiels 3 4 5" xfId="3206"/>
    <cellStyle name="2x indented GHG Textfiels 3 4 6" xfId="1667"/>
    <cellStyle name="2x indented GHG Textfiels 3 5" xfId="928"/>
    <cellStyle name="2x indented GHG Textfiels 3 5 2" xfId="1250"/>
    <cellStyle name="2x indented GHG Textfiels 3 5 2 2" xfId="4190"/>
    <cellStyle name="2x indented GHG Textfiels 3 5 2 3" xfId="2951"/>
    <cellStyle name="2x indented GHG Textfiels 3 5 3" xfId="2629"/>
    <cellStyle name="2x indented GHG Textfiels 3 5 3 2" xfId="3868"/>
    <cellStyle name="2x indented GHG Textfiels 3 5 3 3" xfId="4765"/>
    <cellStyle name="2x indented GHG Textfiels 3 5 4" xfId="2029"/>
    <cellStyle name="2x indented GHG Textfiels 3 5 5" xfId="3268"/>
    <cellStyle name="2x indented GHG Textfiels 3 5 6" xfId="1729"/>
    <cellStyle name="2x indented GHG Textfiels 3 6" xfId="693"/>
    <cellStyle name="2x indented GHG Textfiels 3 6 2" xfId="2398"/>
    <cellStyle name="2x indented GHG Textfiels 3 6 3" xfId="3637"/>
    <cellStyle name="2x indented GHG Textfiels 3 6 4" xfId="1473"/>
    <cellStyle name="2x indented GHG Textfiels 3 6 5" xfId="4603"/>
    <cellStyle name="2x indented GHG Textfiels 3 7" xfId="624"/>
    <cellStyle name="2x indented GHG Textfiels 3 7 2" xfId="3571"/>
    <cellStyle name="2x indented GHG Textfiels 3 7 3" xfId="2332"/>
    <cellStyle name="2x indented GHG Textfiels 3 8" xfId="2056"/>
    <cellStyle name="2x indented GHG Textfiels 3 8 2" xfId="3295"/>
    <cellStyle name="2x indented GHG Textfiels 3 8 3" xfId="4390"/>
    <cellStyle name="2x indented GHG Textfiels 3 9" xfId="1765"/>
    <cellStyle name="2x indented GHG Textfiels 3 9 2" xfId="4289"/>
    <cellStyle name="2x indented GHG Textfiels 4" xfId="411"/>
    <cellStyle name="2x indented GHG Textfiels 4 2" xfId="645"/>
    <cellStyle name="2x indented GHG Textfiels 4 2 2" xfId="1026"/>
    <cellStyle name="2x indented GHG Textfiels 4 2 2 2" xfId="3966"/>
    <cellStyle name="2x indented GHG Textfiels 4 2 2 3" xfId="2727"/>
    <cellStyle name="2x indented GHG Textfiels 4 2 3" xfId="3591"/>
    <cellStyle name="2x indented GHG Textfiels 4 2 3 2" xfId="4571"/>
    <cellStyle name="2x indented GHG Textfiels 4 2 4" xfId="2352"/>
    <cellStyle name="2x indented GHG Textfiels 4 3" xfId="957"/>
    <cellStyle name="2x indented GHG Textfiels 4 3 2" xfId="3897"/>
    <cellStyle name="2x indented GHG Textfiels 4 3 3" xfId="2658"/>
    <cellStyle name="2x indented GHG Textfiels 4 4" xfId="2141"/>
    <cellStyle name="2x indented GHG Textfiels 4 4 2" xfId="3380"/>
    <cellStyle name="2x indented GHG Textfiels 4 4 3" xfId="4429"/>
    <cellStyle name="2x indented GHG Textfiels 4 5" xfId="1750"/>
    <cellStyle name="2x indented GHG Textfiels 4 5 2" xfId="4244"/>
    <cellStyle name="2x indented GHG Textfiels 4 6" xfId="2990"/>
    <cellStyle name="2x indented GHG Textfiels 4 7" xfId="1405"/>
    <cellStyle name="2x indented GHG Textfiels 5" xfId="398"/>
    <cellStyle name="2x indented GHG Textfiels 5 2" xfId="1018"/>
    <cellStyle name="2x indented GHG Textfiels 5 2 2" xfId="3958"/>
    <cellStyle name="2x indented GHG Textfiels 5 2 3" xfId="2719"/>
    <cellStyle name="2x indented GHG Textfiels 5 3" xfId="2131"/>
    <cellStyle name="2x indented GHG Textfiels 5 3 2" xfId="3370"/>
    <cellStyle name="2x indented GHG Textfiels 5 3 3" xfId="4425"/>
    <cellStyle name="2x indented GHG Textfiels 5 4" xfId="1351"/>
    <cellStyle name="2x indented GHG Textfiels 5 4 2" xfId="4259"/>
    <cellStyle name="2x indented GHG Textfiels 5 5" xfId="2980"/>
    <cellStyle name="2x indented GHG Textfiels 5 6" xfId="1279"/>
    <cellStyle name="2x indented GHG Textfiels 6" xfId="365"/>
    <cellStyle name="2x indented GHG Textfiels 6 2" xfId="1016"/>
    <cellStyle name="2x indented GHG Textfiels 6 2 2" xfId="3956"/>
    <cellStyle name="2x indented GHG Textfiels 6 2 3" xfId="2717"/>
    <cellStyle name="2x indented GHG Textfiels 6 3" xfId="2110"/>
    <cellStyle name="2x indented GHG Textfiels 6 3 2" xfId="3349"/>
    <cellStyle name="2x indented GHG Textfiels 6 3 3" xfId="4417"/>
    <cellStyle name="2x indented GHG Textfiels 6 4" xfId="1285"/>
    <cellStyle name="2x indented GHG Textfiels 6 5" xfId="2978"/>
    <cellStyle name="2x indented GHG Textfiels 6 6" xfId="1287"/>
    <cellStyle name="2x indented GHG Textfiels 7" xfId="599"/>
    <cellStyle name="2x indented GHG Textfiels 7 2" xfId="1029"/>
    <cellStyle name="2x indented GHG Textfiels 7 2 2" xfId="3969"/>
    <cellStyle name="2x indented GHG Textfiels 7 2 3" xfId="2730"/>
    <cellStyle name="2x indented GHG Textfiels 7 3" xfId="2308"/>
    <cellStyle name="2x indented GHG Textfiels 7 4" xfId="3547"/>
    <cellStyle name="2x indented GHG Textfiels 7 5" xfId="1332"/>
    <cellStyle name="2x indented GHG Textfiels 8" xfId="685"/>
    <cellStyle name="2x indented GHG Textfiels 8 2" xfId="3629"/>
    <cellStyle name="2x indented GHG Textfiels 8 3" xfId="2390"/>
    <cellStyle name="2x indented GHG Textfiels 9" xfId="1449"/>
    <cellStyle name="2x indented GHG Textfiels 9 2" xfId="4287"/>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1 2" xfId="418"/>
    <cellStyle name="60% - Accent2" xfId="179" builtinId="36" customBuiltin="1"/>
    <cellStyle name="60% - Accent2 2" xfId="381"/>
    <cellStyle name="60% - Accent3" xfId="183" builtinId="40" customBuiltin="1"/>
    <cellStyle name="60% - Accent3 2" xfId="432"/>
    <cellStyle name="60% - Accent4" xfId="187" builtinId="44" customBuiltin="1"/>
    <cellStyle name="60% - Accent4 2" xfId="382"/>
    <cellStyle name="60% - Accent5" xfId="191" builtinId="48" customBuiltin="1"/>
    <cellStyle name="60% - Accent5 2" xfId="383"/>
    <cellStyle name="60% - Accent6" xfId="195" builtinId="52" customBuiltin="1"/>
    <cellStyle name="60% - Accent6 2" xfId="384"/>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10" xfId="1491"/>
    <cellStyle name="Calc cel 2 2 11" xfId="510"/>
    <cellStyle name="Calc cel 2 2 2" xfId="277"/>
    <cellStyle name="Calc cel 2 2 2 10" xfId="1384"/>
    <cellStyle name="Calc cel 2 2 2 2" xfId="482"/>
    <cellStyle name="Calc cel 2 2 2 2 2" xfId="749"/>
    <cellStyle name="Calc cel 2 2 2 2 2 2" xfId="1071"/>
    <cellStyle name="Calc cel 2 2 2 2 2 2 2" xfId="4011"/>
    <cellStyle name="Calc cel 2 2 2 2 2 2 3" xfId="2772"/>
    <cellStyle name="Calc cel 2 2 2 2 2 3" xfId="2454"/>
    <cellStyle name="Calc cel 2 2 2 2 2 4" xfId="3693"/>
    <cellStyle name="Calc cel 2 2 2 2 2 5" xfId="1535"/>
    <cellStyle name="Calc cel 2 2 2 2 3" xfId="666"/>
    <cellStyle name="Calc cel 2 2 2 2 3 2" xfId="3610"/>
    <cellStyle name="Calc cel 2 2 2 2 3 3" xfId="2371"/>
    <cellStyle name="Calc cel 2 2 2 2 3 4" xfId="4584"/>
    <cellStyle name="Calc cel 2 2 2 2 4" xfId="448"/>
    <cellStyle name="Calc cel 2 2 2 2 4 2" xfId="3401"/>
    <cellStyle name="Calc cel 2 2 2 2 4 3" xfId="2162"/>
    <cellStyle name="Calc cel 2 2 2 2 5" xfId="2194"/>
    <cellStyle name="Calc cel 2 2 2 2 5 2" xfId="3433"/>
    <cellStyle name="Calc cel 2 2 2 2 5 3" xfId="4465"/>
    <cellStyle name="Calc cel 2 2 2 2 6" xfId="1836"/>
    <cellStyle name="Calc cel 2 2 2 2 6 2" xfId="4316"/>
    <cellStyle name="Calc cel 2 2 2 2 7" xfId="3075"/>
    <cellStyle name="Calc cel 2 2 2 2 8" xfId="1438"/>
    <cellStyle name="Calc cel 2 2 2 3" xfId="547"/>
    <cellStyle name="Calc cel 2 2 2 3 2" xfId="1105"/>
    <cellStyle name="Calc cel 2 2 2 3 2 2" xfId="4045"/>
    <cellStyle name="Calc cel 2 2 2 3 2 3" xfId="2806"/>
    <cellStyle name="Calc cel 2 2 2 3 3" xfId="2256"/>
    <cellStyle name="Calc cel 2 2 2 3 3 2" xfId="3495"/>
    <cellStyle name="Calc cel 2 2 2 3 3 3" xfId="4517"/>
    <cellStyle name="Calc cel 2 2 2 3 4" xfId="1884"/>
    <cellStyle name="Calc cel 2 2 2 3 5" xfId="3123"/>
    <cellStyle name="Calc cel 2 2 2 3 6" xfId="1584"/>
    <cellStyle name="Calc cel 2 2 2 4" xfId="849"/>
    <cellStyle name="Calc cel 2 2 2 4 2" xfId="1169"/>
    <cellStyle name="Calc cel 2 2 2 4 2 2" xfId="4109"/>
    <cellStyle name="Calc cel 2 2 2 4 2 3" xfId="2870"/>
    <cellStyle name="Calc cel 2 2 2 4 3" xfId="2553"/>
    <cellStyle name="Calc cel 2 2 2 4 3 2" xfId="3792"/>
    <cellStyle name="Calc cel 2 2 2 4 3 3" xfId="4690"/>
    <cellStyle name="Calc cel 2 2 2 4 4" xfId="1948"/>
    <cellStyle name="Calc cel 2 2 2 4 5" xfId="3187"/>
    <cellStyle name="Calc cel 2 2 2 4 6" xfId="1648"/>
    <cellStyle name="Calc cel 2 2 2 5" xfId="909"/>
    <cellStyle name="Calc cel 2 2 2 5 2" xfId="1231"/>
    <cellStyle name="Calc cel 2 2 2 5 2 2" xfId="4171"/>
    <cellStyle name="Calc cel 2 2 2 5 2 3" xfId="2932"/>
    <cellStyle name="Calc cel 2 2 2 5 3" xfId="2610"/>
    <cellStyle name="Calc cel 2 2 2 5 3 2" xfId="3849"/>
    <cellStyle name="Calc cel 2 2 2 5 3 3" xfId="4746"/>
    <cellStyle name="Calc cel 2 2 2 5 4" xfId="2010"/>
    <cellStyle name="Calc cel 2 2 2 5 5" xfId="3249"/>
    <cellStyle name="Calc cel 2 2 2 5 6" xfId="1710"/>
    <cellStyle name="Calc cel 2 2 2 6" xfId="730"/>
    <cellStyle name="Calc cel 2 2 2 6 2" xfId="2435"/>
    <cellStyle name="Calc cel 2 2 2 6 3" xfId="3674"/>
    <cellStyle name="Calc cel 2 2 2 6 4" xfId="1515"/>
    <cellStyle name="Calc cel 2 2 2 6 5" xfId="4639"/>
    <cellStyle name="Calc cel 2 2 2 7" xfId="613"/>
    <cellStyle name="Calc cel 2 2 2 7 2" xfId="3561"/>
    <cellStyle name="Calc cel 2 2 2 7 3" xfId="2322"/>
    <cellStyle name="Calc cel 2 2 2 8" xfId="1813"/>
    <cellStyle name="Calc cel 2 2 2 8 2" xfId="4235"/>
    <cellStyle name="Calc cel 2 2 2 9" xfId="3052"/>
    <cellStyle name="Calc cel 2 2 3" xfId="305"/>
    <cellStyle name="Calc cel 2 2 3 10" xfId="3031"/>
    <cellStyle name="Calc cel 2 2 3 11" xfId="1363"/>
    <cellStyle name="Calc cel 2 2 3 2" xfId="527"/>
    <cellStyle name="Calc cel 2 2 3 2 2" xfId="777"/>
    <cellStyle name="Calc cel 2 2 3 2 2 2" xfId="2482"/>
    <cellStyle name="Calc cel 2 2 3 2 2 3" xfId="3721"/>
    <cellStyle name="Calc cel 2 2 3 2 2 4" xfId="1564"/>
    <cellStyle name="Calc cel 2 2 3 2 2 5" xfId="4662"/>
    <cellStyle name="Calc cel 2 2 3 2 3" xfId="984"/>
    <cellStyle name="Calc cel 2 2 3 2 3 2" xfId="3924"/>
    <cellStyle name="Calc cel 2 2 3 2 3 3" xfId="2685"/>
    <cellStyle name="Calc cel 2 2 3 2 4" xfId="2236"/>
    <cellStyle name="Calc cel 2 2 3 2 4 2" xfId="3475"/>
    <cellStyle name="Calc cel 2 2 3 2 4 3" xfId="4497"/>
    <cellStyle name="Calc cel 2 2 3 2 5" xfId="1864"/>
    <cellStyle name="Calc cel 2 2 3 2 5 2" xfId="4343"/>
    <cellStyle name="Calc cel 2 2 3 2 6" xfId="3103"/>
    <cellStyle name="Calc cel 2 2 3 2 7" xfId="1418"/>
    <cellStyle name="Calc cel 2 2 3 3" xfId="587"/>
    <cellStyle name="Calc cel 2 2 3 3 2" xfId="817"/>
    <cellStyle name="Calc cel 2 2 3 3 2 2" xfId="1134"/>
    <cellStyle name="Calc cel 2 2 3 3 2 2 2" xfId="4074"/>
    <cellStyle name="Calc cel 2 2 3 3 2 2 3" xfId="2835"/>
    <cellStyle name="Calc cel 2 2 3 3 2 3" xfId="3760"/>
    <cellStyle name="Calc cel 2 2 3 3 2 4" xfId="2521"/>
    <cellStyle name="Calc cel 2 2 3 3 3" xfId="1000"/>
    <cellStyle name="Calc cel 2 2 3 3 3 2" xfId="3940"/>
    <cellStyle name="Calc cel 2 2 3 3 3 3" xfId="2701"/>
    <cellStyle name="Calc cel 2 2 3 3 4" xfId="2296"/>
    <cellStyle name="Calc cel 2 2 3 3 4 2" xfId="3535"/>
    <cellStyle name="Calc cel 2 2 3 3 4 3" xfId="4544"/>
    <cellStyle name="Calc cel 2 2 3 3 5" xfId="1913"/>
    <cellStyle name="Calc cel 2 2 3 3 6" xfId="3152"/>
    <cellStyle name="Calc cel 2 2 3 3 7" xfId="1613"/>
    <cellStyle name="Calc cel 2 2 3 4" xfId="878"/>
    <cellStyle name="Calc cel 2 2 3 4 2" xfId="1198"/>
    <cellStyle name="Calc cel 2 2 3 4 2 2" xfId="4138"/>
    <cellStyle name="Calc cel 2 2 3 4 2 3" xfId="2899"/>
    <cellStyle name="Calc cel 2 2 3 4 3" xfId="2582"/>
    <cellStyle name="Calc cel 2 2 3 4 3 2" xfId="3821"/>
    <cellStyle name="Calc cel 2 2 3 4 3 3" xfId="4719"/>
    <cellStyle name="Calc cel 2 2 3 4 4" xfId="1977"/>
    <cellStyle name="Calc cel 2 2 3 4 5" xfId="3216"/>
    <cellStyle name="Calc cel 2 2 3 4 6" xfId="1677"/>
    <cellStyle name="Calc cel 2 2 3 5" xfId="937"/>
    <cellStyle name="Calc cel 2 2 3 5 2" xfId="1259"/>
    <cellStyle name="Calc cel 2 2 3 5 2 2" xfId="4199"/>
    <cellStyle name="Calc cel 2 2 3 5 2 3" xfId="2960"/>
    <cellStyle name="Calc cel 2 2 3 5 3" xfId="2638"/>
    <cellStyle name="Calc cel 2 2 3 5 3 2" xfId="3877"/>
    <cellStyle name="Calc cel 2 2 3 5 3 3" xfId="4774"/>
    <cellStyle name="Calc cel 2 2 3 5 4" xfId="2038"/>
    <cellStyle name="Calc cel 2 2 3 5 5" xfId="3277"/>
    <cellStyle name="Calc cel 2 2 3 5 6" xfId="1738"/>
    <cellStyle name="Calc cel 2 2 3 6" xfId="709"/>
    <cellStyle name="Calc cel 2 2 3 6 2" xfId="2414"/>
    <cellStyle name="Calc cel 2 2 3 6 3" xfId="3653"/>
    <cellStyle name="Calc cel 2 2 3 6 4" xfId="1494"/>
    <cellStyle name="Calc cel 2 2 3 6 5" xfId="4618"/>
    <cellStyle name="Calc cel 2 2 3 7" xfId="422"/>
    <cellStyle name="Calc cel 2 2 3 7 2" xfId="3386"/>
    <cellStyle name="Calc cel 2 2 3 7 3" xfId="2147"/>
    <cellStyle name="Calc cel 2 2 3 8" xfId="2062"/>
    <cellStyle name="Calc cel 2 2 3 8 2" xfId="3301"/>
    <cellStyle name="Calc cel 2 2 3 8 3" xfId="4396"/>
    <cellStyle name="Calc cel 2 2 3 9" xfId="1792"/>
    <cellStyle name="Calc cel 2 2 3 9 2" xfId="4238"/>
    <cellStyle name="Calc cel 2 2 4" xfId="459"/>
    <cellStyle name="Calc cel 2 2 4 2" xfId="373"/>
    <cellStyle name="Calc cel 2 2 4 2 2" xfId="1019"/>
    <cellStyle name="Calc cel 2 2 4 2 2 2" xfId="3959"/>
    <cellStyle name="Calc cel 2 2 4 2 2 3" xfId="2720"/>
    <cellStyle name="Calc cel 2 2 4 2 3" xfId="3355"/>
    <cellStyle name="Calc cel 2 2 4 2 3 2" xfId="4419"/>
    <cellStyle name="Calc cel 2 2 4 2 4" xfId="2116"/>
    <cellStyle name="Calc cel 2 2 4 3" xfId="635"/>
    <cellStyle name="Calc cel 2 2 4 3 2" xfId="3581"/>
    <cellStyle name="Calc cel 2 2 4 3 3" xfId="2342"/>
    <cellStyle name="Calc cel 2 2 4 4" xfId="2171"/>
    <cellStyle name="Calc cel 2 2 4 4 2" xfId="3410"/>
    <cellStyle name="Calc cel 2 2 4 4 3" xfId="4445"/>
    <cellStyle name="Calc cel 2 2 4 5" xfId="1350"/>
    <cellStyle name="Calc cel 2 2 4 5 2" xfId="4267"/>
    <cellStyle name="Calc cel 2 2 4 6" xfId="2981"/>
    <cellStyle name="Calc cel 2 2 4 7" xfId="1308"/>
    <cellStyle name="Calc cel 2 2 5" xfId="496"/>
    <cellStyle name="Calc cel 2 2 5 2" xfId="1148"/>
    <cellStyle name="Calc cel 2 2 5 2 2" xfId="4088"/>
    <cellStyle name="Calc cel 2 2 5 2 3" xfId="2849"/>
    <cellStyle name="Calc cel 2 2 5 3" xfId="2208"/>
    <cellStyle name="Calc cel 2 2 5 3 2" xfId="3447"/>
    <cellStyle name="Calc cel 2 2 5 3 3" xfId="4475"/>
    <cellStyle name="Calc cel 2 2 5 4" xfId="1927"/>
    <cellStyle name="Calc cel 2 2 5 4 2" xfId="4371"/>
    <cellStyle name="Calc cel 2 2 5 5" xfId="3166"/>
    <cellStyle name="Calc cel 2 2 5 6" xfId="1627"/>
    <cellStyle name="Calc cel 2 2 6" xfId="891"/>
    <cellStyle name="Calc cel 2 2 6 2" xfId="1211"/>
    <cellStyle name="Calc cel 2 2 6 2 2" xfId="4151"/>
    <cellStyle name="Calc cel 2 2 6 2 3" xfId="2912"/>
    <cellStyle name="Calc cel 2 2 6 3" xfId="2595"/>
    <cellStyle name="Calc cel 2 2 6 3 2" xfId="3834"/>
    <cellStyle name="Calc cel 2 2 6 3 3" xfId="4732"/>
    <cellStyle name="Calc cel 2 2 6 4" xfId="1990"/>
    <cellStyle name="Calc cel 2 2 6 5" xfId="3229"/>
    <cellStyle name="Calc cel 2 2 6 6" xfId="1690"/>
    <cellStyle name="Calc cel 2 2 7" xfId="614"/>
    <cellStyle name="Calc cel 2 2 7 2" xfId="338"/>
    <cellStyle name="Calc cel 2 2 7 2 2" xfId="3330"/>
    <cellStyle name="Calc cel 2 2 7 2 3" xfId="2091"/>
    <cellStyle name="Calc cel 2 2 7 3" xfId="2323"/>
    <cellStyle name="Calc cel 2 2 7 4" xfId="3562"/>
    <cellStyle name="Calc cel 2 2 7 5" xfId="1352"/>
    <cellStyle name="Calc cel 2 2 8" xfId="832"/>
    <cellStyle name="Calc cel 2 2 8 2" xfId="3775"/>
    <cellStyle name="Calc cel 2 2 8 3" xfId="2536"/>
    <cellStyle name="Calc cel 2 2 9" xfId="1337"/>
    <cellStyle name="Calc cel 2 2 9 2" xfId="4293"/>
    <cellStyle name="Calc cel 2 3" xfId="414"/>
    <cellStyle name="Calc cel 2 3 10" xfId="344"/>
    <cellStyle name="Calc cel 2 3 2" xfId="584"/>
    <cellStyle name="Calc cel 2 3 2 10" xfId="3100"/>
    <cellStyle name="Calc cel 2 3 2 11" xfId="1465"/>
    <cellStyle name="Calc cel 2 3 2 2" xfId="814"/>
    <cellStyle name="Calc cel 2 3 2 2 2" xfId="1131"/>
    <cellStyle name="Calc cel 2 3 2 2 2 2" xfId="4071"/>
    <cellStyle name="Calc cel 2 3 2 2 2 3" xfId="2832"/>
    <cellStyle name="Calc cel 2 3 2 2 3" xfId="997"/>
    <cellStyle name="Calc cel 2 3 2 2 3 2" xfId="3937"/>
    <cellStyle name="Calc cel 2 3 2 2 3 3" xfId="2698"/>
    <cellStyle name="Calc cel 2 3 2 2 4" xfId="2518"/>
    <cellStyle name="Calc cel 2 3 2 2 4 2" xfId="3757"/>
    <cellStyle name="Calc cel 2 3 2 2 4 3" xfId="4674"/>
    <cellStyle name="Calc cel 2 3 2 2 5" xfId="1910"/>
    <cellStyle name="Calc cel 2 3 2 2 5 2" xfId="4367"/>
    <cellStyle name="Calc cel 2 3 2 2 6" xfId="3149"/>
    <cellStyle name="Calc cel 2 3 2 2 7" xfId="1610"/>
    <cellStyle name="Calc cel 2 3 2 3" xfId="875"/>
    <cellStyle name="Calc cel 2 3 2 3 2" xfId="1195"/>
    <cellStyle name="Calc cel 2 3 2 3 2 2" xfId="4135"/>
    <cellStyle name="Calc cel 2 3 2 3 2 3" xfId="2896"/>
    <cellStyle name="Calc cel 2 3 2 3 3" xfId="2579"/>
    <cellStyle name="Calc cel 2 3 2 3 3 2" xfId="3818"/>
    <cellStyle name="Calc cel 2 3 2 3 3 3" xfId="4716"/>
    <cellStyle name="Calc cel 2 3 2 3 4" xfId="1974"/>
    <cellStyle name="Calc cel 2 3 2 3 5" xfId="3213"/>
    <cellStyle name="Calc cel 2 3 2 3 6" xfId="1674"/>
    <cellStyle name="Calc cel 2 3 2 4" xfId="934"/>
    <cellStyle name="Calc cel 2 3 2 4 2" xfId="1256"/>
    <cellStyle name="Calc cel 2 3 2 4 2 2" xfId="4196"/>
    <cellStyle name="Calc cel 2 3 2 4 2 3" xfId="2957"/>
    <cellStyle name="Calc cel 2 3 2 4 3" xfId="2635"/>
    <cellStyle name="Calc cel 2 3 2 4 3 2" xfId="3874"/>
    <cellStyle name="Calc cel 2 3 2 4 3 3" xfId="4771"/>
    <cellStyle name="Calc cel 2 3 2 4 4" xfId="2035"/>
    <cellStyle name="Calc cel 2 3 2 4 5" xfId="3274"/>
    <cellStyle name="Calc cel 2 3 2 4 6" xfId="1735"/>
    <cellStyle name="Calc cel 2 3 2 5" xfId="774"/>
    <cellStyle name="Calc cel 2 3 2 5 2" xfId="1089"/>
    <cellStyle name="Calc cel 2 3 2 5 2 2" xfId="4029"/>
    <cellStyle name="Calc cel 2 3 2 5 2 3" xfId="2790"/>
    <cellStyle name="Calc cel 2 3 2 5 3" xfId="2479"/>
    <cellStyle name="Calc cel 2 3 2 5 4" xfId="3718"/>
    <cellStyle name="Calc cel 2 3 2 5 5" xfId="1561"/>
    <cellStyle name="Calc cel 2 3 2 6" xfId="689"/>
    <cellStyle name="Calc cel 2 3 2 6 2" xfId="3633"/>
    <cellStyle name="Calc cel 2 3 2 6 3" xfId="2394"/>
    <cellStyle name="Calc cel 2 3 2 6 4" xfId="4601"/>
    <cellStyle name="Calc cel 2 3 2 7" xfId="556"/>
    <cellStyle name="Calc cel 2 3 2 7 2" xfId="3504"/>
    <cellStyle name="Calc cel 2 3 2 7 3" xfId="2265"/>
    <cellStyle name="Calc cel 2 3 2 8" xfId="2293"/>
    <cellStyle name="Calc cel 2 3 2 8 2" xfId="3532"/>
    <cellStyle name="Calc cel 2 3 2 8 3" xfId="4541"/>
    <cellStyle name="Calc cel 2 3 2 9" xfId="1861"/>
    <cellStyle name="Calc cel 2 3 2 9 2" xfId="4340"/>
    <cellStyle name="Calc cel 2 3 3" xfId="523"/>
    <cellStyle name="Calc cel 2 3 3 2" xfId="1061"/>
    <cellStyle name="Calc cel 2 3 3 2 2" xfId="4001"/>
    <cellStyle name="Calc cel 2 3 3 2 2 2" xfId="4807"/>
    <cellStyle name="Calc cel 2 3 3 2 3" xfId="2762"/>
    <cellStyle name="Calc cel 2 3 3 3" xfId="2232"/>
    <cellStyle name="Calc cel 2 3 3 3 2" xfId="3471"/>
    <cellStyle name="Calc cel 2 3 3 3 3" xfId="4493"/>
    <cellStyle name="Calc cel 2 3 3 4" xfId="1825"/>
    <cellStyle name="Calc cel 2 3 3 4 2" xfId="4305"/>
    <cellStyle name="Calc cel 2 3 3 5" xfId="3064"/>
    <cellStyle name="Calc cel 2 3 3 6" xfId="1278"/>
    <cellStyle name="Calc cel 2 3 4" xfId="1039"/>
    <cellStyle name="Calc cel 2 3 4 2" xfId="3979"/>
    <cellStyle name="Calc cel 2 3 4 2 2" xfId="4796"/>
    <cellStyle name="Calc cel 2 3 4 3" xfId="2740"/>
    <cellStyle name="Calc cel 2 3 5" xfId="794"/>
    <cellStyle name="Calc cel 2 3 5 2" xfId="3738"/>
    <cellStyle name="Calc cel 2 3 5 3" xfId="2499"/>
    <cellStyle name="Calc cel 2 3 6" xfId="2144"/>
    <cellStyle name="Calc cel 2 3 6 2" xfId="3383"/>
    <cellStyle name="Calc cel 2 3 6 3" xfId="4431"/>
    <cellStyle name="Calc cel 2 3 7" xfId="1774"/>
    <cellStyle name="Calc cel 2 3 8" xfId="3014"/>
    <cellStyle name="Calc cel 2 3 9" xfId="1341"/>
    <cellStyle name="Calc cel 2 4" xfId="399"/>
    <cellStyle name="Calc cel 3" xfId="12"/>
    <cellStyle name="Calc cel 3 2" xfId="254"/>
    <cellStyle name="Calc cel 3 2 10" xfId="1492"/>
    <cellStyle name="Calc cel 3 2 11" xfId="509"/>
    <cellStyle name="Calc cel 3 2 2" xfId="278"/>
    <cellStyle name="Calc cel 3 2 2 10" xfId="1382"/>
    <cellStyle name="Calc cel 3 2 2 2" xfId="480"/>
    <cellStyle name="Calc cel 3 2 2 2 2" xfId="747"/>
    <cellStyle name="Calc cel 3 2 2 2 2 2" xfId="1069"/>
    <cellStyle name="Calc cel 3 2 2 2 2 2 2" xfId="4009"/>
    <cellStyle name="Calc cel 3 2 2 2 2 2 3" xfId="2770"/>
    <cellStyle name="Calc cel 3 2 2 2 2 3" xfId="2452"/>
    <cellStyle name="Calc cel 3 2 2 2 2 4" xfId="3691"/>
    <cellStyle name="Calc cel 3 2 2 2 2 5" xfId="1533"/>
    <cellStyle name="Calc cel 3 2 2 2 3" xfId="664"/>
    <cellStyle name="Calc cel 3 2 2 2 3 2" xfId="3608"/>
    <cellStyle name="Calc cel 3 2 2 2 3 3" xfId="2369"/>
    <cellStyle name="Calc cel 3 2 2 2 3 4" xfId="4582"/>
    <cellStyle name="Calc cel 3 2 2 2 4" xfId="603"/>
    <cellStyle name="Calc cel 3 2 2 2 4 2" xfId="3551"/>
    <cellStyle name="Calc cel 3 2 2 2 4 3" xfId="2312"/>
    <cellStyle name="Calc cel 3 2 2 2 5" xfId="2192"/>
    <cellStyle name="Calc cel 3 2 2 2 5 2" xfId="3431"/>
    <cellStyle name="Calc cel 3 2 2 2 5 3" xfId="4463"/>
    <cellStyle name="Calc cel 3 2 2 2 6" xfId="1834"/>
    <cellStyle name="Calc cel 3 2 2 2 6 2" xfId="4314"/>
    <cellStyle name="Calc cel 3 2 2 2 7" xfId="3073"/>
    <cellStyle name="Calc cel 3 2 2 2 8" xfId="1436"/>
    <cellStyle name="Calc cel 3 2 2 3" xfId="545"/>
    <cellStyle name="Calc cel 3 2 2 3 2" xfId="1103"/>
    <cellStyle name="Calc cel 3 2 2 3 2 2" xfId="4043"/>
    <cellStyle name="Calc cel 3 2 2 3 2 3" xfId="2804"/>
    <cellStyle name="Calc cel 3 2 2 3 3" xfId="2254"/>
    <cellStyle name="Calc cel 3 2 2 3 3 2" xfId="3493"/>
    <cellStyle name="Calc cel 3 2 2 3 3 3" xfId="4515"/>
    <cellStyle name="Calc cel 3 2 2 3 4" xfId="1882"/>
    <cellStyle name="Calc cel 3 2 2 3 5" xfId="3121"/>
    <cellStyle name="Calc cel 3 2 2 3 6" xfId="1582"/>
    <cellStyle name="Calc cel 3 2 2 4" xfId="847"/>
    <cellStyle name="Calc cel 3 2 2 4 2" xfId="1167"/>
    <cellStyle name="Calc cel 3 2 2 4 2 2" xfId="4107"/>
    <cellStyle name="Calc cel 3 2 2 4 2 3" xfId="2868"/>
    <cellStyle name="Calc cel 3 2 2 4 3" xfId="2551"/>
    <cellStyle name="Calc cel 3 2 2 4 3 2" xfId="3790"/>
    <cellStyle name="Calc cel 3 2 2 4 3 3" xfId="4688"/>
    <cellStyle name="Calc cel 3 2 2 4 4" xfId="1946"/>
    <cellStyle name="Calc cel 3 2 2 4 5" xfId="3185"/>
    <cellStyle name="Calc cel 3 2 2 4 6" xfId="1646"/>
    <cellStyle name="Calc cel 3 2 2 5" xfId="907"/>
    <cellStyle name="Calc cel 3 2 2 5 2" xfId="1229"/>
    <cellStyle name="Calc cel 3 2 2 5 2 2" xfId="4169"/>
    <cellStyle name="Calc cel 3 2 2 5 2 3" xfId="2930"/>
    <cellStyle name="Calc cel 3 2 2 5 3" xfId="2608"/>
    <cellStyle name="Calc cel 3 2 2 5 3 2" xfId="3847"/>
    <cellStyle name="Calc cel 3 2 2 5 3 3" xfId="4744"/>
    <cellStyle name="Calc cel 3 2 2 5 4" xfId="2008"/>
    <cellStyle name="Calc cel 3 2 2 5 5" xfId="3247"/>
    <cellStyle name="Calc cel 3 2 2 5 6" xfId="1708"/>
    <cellStyle name="Calc cel 3 2 2 6" xfId="728"/>
    <cellStyle name="Calc cel 3 2 2 6 2" xfId="2433"/>
    <cellStyle name="Calc cel 3 2 2 6 3" xfId="3672"/>
    <cellStyle name="Calc cel 3 2 2 6 4" xfId="1513"/>
    <cellStyle name="Calc cel 3 2 2 6 5" xfId="4637"/>
    <cellStyle name="Calc cel 3 2 2 7" xfId="427"/>
    <cellStyle name="Calc cel 3 2 2 7 2" xfId="3390"/>
    <cellStyle name="Calc cel 3 2 2 7 3" xfId="2151"/>
    <cellStyle name="Calc cel 3 2 2 8" xfId="1811"/>
    <cellStyle name="Calc cel 3 2 2 8 2" xfId="4295"/>
    <cellStyle name="Calc cel 3 2 2 9" xfId="3050"/>
    <cellStyle name="Calc cel 3 2 3" xfId="306"/>
    <cellStyle name="Calc cel 3 2 3 10" xfId="3032"/>
    <cellStyle name="Calc cel 3 2 3 11" xfId="1364"/>
    <cellStyle name="Calc cel 3 2 3 2" xfId="528"/>
    <cellStyle name="Calc cel 3 2 3 2 2" xfId="778"/>
    <cellStyle name="Calc cel 3 2 3 2 2 2" xfId="2483"/>
    <cellStyle name="Calc cel 3 2 3 2 2 3" xfId="3722"/>
    <cellStyle name="Calc cel 3 2 3 2 2 4" xfId="1565"/>
    <cellStyle name="Calc cel 3 2 3 2 2 5" xfId="4663"/>
    <cellStyle name="Calc cel 3 2 3 2 3" xfId="985"/>
    <cellStyle name="Calc cel 3 2 3 2 3 2" xfId="3925"/>
    <cellStyle name="Calc cel 3 2 3 2 3 3" xfId="2686"/>
    <cellStyle name="Calc cel 3 2 3 2 4" xfId="2237"/>
    <cellStyle name="Calc cel 3 2 3 2 4 2" xfId="3476"/>
    <cellStyle name="Calc cel 3 2 3 2 4 3" xfId="4498"/>
    <cellStyle name="Calc cel 3 2 3 2 5" xfId="1865"/>
    <cellStyle name="Calc cel 3 2 3 2 5 2" xfId="4344"/>
    <cellStyle name="Calc cel 3 2 3 2 6" xfId="3104"/>
    <cellStyle name="Calc cel 3 2 3 2 7" xfId="1419"/>
    <cellStyle name="Calc cel 3 2 3 3" xfId="588"/>
    <cellStyle name="Calc cel 3 2 3 3 2" xfId="818"/>
    <cellStyle name="Calc cel 3 2 3 3 2 2" xfId="1135"/>
    <cellStyle name="Calc cel 3 2 3 3 2 2 2" xfId="4075"/>
    <cellStyle name="Calc cel 3 2 3 3 2 2 3" xfId="2836"/>
    <cellStyle name="Calc cel 3 2 3 3 2 3" xfId="3761"/>
    <cellStyle name="Calc cel 3 2 3 3 2 4" xfId="2522"/>
    <cellStyle name="Calc cel 3 2 3 3 3" xfId="1001"/>
    <cellStyle name="Calc cel 3 2 3 3 3 2" xfId="3941"/>
    <cellStyle name="Calc cel 3 2 3 3 3 3" xfId="2702"/>
    <cellStyle name="Calc cel 3 2 3 3 4" xfId="2297"/>
    <cellStyle name="Calc cel 3 2 3 3 4 2" xfId="3536"/>
    <cellStyle name="Calc cel 3 2 3 3 4 3" xfId="4545"/>
    <cellStyle name="Calc cel 3 2 3 3 5" xfId="1914"/>
    <cellStyle name="Calc cel 3 2 3 3 6" xfId="3153"/>
    <cellStyle name="Calc cel 3 2 3 3 7" xfId="1614"/>
    <cellStyle name="Calc cel 3 2 3 4" xfId="879"/>
    <cellStyle name="Calc cel 3 2 3 4 2" xfId="1199"/>
    <cellStyle name="Calc cel 3 2 3 4 2 2" xfId="4139"/>
    <cellStyle name="Calc cel 3 2 3 4 2 3" xfId="2900"/>
    <cellStyle name="Calc cel 3 2 3 4 3" xfId="2583"/>
    <cellStyle name="Calc cel 3 2 3 4 3 2" xfId="3822"/>
    <cellStyle name="Calc cel 3 2 3 4 3 3" xfId="4720"/>
    <cellStyle name="Calc cel 3 2 3 4 4" xfId="1978"/>
    <cellStyle name="Calc cel 3 2 3 4 5" xfId="3217"/>
    <cellStyle name="Calc cel 3 2 3 4 6" xfId="1678"/>
    <cellStyle name="Calc cel 3 2 3 5" xfId="938"/>
    <cellStyle name="Calc cel 3 2 3 5 2" xfId="1260"/>
    <cellStyle name="Calc cel 3 2 3 5 2 2" xfId="4200"/>
    <cellStyle name="Calc cel 3 2 3 5 2 3" xfId="2961"/>
    <cellStyle name="Calc cel 3 2 3 5 3" xfId="2639"/>
    <cellStyle name="Calc cel 3 2 3 5 3 2" xfId="3878"/>
    <cellStyle name="Calc cel 3 2 3 5 3 3" xfId="4775"/>
    <cellStyle name="Calc cel 3 2 3 5 4" xfId="2039"/>
    <cellStyle name="Calc cel 3 2 3 5 5" xfId="3278"/>
    <cellStyle name="Calc cel 3 2 3 5 6" xfId="1739"/>
    <cellStyle name="Calc cel 3 2 3 6" xfId="710"/>
    <cellStyle name="Calc cel 3 2 3 6 2" xfId="2415"/>
    <cellStyle name="Calc cel 3 2 3 6 3" xfId="3654"/>
    <cellStyle name="Calc cel 3 2 3 6 4" xfId="1495"/>
    <cellStyle name="Calc cel 3 2 3 6 5" xfId="4619"/>
    <cellStyle name="Calc cel 3 2 3 7" xfId="562"/>
    <cellStyle name="Calc cel 3 2 3 7 2" xfId="3510"/>
    <cellStyle name="Calc cel 3 2 3 7 3" xfId="2271"/>
    <cellStyle name="Calc cel 3 2 3 8" xfId="2063"/>
    <cellStyle name="Calc cel 3 2 3 8 2" xfId="3302"/>
    <cellStyle name="Calc cel 3 2 3 8 3" xfId="4397"/>
    <cellStyle name="Calc cel 3 2 3 9" xfId="1793"/>
    <cellStyle name="Calc cel 3 2 3 9 2" xfId="4251"/>
    <cellStyle name="Calc cel 3 2 4" xfId="460"/>
    <cellStyle name="Calc cel 3 2 4 2" xfId="705"/>
    <cellStyle name="Calc cel 3 2 4 2 2" xfId="1045"/>
    <cellStyle name="Calc cel 3 2 4 2 2 2" xfId="3985"/>
    <cellStyle name="Calc cel 3 2 4 2 2 3" xfId="2746"/>
    <cellStyle name="Calc cel 3 2 4 2 3" xfId="3649"/>
    <cellStyle name="Calc cel 3 2 4 2 3 2" xfId="4615"/>
    <cellStyle name="Calc cel 3 2 4 2 4" xfId="2410"/>
    <cellStyle name="Calc cel 3 2 4 3" xfId="341"/>
    <cellStyle name="Calc cel 3 2 4 3 2" xfId="3333"/>
    <cellStyle name="Calc cel 3 2 4 3 3" xfId="2094"/>
    <cellStyle name="Calc cel 3 2 4 4" xfId="2172"/>
    <cellStyle name="Calc cel 3 2 4 4 2" xfId="3411"/>
    <cellStyle name="Calc cel 3 2 4 4 3" xfId="4446"/>
    <cellStyle name="Calc cel 3 2 4 5" xfId="1783"/>
    <cellStyle name="Calc cel 3 2 4 5 2" xfId="4285"/>
    <cellStyle name="Calc cel 3 2 4 6" xfId="3023"/>
    <cellStyle name="Calc cel 3 2 4 7" xfId="1486"/>
    <cellStyle name="Calc cel 3 2 5" xfId="497"/>
    <cellStyle name="Calc cel 3 2 5 2" xfId="1149"/>
    <cellStyle name="Calc cel 3 2 5 2 2" xfId="4089"/>
    <cellStyle name="Calc cel 3 2 5 2 3" xfId="2850"/>
    <cellStyle name="Calc cel 3 2 5 3" xfId="2209"/>
    <cellStyle name="Calc cel 3 2 5 3 2" xfId="3448"/>
    <cellStyle name="Calc cel 3 2 5 3 3" xfId="4476"/>
    <cellStyle name="Calc cel 3 2 5 4" xfId="1928"/>
    <cellStyle name="Calc cel 3 2 5 4 2" xfId="4372"/>
    <cellStyle name="Calc cel 3 2 5 5" xfId="3167"/>
    <cellStyle name="Calc cel 3 2 5 6" xfId="1628"/>
    <cellStyle name="Calc cel 3 2 6" xfId="892"/>
    <cellStyle name="Calc cel 3 2 6 2" xfId="1212"/>
    <cellStyle name="Calc cel 3 2 6 2 2" xfId="4152"/>
    <cellStyle name="Calc cel 3 2 6 2 3" xfId="2913"/>
    <cellStyle name="Calc cel 3 2 6 3" xfId="2596"/>
    <cellStyle name="Calc cel 3 2 6 3 2" xfId="3835"/>
    <cellStyle name="Calc cel 3 2 6 3 3" xfId="4733"/>
    <cellStyle name="Calc cel 3 2 6 4" xfId="1991"/>
    <cellStyle name="Calc cel 3 2 6 5" xfId="3230"/>
    <cellStyle name="Calc cel 3 2 6 6" xfId="1691"/>
    <cellStyle name="Calc cel 3 2 7" xfId="372"/>
    <cellStyle name="Calc cel 3 2 7 2" xfId="600"/>
    <cellStyle name="Calc cel 3 2 7 2 2" xfId="3548"/>
    <cellStyle name="Calc cel 3 2 7 2 3" xfId="2309"/>
    <cellStyle name="Calc cel 3 2 7 3" xfId="2115"/>
    <cellStyle name="Calc cel 3 2 7 4" xfId="3354"/>
    <cellStyle name="Calc cel 3 2 7 5" xfId="1290"/>
    <cellStyle name="Calc cel 3 2 8" xfId="653"/>
    <cellStyle name="Calc cel 3 2 8 2" xfId="3599"/>
    <cellStyle name="Calc cel 3 2 8 3" xfId="2360"/>
    <cellStyle name="Calc cel 3 2 9" xfId="1317"/>
    <cellStyle name="Calc cel 3 2 9 2" xfId="4236"/>
    <cellStyle name="Calc cel 3 3" xfId="323"/>
    <cellStyle name="Calc cel 3 3 10" xfId="408"/>
    <cellStyle name="Calc cel 3 3 2" xfId="581"/>
    <cellStyle name="Calc cel 3 3 2 10" xfId="3099"/>
    <cellStyle name="Calc cel 3 3 2 11" xfId="1462"/>
    <cellStyle name="Calc cel 3 3 2 2" xfId="812"/>
    <cellStyle name="Calc cel 3 3 2 2 2" xfId="1129"/>
    <cellStyle name="Calc cel 3 3 2 2 2 2" xfId="4069"/>
    <cellStyle name="Calc cel 3 3 2 2 2 3" xfId="2830"/>
    <cellStyle name="Calc cel 3 3 2 2 3" xfId="995"/>
    <cellStyle name="Calc cel 3 3 2 2 3 2" xfId="3935"/>
    <cellStyle name="Calc cel 3 3 2 2 3 3" xfId="2696"/>
    <cellStyle name="Calc cel 3 3 2 2 4" xfId="2516"/>
    <cellStyle name="Calc cel 3 3 2 2 4 2" xfId="3755"/>
    <cellStyle name="Calc cel 3 3 2 2 4 3" xfId="4673"/>
    <cellStyle name="Calc cel 3 3 2 2 5" xfId="1908"/>
    <cellStyle name="Calc cel 3 3 2 2 5 2" xfId="4365"/>
    <cellStyle name="Calc cel 3 3 2 2 6" xfId="3147"/>
    <cellStyle name="Calc cel 3 3 2 2 7" xfId="1608"/>
    <cellStyle name="Calc cel 3 3 2 3" xfId="873"/>
    <cellStyle name="Calc cel 3 3 2 3 2" xfId="1193"/>
    <cellStyle name="Calc cel 3 3 2 3 2 2" xfId="4133"/>
    <cellStyle name="Calc cel 3 3 2 3 2 3" xfId="2894"/>
    <cellStyle name="Calc cel 3 3 2 3 3" xfId="2577"/>
    <cellStyle name="Calc cel 3 3 2 3 3 2" xfId="3816"/>
    <cellStyle name="Calc cel 3 3 2 3 3 3" xfId="4714"/>
    <cellStyle name="Calc cel 3 3 2 3 4" xfId="1972"/>
    <cellStyle name="Calc cel 3 3 2 3 5" xfId="3211"/>
    <cellStyle name="Calc cel 3 3 2 3 6" xfId="1672"/>
    <cellStyle name="Calc cel 3 3 2 4" xfId="933"/>
    <cellStyle name="Calc cel 3 3 2 4 2" xfId="1255"/>
    <cellStyle name="Calc cel 3 3 2 4 2 2" xfId="4195"/>
    <cellStyle name="Calc cel 3 3 2 4 2 3" xfId="2956"/>
    <cellStyle name="Calc cel 3 3 2 4 3" xfId="2634"/>
    <cellStyle name="Calc cel 3 3 2 4 3 2" xfId="3873"/>
    <cellStyle name="Calc cel 3 3 2 4 3 3" xfId="4770"/>
    <cellStyle name="Calc cel 3 3 2 4 4" xfId="2034"/>
    <cellStyle name="Calc cel 3 3 2 4 5" xfId="3273"/>
    <cellStyle name="Calc cel 3 3 2 4 6" xfId="1734"/>
    <cellStyle name="Calc cel 3 3 2 5" xfId="773"/>
    <cellStyle name="Calc cel 3 3 2 5 2" xfId="1088"/>
    <cellStyle name="Calc cel 3 3 2 5 2 2" xfId="4028"/>
    <cellStyle name="Calc cel 3 3 2 5 2 3" xfId="2789"/>
    <cellStyle name="Calc cel 3 3 2 5 3" xfId="2478"/>
    <cellStyle name="Calc cel 3 3 2 5 4" xfId="3717"/>
    <cellStyle name="Calc cel 3 3 2 5 5" xfId="1559"/>
    <cellStyle name="Calc cel 3 3 2 6" xfId="686"/>
    <cellStyle name="Calc cel 3 3 2 6 2" xfId="3630"/>
    <cellStyle name="Calc cel 3 3 2 6 3" xfId="2391"/>
    <cellStyle name="Calc cel 3 3 2 6 4" xfId="4599"/>
    <cellStyle name="Calc cel 3 3 2 7" xfId="325"/>
    <cellStyle name="Calc cel 3 3 2 7 2" xfId="3319"/>
    <cellStyle name="Calc cel 3 3 2 7 3" xfId="2080"/>
    <cellStyle name="Calc cel 3 3 2 8" xfId="2290"/>
    <cellStyle name="Calc cel 3 3 2 8 2" xfId="3529"/>
    <cellStyle name="Calc cel 3 3 2 8 3" xfId="4540"/>
    <cellStyle name="Calc cel 3 3 2 9" xfId="1860"/>
    <cellStyle name="Calc cel 3 3 2 9 2" xfId="4339"/>
    <cellStyle name="Calc cel 3 3 3" xfId="609"/>
    <cellStyle name="Calc cel 3 3 3 2" xfId="1013"/>
    <cellStyle name="Calc cel 3 3 3 2 2" xfId="3953"/>
    <cellStyle name="Calc cel 3 3 3 2 2 2" xfId="4785"/>
    <cellStyle name="Calc cel 3 3 3 2 3" xfId="2714"/>
    <cellStyle name="Calc cel 3 3 3 3" xfId="2318"/>
    <cellStyle name="Calc cel 3 3 3 3 2" xfId="3557"/>
    <cellStyle name="Calc cel 3 3 3 3 3" xfId="4559"/>
    <cellStyle name="Calc cel 3 3 3 4" xfId="1310"/>
    <cellStyle name="Calc cel 3 3 3 4 2" xfId="4278"/>
    <cellStyle name="Calc cel 3 3 3 5" xfId="2972"/>
    <cellStyle name="Calc cel 3 3 3 6" xfId="1347"/>
    <cellStyle name="Calc cel 3 3 4" xfId="1053"/>
    <cellStyle name="Calc cel 3 3 4 2" xfId="3993"/>
    <cellStyle name="Calc cel 3 3 4 2 2" xfId="4803"/>
    <cellStyle name="Calc cel 3 3 4 3" xfId="2754"/>
    <cellStyle name="Calc cel 3 3 5" xfId="636"/>
    <cellStyle name="Calc cel 3 3 5 2" xfId="3582"/>
    <cellStyle name="Calc cel 3 3 5 3" xfId="2343"/>
    <cellStyle name="Calc cel 3 3 6" xfId="2078"/>
    <cellStyle name="Calc cel 3 3 6 2" xfId="3317"/>
    <cellStyle name="Calc cel 3 3 6 3" xfId="4411"/>
    <cellStyle name="Calc cel 3 3 7" xfId="1770"/>
    <cellStyle name="Calc cel 3 3 8" xfId="3010"/>
    <cellStyle name="Calc cel 3 3 9" xfId="1333"/>
    <cellStyle name="Calc cel 3 4" xfId="406"/>
    <cellStyle name="Calc cel 4" xfId="252"/>
    <cellStyle name="Calc cel 4 10" xfId="1374"/>
    <cellStyle name="Calc cel 4 11" xfId="628"/>
    <cellStyle name="Calc cel 4 2" xfId="276"/>
    <cellStyle name="Calc cel 4 2 10" xfId="1385"/>
    <cellStyle name="Calc cel 4 2 2" xfId="483"/>
    <cellStyle name="Calc cel 4 2 2 2" xfId="750"/>
    <cellStyle name="Calc cel 4 2 2 2 2" xfId="1072"/>
    <cellStyle name="Calc cel 4 2 2 2 2 2" xfId="4012"/>
    <cellStyle name="Calc cel 4 2 2 2 2 3" xfId="2773"/>
    <cellStyle name="Calc cel 4 2 2 2 3" xfId="2455"/>
    <cellStyle name="Calc cel 4 2 2 2 4" xfId="3694"/>
    <cellStyle name="Calc cel 4 2 2 2 5" xfId="1536"/>
    <cellStyle name="Calc cel 4 2 2 3" xfId="667"/>
    <cellStyle name="Calc cel 4 2 2 3 2" xfId="3611"/>
    <cellStyle name="Calc cel 4 2 2 3 3" xfId="2372"/>
    <cellStyle name="Calc cel 4 2 2 3 4" xfId="4585"/>
    <cellStyle name="Calc cel 4 2 2 4" xfId="831"/>
    <cellStyle name="Calc cel 4 2 2 4 2" xfId="3774"/>
    <cellStyle name="Calc cel 4 2 2 4 3" xfId="2535"/>
    <cellStyle name="Calc cel 4 2 2 5" xfId="2195"/>
    <cellStyle name="Calc cel 4 2 2 5 2" xfId="3434"/>
    <cellStyle name="Calc cel 4 2 2 5 3" xfId="4466"/>
    <cellStyle name="Calc cel 4 2 2 6" xfId="1837"/>
    <cellStyle name="Calc cel 4 2 2 6 2" xfId="4317"/>
    <cellStyle name="Calc cel 4 2 2 7" xfId="3076"/>
    <cellStyle name="Calc cel 4 2 2 8" xfId="1439"/>
    <cellStyle name="Calc cel 4 2 3" xfId="548"/>
    <cellStyle name="Calc cel 4 2 3 2" xfId="1106"/>
    <cellStyle name="Calc cel 4 2 3 2 2" xfId="4046"/>
    <cellStyle name="Calc cel 4 2 3 2 3" xfId="2807"/>
    <cellStyle name="Calc cel 4 2 3 3" xfId="2257"/>
    <cellStyle name="Calc cel 4 2 3 3 2" xfId="3496"/>
    <cellStyle name="Calc cel 4 2 3 3 3" xfId="4518"/>
    <cellStyle name="Calc cel 4 2 3 4" xfId="1885"/>
    <cellStyle name="Calc cel 4 2 3 5" xfId="3124"/>
    <cellStyle name="Calc cel 4 2 3 6" xfId="1585"/>
    <cellStyle name="Calc cel 4 2 4" xfId="850"/>
    <cellStyle name="Calc cel 4 2 4 2" xfId="1170"/>
    <cellStyle name="Calc cel 4 2 4 2 2" xfId="4110"/>
    <cellStyle name="Calc cel 4 2 4 2 3" xfId="2871"/>
    <cellStyle name="Calc cel 4 2 4 3" xfId="2554"/>
    <cellStyle name="Calc cel 4 2 4 3 2" xfId="3793"/>
    <cellStyle name="Calc cel 4 2 4 3 3" xfId="4691"/>
    <cellStyle name="Calc cel 4 2 4 4" xfId="1949"/>
    <cellStyle name="Calc cel 4 2 4 5" xfId="3188"/>
    <cellStyle name="Calc cel 4 2 4 6" xfId="1649"/>
    <cellStyle name="Calc cel 4 2 5" xfId="910"/>
    <cellStyle name="Calc cel 4 2 5 2" xfId="1232"/>
    <cellStyle name="Calc cel 4 2 5 2 2" xfId="4172"/>
    <cellStyle name="Calc cel 4 2 5 2 3" xfId="2933"/>
    <cellStyle name="Calc cel 4 2 5 3" xfId="2611"/>
    <cellStyle name="Calc cel 4 2 5 3 2" xfId="3850"/>
    <cellStyle name="Calc cel 4 2 5 3 3" xfId="4747"/>
    <cellStyle name="Calc cel 4 2 5 4" xfId="2011"/>
    <cellStyle name="Calc cel 4 2 5 5" xfId="3250"/>
    <cellStyle name="Calc cel 4 2 5 6" xfId="1711"/>
    <cellStyle name="Calc cel 4 2 6" xfId="731"/>
    <cellStyle name="Calc cel 4 2 6 2" xfId="2436"/>
    <cellStyle name="Calc cel 4 2 6 3" xfId="3675"/>
    <cellStyle name="Calc cel 4 2 6 4" xfId="1516"/>
    <cellStyle name="Calc cel 4 2 6 5" xfId="4640"/>
    <cellStyle name="Calc cel 4 2 7" xfId="401"/>
    <cellStyle name="Calc cel 4 2 7 2" xfId="3372"/>
    <cellStyle name="Calc cel 4 2 7 3" xfId="2133"/>
    <cellStyle name="Calc cel 4 2 8" xfId="1814"/>
    <cellStyle name="Calc cel 4 2 8 2" xfId="4229"/>
    <cellStyle name="Calc cel 4 2 9" xfId="3053"/>
    <cellStyle name="Calc cel 4 3" xfId="304"/>
    <cellStyle name="Calc cel 4 3 10" xfId="3030"/>
    <cellStyle name="Calc cel 4 3 11" xfId="1362"/>
    <cellStyle name="Calc cel 4 3 2" xfId="526"/>
    <cellStyle name="Calc cel 4 3 2 2" xfId="776"/>
    <cellStyle name="Calc cel 4 3 2 2 2" xfId="2481"/>
    <cellStyle name="Calc cel 4 3 2 2 3" xfId="3720"/>
    <cellStyle name="Calc cel 4 3 2 2 4" xfId="1563"/>
    <cellStyle name="Calc cel 4 3 2 2 5" xfId="4661"/>
    <cellStyle name="Calc cel 4 3 2 3" xfId="983"/>
    <cellStyle name="Calc cel 4 3 2 3 2" xfId="3923"/>
    <cellStyle name="Calc cel 4 3 2 3 3" xfId="2684"/>
    <cellStyle name="Calc cel 4 3 2 4" xfId="2235"/>
    <cellStyle name="Calc cel 4 3 2 4 2" xfId="3474"/>
    <cellStyle name="Calc cel 4 3 2 4 3" xfId="4496"/>
    <cellStyle name="Calc cel 4 3 2 5" xfId="1863"/>
    <cellStyle name="Calc cel 4 3 2 5 2" xfId="4342"/>
    <cellStyle name="Calc cel 4 3 2 6" xfId="3102"/>
    <cellStyle name="Calc cel 4 3 2 7" xfId="1417"/>
    <cellStyle name="Calc cel 4 3 3" xfId="586"/>
    <cellStyle name="Calc cel 4 3 3 2" xfId="816"/>
    <cellStyle name="Calc cel 4 3 3 2 2" xfId="1133"/>
    <cellStyle name="Calc cel 4 3 3 2 2 2" xfId="4073"/>
    <cellStyle name="Calc cel 4 3 3 2 2 3" xfId="2834"/>
    <cellStyle name="Calc cel 4 3 3 2 3" xfId="3759"/>
    <cellStyle name="Calc cel 4 3 3 2 4" xfId="2520"/>
    <cellStyle name="Calc cel 4 3 3 3" xfId="999"/>
    <cellStyle name="Calc cel 4 3 3 3 2" xfId="3939"/>
    <cellStyle name="Calc cel 4 3 3 3 3" xfId="2700"/>
    <cellStyle name="Calc cel 4 3 3 4" xfId="2295"/>
    <cellStyle name="Calc cel 4 3 3 4 2" xfId="3534"/>
    <cellStyle name="Calc cel 4 3 3 4 3" xfId="4543"/>
    <cellStyle name="Calc cel 4 3 3 5" xfId="1912"/>
    <cellStyle name="Calc cel 4 3 3 6" xfId="3151"/>
    <cellStyle name="Calc cel 4 3 3 7" xfId="1612"/>
    <cellStyle name="Calc cel 4 3 4" xfId="877"/>
    <cellStyle name="Calc cel 4 3 4 2" xfId="1197"/>
    <cellStyle name="Calc cel 4 3 4 2 2" xfId="4137"/>
    <cellStyle name="Calc cel 4 3 4 2 3" xfId="2898"/>
    <cellStyle name="Calc cel 4 3 4 3" xfId="2581"/>
    <cellStyle name="Calc cel 4 3 4 3 2" xfId="3820"/>
    <cellStyle name="Calc cel 4 3 4 3 3" xfId="4718"/>
    <cellStyle name="Calc cel 4 3 4 4" xfId="1976"/>
    <cellStyle name="Calc cel 4 3 4 5" xfId="3215"/>
    <cellStyle name="Calc cel 4 3 4 6" xfId="1676"/>
    <cellStyle name="Calc cel 4 3 5" xfId="936"/>
    <cellStyle name="Calc cel 4 3 5 2" xfId="1258"/>
    <cellStyle name="Calc cel 4 3 5 2 2" xfId="4198"/>
    <cellStyle name="Calc cel 4 3 5 2 3" xfId="2959"/>
    <cellStyle name="Calc cel 4 3 5 3" xfId="2637"/>
    <cellStyle name="Calc cel 4 3 5 3 2" xfId="3876"/>
    <cellStyle name="Calc cel 4 3 5 3 3" xfId="4773"/>
    <cellStyle name="Calc cel 4 3 5 4" xfId="2037"/>
    <cellStyle name="Calc cel 4 3 5 5" xfId="3276"/>
    <cellStyle name="Calc cel 4 3 5 6" xfId="1737"/>
    <cellStyle name="Calc cel 4 3 6" xfId="708"/>
    <cellStyle name="Calc cel 4 3 6 2" xfId="2413"/>
    <cellStyle name="Calc cel 4 3 6 3" xfId="3652"/>
    <cellStyle name="Calc cel 4 3 6 4" xfId="1493"/>
    <cellStyle name="Calc cel 4 3 6 5" xfId="4617"/>
    <cellStyle name="Calc cel 4 3 7" xfId="631"/>
    <cellStyle name="Calc cel 4 3 7 2" xfId="3577"/>
    <cellStyle name="Calc cel 4 3 7 3" xfId="2338"/>
    <cellStyle name="Calc cel 4 3 8" xfId="2061"/>
    <cellStyle name="Calc cel 4 3 8 2" xfId="3300"/>
    <cellStyle name="Calc cel 4 3 8 3" xfId="4395"/>
    <cellStyle name="Calc cel 4 3 9" xfId="1791"/>
    <cellStyle name="Calc cel 4 3 9 2" xfId="4237"/>
    <cellStyle name="Calc cel 4 4" xfId="332"/>
    <cellStyle name="Calc cel 4 4 2" xfId="514"/>
    <cellStyle name="Calc cel 4 4 2 2" xfId="1031"/>
    <cellStyle name="Calc cel 4 4 2 2 2" xfId="3971"/>
    <cellStyle name="Calc cel 4 4 2 2 3" xfId="2732"/>
    <cellStyle name="Calc cel 4 4 2 3" xfId="3463"/>
    <cellStyle name="Calc cel 4 4 2 3 2" xfId="4487"/>
    <cellStyle name="Calc cel 4 4 2 4" xfId="2224"/>
    <cellStyle name="Calc cel 4 4 3" xfId="990"/>
    <cellStyle name="Calc cel 4 4 3 2" xfId="3930"/>
    <cellStyle name="Calc cel 4 4 3 3" xfId="2691"/>
    <cellStyle name="Calc cel 4 4 4" xfId="2087"/>
    <cellStyle name="Calc cel 4 4 4 2" xfId="3326"/>
    <cellStyle name="Calc cel 4 4 4 3" xfId="4414"/>
    <cellStyle name="Calc cel 4 4 5" xfId="1760"/>
    <cellStyle name="Calc cel 4 4 5 2" xfId="4213"/>
    <cellStyle name="Calc cel 4 4 6" xfId="3000"/>
    <cellStyle name="Calc cel 4 4 7" xfId="1291"/>
    <cellStyle name="Calc cel 4 5" xfId="495"/>
    <cellStyle name="Calc cel 4 5 2" xfId="1147"/>
    <cellStyle name="Calc cel 4 5 2 2" xfId="4087"/>
    <cellStyle name="Calc cel 4 5 2 3" xfId="2848"/>
    <cellStyle name="Calc cel 4 5 3" xfId="2207"/>
    <cellStyle name="Calc cel 4 5 3 2" xfId="3446"/>
    <cellStyle name="Calc cel 4 5 3 3" xfId="4474"/>
    <cellStyle name="Calc cel 4 5 4" xfId="1926"/>
    <cellStyle name="Calc cel 4 5 4 2" xfId="4370"/>
    <cellStyle name="Calc cel 4 5 5" xfId="3165"/>
    <cellStyle name="Calc cel 4 5 6" xfId="1626"/>
    <cellStyle name="Calc cel 4 6" xfId="890"/>
    <cellStyle name="Calc cel 4 6 2" xfId="1210"/>
    <cellStyle name="Calc cel 4 6 2 2" xfId="4150"/>
    <cellStyle name="Calc cel 4 6 2 3" xfId="2911"/>
    <cellStyle name="Calc cel 4 6 3" xfId="2594"/>
    <cellStyle name="Calc cel 4 6 3 2" xfId="3833"/>
    <cellStyle name="Calc cel 4 6 3 3" xfId="4731"/>
    <cellStyle name="Calc cel 4 6 4" xfId="1989"/>
    <cellStyle name="Calc cel 4 6 5" xfId="3228"/>
    <cellStyle name="Calc cel 4 6 6" xfId="1689"/>
    <cellStyle name="Calc cel 4 7" xfId="688"/>
    <cellStyle name="Calc cel 4 7 2" xfId="651"/>
    <cellStyle name="Calc cel 4 7 2 2" xfId="3597"/>
    <cellStyle name="Calc cel 4 7 2 3" xfId="2358"/>
    <cellStyle name="Calc cel 4 7 3" xfId="2393"/>
    <cellStyle name="Calc cel 4 7 4" xfId="3632"/>
    <cellStyle name="Calc cel 4 7 5" xfId="1464"/>
    <cellStyle name="Calc cel 4 8" xfId="395"/>
    <cellStyle name="Calc cel 4 8 2" xfId="3367"/>
    <cellStyle name="Calc cel 4 8 3" xfId="2128"/>
    <cellStyle name="Calc cel 4 9" xfId="1340"/>
    <cellStyle name="Calc cel 4 9 2" xfId="4281"/>
    <cellStyle name="Calc cel 5" xfId="446"/>
    <cellStyle name="Calc cel 5 10" xfId="374"/>
    <cellStyle name="Calc cel 5 2" xfId="571"/>
    <cellStyle name="Calc cel 5 2 10" xfId="3089"/>
    <cellStyle name="Calc cel 5 2 11" xfId="1456"/>
    <cellStyle name="Calc cel 5 2 2" xfId="802"/>
    <cellStyle name="Calc cel 5 2 2 2" xfId="1119"/>
    <cellStyle name="Calc cel 5 2 2 2 2" xfId="4059"/>
    <cellStyle name="Calc cel 5 2 2 2 3" xfId="2820"/>
    <cellStyle name="Calc cel 5 2 2 3" xfId="960"/>
    <cellStyle name="Calc cel 5 2 2 3 2" xfId="3900"/>
    <cellStyle name="Calc cel 5 2 2 3 3" xfId="2661"/>
    <cellStyle name="Calc cel 5 2 2 4" xfId="2506"/>
    <cellStyle name="Calc cel 5 2 2 4 2" xfId="3745"/>
    <cellStyle name="Calc cel 5 2 2 4 3" xfId="4671"/>
    <cellStyle name="Calc cel 5 2 2 5" xfId="1898"/>
    <cellStyle name="Calc cel 5 2 2 5 2" xfId="4359"/>
    <cellStyle name="Calc cel 5 2 2 6" xfId="3137"/>
    <cellStyle name="Calc cel 5 2 2 7" xfId="1598"/>
    <cellStyle name="Calc cel 5 2 3" xfId="863"/>
    <cellStyle name="Calc cel 5 2 3 2" xfId="1183"/>
    <cellStyle name="Calc cel 5 2 3 2 2" xfId="4123"/>
    <cellStyle name="Calc cel 5 2 3 2 3" xfId="2884"/>
    <cellStyle name="Calc cel 5 2 3 3" xfId="2567"/>
    <cellStyle name="Calc cel 5 2 3 3 2" xfId="3806"/>
    <cellStyle name="Calc cel 5 2 3 3 3" xfId="4704"/>
    <cellStyle name="Calc cel 5 2 3 4" xfId="1962"/>
    <cellStyle name="Calc cel 5 2 3 5" xfId="3201"/>
    <cellStyle name="Calc cel 5 2 3 6" xfId="1662"/>
    <cellStyle name="Calc cel 5 2 4" xfId="923"/>
    <cellStyle name="Calc cel 5 2 4 2" xfId="1245"/>
    <cellStyle name="Calc cel 5 2 4 2 2" xfId="4185"/>
    <cellStyle name="Calc cel 5 2 4 2 3" xfId="2946"/>
    <cellStyle name="Calc cel 5 2 4 3" xfId="2624"/>
    <cellStyle name="Calc cel 5 2 4 3 2" xfId="3863"/>
    <cellStyle name="Calc cel 5 2 4 3 3" xfId="4760"/>
    <cellStyle name="Calc cel 5 2 4 4" xfId="2024"/>
    <cellStyle name="Calc cel 5 2 4 5" xfId="3263"/>
    <cellStyle name="Calc cel 5 2 4 6" xfId="1724"/>
    <cellStyle name="Calc cel 5 2 5" xfId="763"/>
    <cellStyle name="Calc cel 5 2 5 2" xfId="1082"/>
    <cellStyle name="Calc cel 5 2 5 2 2" xfId="4022"/>
    <cellStyle name="Calc cel 5 2 5 2 3" xfId="2783"/>
    <cellStyle name="Calc cel 5 2 5 3" xfId="2468"/>
    <cellStyle name="Calc cel 5 2 5 4" xfId="3707"/>
    <cellStyle name="Calc cel 5 2 5 5" xfId="1549"/>
    <cellStyle name="Calc cel 5 2 6" xfId="683"/>
    <cellStyle name="Calc cel 5 2 6 2" xfId="3627"/>
    <cellStyle name="Calc cel 5 2 6 3" xfId="2388"/>
    <cellStyle name="Calc cel 5 2 6 4" xfId="4597"/>
    <cellStyle name="Calc cel 5 2 7" xfId="612"/>
    <cellStyle name="Calc cel 5 2 7 2" xfId="3560"/>
    <cellStyle name="Calc cel 5 2 7 3" xfId="2321"/>
    <cellStyle name="Calc cel 5 2 8" xfId="2280"/>
    <cellStyle name="Calc cel 5 2 8 2" xfId="3519"/>
    <cellStyle name="Calc cel 5 2 8 3" xfId="4530"/>
    <cellStyle name="Calc cel 5 2 9" xfId="1850"/>
    <cellStyle name="Calc cel 5 2 9 2" xfId="4329"/>
    <cellStyle name="Calc cel 5 3" xfId="639"/>
    <cellStyle name="Calc cel 5 3 2" xfId="1027"/>
    <cellStyle name="Calc cel 5 3 2 2" xfId="3967"/>
    <cellStyle name="Calc cel 5 3 2 2 2" xfId="4789"/>
    <cellStyle name="Calc cel 5 3 2 3" xfId="2728"/>
    <cellStyle name="Calc cel 5 3 3" xfId="2346"/>
    <cellStyle name="Calc cel 5 3 3 2" xfId="3585"/>
    <cellStyle name="Calc cel 5 3 3 3" xfId="4568"/>
    <cellStyle name="Calc cel 5 3 4" xfId="1751"/>
    <cellStyle name="Calc cel 5 3 4 2" xfId="4221"/>
    <cellStyle name="Calc cel 5 3 5" xfId="2991"/>
    <cellStyle name="Calc cel 5 3 6" xfId="1396"/>
    <cellStyle name="Calc cel 5 4" xfId="1035"/>
    <cellStyle name="Calc cel 5 4 2" xfId="3975"/>
    <cellStyle name="Calc cel 5 4 2 2" xfId="4794"/>
    <cellStyle name="Calc cel 5 4 3" xfId="2736"/>
    <cellStyle name="Calc cel 5 5" xfId="630"/>
    <cellStyle name="Calc cel 5 5 2" xfId="3576"/>
    <cellStyle name="Calc cel 5 5 3" xfId="2337"/>
    <cellStyle name="Calc cel 5 6" xfId="2160"/>
    <cellStyle name="Calc cel 5 6 2" xfId="3399"/>
    <cellStyle name="Calc cel 5 6 3" xfId="4437"/>
    <cellStyle name="Calc cel 5 7" xfId="1754"/>
    <cellStyle name="Calc cel 5 8" xfId="2994"/>
    <cellStyle name="Calc cel 5 9" xfId="1313"/>
    <cellStyle name="Calc cel 6" xfId="380"/>
    <cellStyle name="Calculation" xfId="165" builtinId="22" customBuiltin="1"/>
    <cellStyle name="Check Cell" xfId="167" builtinId="23" customBuiltin="1"/>
    <cellStyle name="Comma" xfId="4809" builtinId="3"/>
    <cellStyle name="Comma 2" xfId="13"/>
    <cellStyle name="Comma 3" xfId="157"/>
    <cellStyle name="Comma 4" xfId="205"/>
    <cellStyle name="Comma 5" xfId="375"/>
    <cellStyle name="Comma 6" xfId="4233"/>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2 2" xfId="4810"/>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10" xfId="1304"/>
    <cellStyle name="Input cel 2 2 11" xfId="455"/>
    <cellStyle name="Input cel 2 2 2" xfId="280"/>
    <cellStyle name="Input cel 2 2 2 10" xfId="1379"/>
    <cellStyle name="Input cel 2 2 2 2" xfId="477"/>
    <cellStyle name="Input cel 2 2 2 2 2" xfId="744"/>
    <cellStyle name="Input cel 2 2 2 2 2 2" xfId="1066"/>
    <cellStyle name="Input cel 2 2 2 2 2 2 2" xfId="4006"/>
    <cellStyle name="Input cel 2 2 2 2 2 2 3" xfId="2767"/>
    <cellStyle name="Input cel 2 2 2 2 2 3" xfId="2449"/>
    <cellStyle name="Input cel 2 2 2 2 2 4" xfId="3688"/>
    <cellStyle name="Input cel 2 2 2 2 2 5" xfId="1530"/>
    <cellStyle name="Input cel 2 2 2 2 3" xfId="661"/>
    <cellStyle name="Input cel 2 2 2 2 3 2" xfId="3605"/>
    <cellStyle name="Input cel 2 2 2 2 3 3" xfId="2366"/>
    <cellStyle name="Input cel 2 2 2 2 3 4" xfId="4579"/>
    <cellStyle name="Input cel 2 2 2 2 4" xfId="405"/>
    <cellStyle name="Input cel 2 2 2 2 4 2" xfId="3376"/>
    <cellStyle name="Input cel 2 2 2 2 4 3" xfId="2137"/>
    <cellStyle name="Input cel 2 2 2 2 5" xfId="2189"/>
    <cellStyle name="Input cel 2 2 2 2 5 2" xfId="3428"/>
    <cellStyle name="Input cel 2 2 2 2 5 3" xfId="4460"/>
    <cellStyle name="Input cel 2 2 2 2 6" xfId="1831"/>
    <cellStyle name="Input cel 2 2 2 2 6 2" xfId="4311"/>
    <cellStyle name="Input cel 2 2 2 2 7" xfId="3070"/>
    <cellStyle name="Input cel 2 2 2 2 8" xfId="1433"/>
    <cellStyle name="Input cel 2 2 2 3" xfId="542"/>
    <cellStyle name="Input cel 2 2 2 3 2" xfId="1100"/>
    <cellStyle name="Input cel 2 2 2 3 2 2" xfId="4040"/>
    <cellStyle name="Input cel 2 2 2 3 2 3" xfId="2801"/>
    <cellStyle name="Input cel 2 2 2 3 3" xfId="2251"/>
    <cellStyle name="Input cel 2 2 2 3 3 2" xfId="3490"/>
    <cellStyle name="Input cel 2 2 2 3 3 3" xfId="4512"/>
    <cellStyle name="Input cel 2 2 2 3 4" xfId="1879"/>
    <cellStyle name="Input cel 2 2 2 3 5" xfId="3118"/>
    <cellStyle name="Input cel 2 2 2 3 6" xfId="1579"/>
    <cellStyle name="Input cel 2 2 2 4" xfId="844"/>
    <cellStyle name="Input cel 2 2 2 4 2" xfId="1164"/>
    <cellStyle name="Input cel 2 2 2 4 2 2" xfId="4104"/>
    <cellStyle name="Input cel 2 2 2 4 2 3" xfId="2865"/>
    <cellStyle name="Input cel 2 2 2 4 3" xfId="2548"/>
    <cellStyle name="Input cel 2 2 2 4 3 2" xfId="3787"/>
    <cellStyle name="Input cel 2 2 2 4 3 3" xfId="4685"/>
    <cellStyle name="Input cel 2 2 2 4 4" xfId="1943"/>
    <cellStyle name="Input cel 2 2 2 4 5" xfId="3182"/>
    <cellStyle name="Input cel 2 2 2 4 6" xfId="1643"/>
    <cellStyle name="Input cel 2 2 2 5" xfId="904"/>
    <cellStyle name="Input cel 2 2 2 5 2" xfId="1226"/>
    <cellStyle name="Input cel 2 2 2 5 2 2" xfId="4166"/>
    <cellStyle name="Input cel 2 2 2 5 2 3" xfId="2927"/>
    <cellStyle name="Input cel 2 2 2 5 3" xfId="2605"/>
    <cellStyle name="Input cel 2 2 2 5 3 2" xfId="3844"/>
    <cellStyle name="Input cel 2 2 2 5 3 3" xfId="4741"/>
    <cellStyle name="Input cel 2 2 2 5 4" xfId="2005"/>
    <cellStyle name="Input cel 2 2 2 5 5" xfId="3244"/>
    <cellStyle name="Input cel 2 2 2 5 6" xfId="1705"/>
    <cellStyle name="Input cel 2 2 2 6" xfId="725"/>
    <cellStyle name="Input cel 2 2 2 6 2" xfId="2430"/>
    <cellStyle name="Input cel 2 2 2 6 3" xfId="3669"/>
    <cellStyle name="Input cel 2 2 2 6 4" xfId="1510"/>
    <cellStyle name="Input cel 2 2 2 6 5" xfId="4634"/>
    <cellStyle name="Input cel 2 2 2 7" xfId="328"/>
    <cellStyle name="Input cel 2 2 2 7 2" xfId="3322"/>
    <cellStyle name="Input cel 2 2 2 7 3" xfId="2083"/>
    <cellStyle name="Input cel 2 2 2 8" xfId="1808"/>
    <cellStyle name="Input cel 2 2 2 8 2" xfId="4226"/>
    <cellStyle name="Input cel 2 2 2 9" xfId="3047"/>
    <cellStyle name="Input cel 2 2 3" xfId="308"/>
    <cellStyle name="Input cel 2 2 3 10" xfId="3034"/>
    <cellStyle name="Input cel 2 2 3 11" xfId="1366"/>
    <cellStyle name="Input cel 2 2 3 2" xfId="530"/>
    <cellStyle name="Input cel 2 2 3 2 2" xfId="780"/>
    <cellStyle name="Input cel 2 2 3 2 2 2" xfId="2485"/>
    <cellStyle name="Input cel 2 2 3 2 2 3" xfId="3724"/>
    <cellStyle name="Input cel 2 2 3 2 2 4" xfId="1567"/>
    <cellStyle name="Input cel 2 2 3 2 2 5" xfId="4665"/>
    <cellStyle name="Input cel 2 2 3 2 3" xfId="987"/>
    <cellStyle name="Input cel 2 2 3 2 3 2" xfId="3927"/>
    <cellStyle name="Input cel 2 2 3 2 3 3" xfId="2688"/>
    <cellStyle name="Input cel 2 2 3 2 4" xfId="2239"/>
    <cellStyle name="Input cel 2 2 3 2 4 2" xfId="3478"/>
    <cellStyle name="Input cel 2 2 3 2 4 3" xfId="4500"/>
    <cellStyle name="Input cel 2 2 3 2 5" xfId="1867"/>
    <cellStyle name="Input cel 2 2 3 2 5 2" xfId="4346"/>
    <cellStyle name="Input cel 2 2 3 2 6" xfId="3106"/>
    <cellStyle name="Input cel 2 2 3 2 7" xfId="1421"/>
    <cellStyle name="Input cel 2 2 3 3" xfId="590"/>
    <cellStyle name="Input cel 2 2 3 3 2" xfId="820"/>
    <cellStyle name="Input cel 2 2 3 3 2 2" xfId="1137"/>
    <cellStyle name="Input cel 2 2 3 3 2 2 2" xfId="4077"/>
    <cellStyle name="Input cel 2 2 3 3 2 2 3" xfId="2838"/>
    <cellStyle name="Input cel 2 2 3 3 2 3" xfId="3763"/>
    <cellStyle name="Input cel 2 2 3 3 2 4" xfId="2524"/>
    <cellStyle name="Input cel 2 2 3 3 3" xfId="1003"/>
    <cellStyle name="Input cel 2 2 3 3 3 2" xfId="3943"/>
    <cellStyle name="Input cel 2 2 3 3 3 3" xfId="2704"/>
    <cellStyle name="Input cel 2 2 3 3 4" xfId="2299"/>
    <cellStyle name="Input cel 2 2 3 3 4 2" xfId="3538"/>
    <cellStyle name="Input cel 2 2 3 3 4 3" xfId="4547"/>
    <cellStyle name="Input cel 2 2 3 3 5" xfId="1916"/>
    <cellStyle name="Input cel 2 2 3 3 6" xfId="3155"/>
    <cellStyle name="Input cel 2 2 3 3 7" xfId="1616"/>
    <cellStyle name="Input cel 2 2 3 4" xfId="881"/>
    <cellStyle name="Input cel 2 2 3 4 2" xfId="1201"/>
    <cellStyle name="Input cel 2 2 3 4 2 2" xfId="4141"/>
    <cellStyle name="Input cel 2 2 3 4 2 3" xfId="2902"/>
    <cellStyle name="Input cel 2 2 3 4 3" xfId="2585"/>
    <cellStyle name="Input cel 2 2 3 4 3 2" xfId="3824"/>
    <cellStyle name="Input cel 2 2 3 4 3 3" xfId="4722"/>
    <cellStyle name="Input cel 2 2 3 4 4" xfId="1980"/>
    <cellStyle name="Input cel 2 2 3 4 5" xfId="3219"/>
    <cellStyle name="Input cel 2 2 3 4 6" xfId="1680"/>
    <cellStyle name="Input cel 2 2 3 5" xfId="940"/>
    <cellStyle name="Input cel 2 2 3 5 2" xfId="1262"/>
    <cellStyle name="Input cel 2 2 3 5 2 2" xfId="4202"/>
    <cellStyle name="Input cel 2 2 3 5 2 3" xfId="2963"/>
    <cellStyle name="Input cel 2 2 3 5 3" xfId="2641"/>
    <cellStyle name="Input cel 2 2 3 5 3 2" xfId="3880"/>
    <cellStyle name="Input cel 2 2 3 5 3 3" xfId="4777"/>
    <cellStyle name="Input cel 2 2 3 5 4" xfId="2041"/>
    <cellStyle name="Input cel 2 2 3 5 5" xfId="3280"/>
    <cellStyle name="Input cel 2 2 3 5 6" xfId="1741"/>
    <cellStyle name="Input cel 2 2 3 6" xfId="712"/>
    <cellStyle name="Input cel 2 2 3 6 2" xfId="2417"/>
    <cellStyle name="Input cel 2 2 3 6 3" xfId="3656"/>
    <cellStyle name="Input cel 2 2 3 6 4" xfId="1497"/>
    <cellStyle name="Input cel 2 2 3 6 5" xfId="4621"/>
    <cellStyle name="Input cel 2 2 3 7" xfId="343"/>
    <cellStyle name="Input cel 2 2 3 7 2" xfId="3335"/>
    <cellStyle name="Input cel 2 2 3 7 3" xfId="2096"/>
    <cellStyle name="Input cel 2 2 3 8" xfId="2065"/>
    <cellStyle name="Input cel 2 2 3 8 2" xfId="3304"/>
    <cellStyle name="Input cel 2 2 3 8 3" xfId="4399"/>
    <cellStyle name="Input cel 2 2 3 9" xfId="1795"/>
    <cellStyle name="Input cel 2 2 3 9 2" xfId="4252"/>
    <cellStyle name="Input cel 2 2 4" xfId="462"/>
    <cellStyle name="Input cel 2 2 4 2" xfId="707"/>
    <cellStyle name="Input cel 2 2 4 2 2" xfId="1047"/>
    <cellStyle name="Input cel 2 2 4 2 2 2" xfId="3987"/>
    <cellStyle name="Input cel 2 2 4 2 2 3" xfId="2748"/>
    <cellStyle name="Input cel 2 2 4 2 3" xfId="3651"/>
    <cellStyle name="Input cel 2 2 4 2 3 2" xfId="4616"/>
    <cellStyle name="Input cel 2 2 4 2 4" xfId="2412"/>
    <cellStyle name="Input cel 2 2 4 3" xfId="991"/>
    <cellStyle name="Input cel 2 2 4 3 2" xfId="3931"/>
    <cellStyle name="Input cel 2 2 4 3 3" xfId="2692"/>
    <cellStyle name="Input cel 2 2 4 4" xfId="2174"/>
    <cellStyle name="Input cel 2 2 4 4 2" xfId="3413"/>
    <cellStyle name="Input cel 2 2 4 4 3" xfId="4448"/>
    <cellStyle name="Input cel 2 2 4 5" xfId="1786"/>
    <cellStyle name="Input cel 2 2 4 5 2" xfId="4228"/>
    <cellStyle name="Input cel 2 2 4 6" xfId="3025"/>
    <cellStyle name="Input cel 2 2 4 7" xfId="1489"/>
    <cellStyle name="Input cel 2 2 5" xfId="499"/>
    <cellStyle name="Input cel 2 2 5 2" xfId="1151"/>
    <cellStyle name="Input cel 2 2 5 2 2" xfId="4091"/>
    <cellStyle name="Input cel 2 2 5 2 3" xfId="2852"/>
    <cellStyle name="Input cel 2 2 5 3" xfId="2211"/>
    <cellStyle name="Input cel 2 2 5 3 2" xfId="3450"/>
    <cellStyle name="Input cel 2 2 5 3 3" xfId="4478"/>
    <cellStyle name="Input cel 2 2 5 4" xfId="1930"/>
    <cellStyle name="Input cel 2 2 5 4 2" xfId="4374"/>
    <cellStyle name="Input cel 2 2 5 5" xfId="3169"/>
    <cellStyle name="Input cel 2 2 5 6" xfId="1630"/>
    <cellStyle name="Input cel 2 2 6" xfId="894"/>
    <cellStyle name="Input cel 2 2 6 2" xfId="1214"/>
    <cellStyle name="Input cel 2 2 6 2 2" xfId="4154"/>
    <cellStyle name="Input cel 2 2 6 2 3" xfId="2915"/>
    <cellStyle name="Input cel 2 2 6 3" xfId="2598"/>
    <cellStyle name="Input cel 2 2 6 3 2" xfId="3837"/>
    <cellStyle name="Input cel 2 2 6 3 3" xfId="4735"/>
    <cellStyle name="Input cel 2 2 6 4" xfId="1993"/>
    <cellStyle name="Input cel 2 2 6 5" xfId="3232"/>
    <cellStyle name="Input cel 2 2 6 6" xfId="1693"/>
    <cellStyle name="Input cel 2 2 7" xfId="371"/>
    <cellStyle name="Input cel 2 2 7 2" xfId="959"/>
    <cellStyle name="Input cel 2 2 7 2 2" xfId="3899"/>
    <cellStyle name="Input cel 2 2 7 2 3" xfId="2660"/>
    <cellStyle name="Input cel 2 2 7 3" xfId="2114"/>
    <cellStyle name="Input cel 2 2 7 4" xfId="3353"/>
    <cellStyle name="Input cel 2 2 7 5" xfId="1292"/>
    <cellStyle name="Input cel 2 2 8" xfId="789"/>
    <cellStyle name="Input cel 2 2 8 2" xfId="3733"/>
    <cellStyle name="Input cel 2 2 8 3" xfId="2494"/>
    <cellStyle name="Input cel 2 2 9" xfId="1293"/>
    <cellStyle name="Input cel 2 2 9 2" xfId="4300"/>
    <cellStyle name="Input cel 2 3" xfId="445"/>
    <cellStyle name="Input cel 2 3 10" xfId="452"/>
    <cellStyle name="Input cel 2 3 2" xfId="566"/>
    <cellStyle name="Input cel 2 3 2 10" xfId="3084"/>
    <cellStyle name="Input cel 2 3 2 11" xfId="1451"/>
    <cellStyle name="Input cel 2 3 2 2" xfId="797"/>
    <cellStyle name="Input cel 2 3 2 2 2" xfId="1114"/>
    <cellStyle name="Input cel 2 3 2 2 2 2" xfId="4054"/>
    <cellStyle name="Input cel 2 3 2 2 2 3" xfId="2815"/>
    <cellStyle name="Input cel 2 3 2 2 3" xfId="346"/>
    <cellStyle name="Input cel 2 3 2 2 3 2" xfId="3336"/>
    <cellStyle name="Input cel 2 3 2 2 3 3" xfId="2097"/>
    <cellStyle name="Input cel 2 3 2 2 4" xfId="2501"/>
    <cellStyle name="Input cel 2 3 2 2 4 2" xfId="3740"/>
    <cellStyle name="Input cel 2 3 2 2 4 3" xfId="4668"/>
    <cellStyle name="Input cel 2 3 2 2 5" xfId="1893"/>
    <cellStyle name="Input cel 2 3 2 2 5 2" xfId="4354"/>
    <cellStyle name="Input cel 2 3 2 2 6" xfId="3132"/>
    <cellStyle name="Input cel 2 3 2 2 7" xfId="1593"/>
    <cellStyle name="Input cel 2 3 2 3" xfId="858"/>
    <cellStyle name="Input cel 2 3 2 3 2" xfId="1178"/>
    <cellStyle name="Input cel 2 3 2 3 2 2" xfId="4118"/>
    <cellStyle name="Input cel 2 3 2 3 2 3" xfId="2879"/>
    <cellStyle name="Input cel 2 3 2 3 3" xfId="2562"/>
    <cellStyle name="Input cel 2 3 2 3 3 2" xfId="3801"/>
    <cellStyle name="Input cel 2 3 2 3 3 3" xfId="4699"/>
    <cellStyle name="Input cel 2 3 2 3 4" xfId="1957"/>
    <cellStyle name="Input cel 2 3 2 3 5" xfId="3196"/>
    <cellStyle name="Input cel 2 3 2 3 6" xfId="1657"/>
    <cellStyle name="Input cel 2 3 2 4" xfId="918"/>
    <cellStyle name="Input cel 2 3 2 4 2" xfId="1240"/>
    <cellStyle name="Input cel 2 3 2 4 2 2" xfId="4180"/>
    <cellStyle name="Input cel 2 3 2 4 2 3" xfId="2941"/>
    <cellStyle name="Input cel 2 3 2 4 3" xfId="2619"/>
    <cellStyle name="Input cel 2 3 2 4 3 2" xfId="3858"/>
    <cellStyle name="Input cel 2 3 2 4 3 3" xfId="4755"/>
    <cellStyle name="Input cel 2 3 2 4 4" xfId="2019"/>
    <cellStyle name="Input cel 2 3 2 4 5" xfId="3258"/>
    <cellStyle name="Input cel 2 3 2 4 6" xfId="1719"/>
    <cellStyle name="Input cel 2 3 2 5" xfId="758"/>
    <cellStyle name="Input cel 2 3 2 5 2" xfId="1077"/>
    <cellStyle name="Input cel 2 3 2 5 2 2" xfId="4017"/>
    <cellStyle name="Input cel 2 3 2 5 2 3" xfId="2778"/>
    <cellStyle name="Input cel 2 3 2 5 3" xfId="2463"/>
    <cellStyle name="Input cel 2 3 2 5 4" xfId="3702"/>
    <cellStyle name="Input cel 2 3 2 5 5" xfId="1544"/>
    <cellStyle name="Input cel 2 3 2 6" xfId="678"/>
    <cellStyle name="Input cel 2 3 2 6 2" xfId="3622"/>
    <cellStyle name="Input cel 2 3 2 6 3" xfId="2383"/>
    <cellStyle name="Input cel 2 3 2 6 4" xfId="4594"/>
    <cellStyle name="Input cel 2 3 2 7" xfId="829"/>
    <cellStyle name="Input cel 2 3 2 7 2" xfId="3772"/>
    <cellStyle name="Input cel 2 3 2 7 3" xfId="2533"/>
    <cellStyle name="Input cel 2 3 2 8" xfId="2275"/>
    <cellStyle name="Input cel 2 3 2 8 2" xfId="3514"/>
    <cellStyle name="Input cel 2 3 2 8 3" xfId="4525"/>
    <cellStyle name="Input cel 2 3 2 9" xfId="1845"/>
    <cellStyle name="Input cel 2 3 2 9 2" xfId="4324"/>
    <cellStyle name="Input cel 2 3 3" xfId="610"/>
    <cellStyle name="Input cel 2 3 3 2" xfId="1030"/>
    <cellStyle name="Input cel 2 3 3 2 2" xfId="3970"/>
    <cellStyle name="Input cel 2 3 3 2 2 2" xfId="4791"/>
    <cellStyle name="Input cel 2 3 3 2 3" xfId="2731"/>
    <cellStyle name="Input cel 2 3 3 3" xfId="2319"/>
    <cellStyle name="Input cel 2 3 3 3 2" xfId="3558"/>
    <cellStyle name="Input cel 2 3 3 3 3" xfId="4560"/>
    <cellStyle name="Input cel 2 3 3 4" xfId="1756"/>
    <cellStyle name="Input cel 2 3 3 4 2" xfId="4220"/>
    <cellStyle name="Input cel 2 3 3 5" xfId="2996"/>
    <cellStyle name="Input cel 2 3 3 6" xfId="1349"/>
    <cellStyle name="Input cel 2 3 4" xfId="1057"/>
    <cellStyle name="Input cel 2 3 4 2" xfId="3997"/>
    <cellStyle name="Input cel 2 3 4 2 2" xfId="4805"/>
    <cellStyle name="Input cel 2 3 4 3" xfId="2758"/>
    <cellStyle name="Input cel 2 3 5" xfId="472"/>
    <cellStyle name="Input cel 2 3 5 2" xfId="3423"/>
    <cellStyle name="Input cel 2 3 5 3" xfId="2184"/>
    <cellStyle name="Input cel 2 3 6" xfId="2159"/>
    <cellStyle name="Input cel 2 3 6 2" xfId="3398"/>
    <cellStyle name="Input cel 2 3 6 3" xfId="4436"/>
    <cellStyle name="Input cel 2 3 7" xfId="1487"/>
    <cellStyle name="Input cel 2 3 8" xfId="2971"/>
    <cellStyle name="Input cel 2 3 9" xfId="1277"/>
    <cellStyle name="Input cel 2 4" xfId="443"/>
    <cellStyle name="Input cel 3" xfId="22"/>
    <cellStyle name="Input cel 3 2" xfId="257"/>
    <cellStyle name="Input cel 3 2 10" xfId="1296"/>
    <cellStyle name="Input cel 3 2 11" xfId="1270"/>
    <cellStyle name="Input cel 3 2 2" xfId="281"/>
    <cellStyle name="Input cel 3 2 2 10" xfId="1386"/>
    <cellStyle name="Input cel 3 2 2 2" xfId="484"/>
    <cellStyle name="Input cel 3 2 2 2 2" xfId="751"/>
    <cellStyle name="Input cel 3 2 2 2 2 2" xfId="1073"/>
    <cellStyle name="Input cel 3 2 2 2 2 2 2" xfId="4013"/>
    <cellStyle name="Input cel 3 2 2 2 2 2 3" xfId="2774"/>
    <cellStyle name="Input cel 3 2 2 2 2 3" xfId="2456"/>
    <cellStyle name="Input cel 3 2 2 2 2 4" xfId="3695"/>
    <cellStyle name="Input cel 3 2 2 2 2 5" xfId="1537"/>
    <cellStyle name="Input cel 3 2 2 2 3" xfId="668"/>
    <cellStyle name="Input cel 3 2 2 2 3 2" xfId="3612"/>
    <cellStyle name="Input cel 3 2 2 2 3 3" xfId="2373"/>
    <cellStyle name="Input cel 3 2 2 2 3 4" xfId="4586"/>
    <cellStyle name="Input cel 3 2 2 2 4" xfId="520"/>
    <cellStyle name="Input cel 3 2 2 2 4 2" xfId="3468"/>
    <cellStyle name="Input cel 3 2 2 2 4 3" xfId="2229"/>
    <cellStyle name="Input cel 3 2 2 2 5" xfId="2196"/>
    <cellStyle name="Input cel 3 2 2 2 5 2" xfId="3435"/>
    <cellStyle name="Input cel 3 2 2 2 5 3" xfId="4467"/>
    <cellStyle name="Input cel 3 2 2 2 6" xfId="1838"/>
    <cellStyle name="Input cel 3 2 2 2 6 2" xfId="4318"/>
    <cellStyle name="Input cel 3 2 2 2 7" xfId="3077"/>
    <cellStyle name="Input cel 3 2 2 2 8" xfId="1440"/>
    <cellStyle name="Input cel 3 2 2 3" xfId="549"/>
    <cellStyle name="Input cel 3 2 2 3 2" xfId="1107"/>
    <cellStyle name="Input cel 3 2 2 3 2 2" xfId="4047"/>
    <cellStyle name="Input cel 3 2 2 3 2 3" xfId="2808"/>
    <cellStyle name="Input cel 3 2 2 3 3" xfId="2258"/>
    <cellStyle name="Input cel 3 2 2 3 3 2" xfId="3497"/>
    <cellStyle name="Input cel 3 2 2 3 3 3" xfId="4519"/>
    <cellStyle name="Input cel 3 2 2 3 4" xfId="1886"/>
    <cellStyle name="Input cel 3 2 2 3 5" xfId="3125"/>
    <cellStyle name="Input cel 3 2 2 3 6" xfId="1586"/>
    <cellStyle name="Input cel 3 2 2 4" xfId="851"/>
    <cellStyle name="Input cel 3 2 2 4 2" xfId="1171"/>
    <cellStyle name="Input cel 3 2 2 4 2 2" xfId="4111"/>
    <cellStyle name="Input cel 3 2 2 4 2 3" xfId="2872"/>
    <cellStyle name="Input cel 3 2 2 4 3" xfId="2555"/>
    <cellStyle name="Input cel 3 2 2 4 3 2" xfId="3794"/>
    <cellStyle name="Input cel 3 2 2 4 3 3" xfId="4692"/>
    <cellStyle name="Input cel 3 2 2 4 4" xfId="1950"/>
    <cellStyle name="Input cel 3 2 2 4 5" xfId="3189"/>
    <cellStyle name="Input cel 3 2 2 4 6" xfId="1650"/>
    <cellStyle name="Input cel 3 2 2 5" xfId="911"/>
    <cellStyle name="Input cel 3 2 2 5 2" xfId="1233"/>
    <cellStyle name="Input cel 3 2 2 5 2 2" xfId="4173"/>
    <cellStyle name="Input cel 3 2 2 5 2 3" xfId="2934"/>
    <cellStyle name="Input cel 3 2 2 5 3" xfId="2612"/>
    <cellStyle name="Input cel 3 2 2 5 3 2" xfId="3851"/>
    <cellStyle name="Input cel 3 2 2 5 3 3" xfId="4748"/>
    <cellStyle name="Input cel 3 2 2 5 4" xfId="2012"/>
    <cellStyle name="Input cel 3 2 2 5 5" xfId="3251"/>
    <cellStyle name="Input cel 3 2 2 5 6" xfId="1712"/>
    <cellStyle name="Input cel 3 2 2 6" xfId="732"/>
    <cellStyle name="Input cel 3 2 2 6 2" xfId="2437"/>
    <cellStyle name="Input cel 3 2 2 6 3" xfId="3676"/>
    <cellStyle name="Input cel 3 2 2 6 4" xfId="1517"/>
    <cellStyle name="Input cel 3 2 2 6 5" xfId="4641"/>
    <cellStyle name="Input cel 3 2 2 7" xfId="400"/>
    <cellStyle name="Input cel 3 2 2 7 2" xfId="3371"/>
    <cellStyle name="Input cel 3 2 2 7 3" xfId="2132"/>
    <cellStyle name="Input cel 3 2 2 8" xfId="1815"/>
    <cellStyle name="Input cel 3 2 2 8 2" xfId="4210"/>
    <cellStyle name="Input cel 3 2 2 9" xfId="3054"/>
    <cellStyle name="Input cel 3 2 3" xfId="309"/>
    <cellStyle name="Input cel 3 2 3 10" xfId="3035"/>
    <cellStyle name="Input cel 3 2 3 11" xfId="1367"/>
    <cellStyle name="Input cel 3 2 3 2" xfId="531"/>
    <cellStyle name="Input cel 3 2 3 2 2" xfId="781"/>
    <cellStyle name="Input cel 3 2 3 2 2 2" xfId="2486"/>
    <cellStyle name="Input cel 3 2 3 2 2 3" xfId="3725"/>
    <cellStyle name="Input cel 3 2 3 2 2 4" xfId="1568"/>
    <cellStyle name="Input cel 3 2 3 2 2 5" xfId="4666"/>
    <cellStyle name="Input cel 3 2 3 2 3" xfId="988"/>
    <cellStyle name="Input cel 3 2 3 2 3 2" xfId="3928"/>
    <cellStyle name="Input cel 3 2 3 2 3 3" xfId="2689"/>
    <cellStyle name="Input cel 3 2 3 2 4" xfId="2240"/>
    <cellStyle name="Input cel 3 2 3 2 4 2" xfId="3479"/>
    <cellStyle name="Input cel 3 2 3 2 4 3" xfId="4501"/>
    <cellStyle name="Input cel 3 2 3 2 5" xfId="1868"/>
    <cellStyle name="Input cel 3 2 3 2 5 2" xfId="4347"/>
    <cellStyle name="Input cel 3 2 3 2 6" xfId="3107"/>
    <cellStyle name="Input cel 3 2 3 2 7" xfId="1422"/>
    <cellStyle name="Input cel 3 2 3 3" xfId="591"/>
    <cellStyle name="Input cel 3 2 3 3 2" xfId="821"/>
    <cellStyle name="Input cel 3 2 3 3 2 2" xfId="1138"/>
    <cellStyle name="Input cel 3 2 3 3 2 2 2" xfId="4078"/>
    <cellStyle name="Input cel 3 2 3 3 2 2 3" xfId="2839"/>
    <cellStyle name="Input cel 3 2 3 3 2 3" xfId="3764"/>
    <cellStyle name="Input cel 3 2 3 3 2 4" xfId="2525"/>
    <cellStyle name="Input cel 3 2 3 3 3" xfId="1004"/>
    <cellStyle name="Input cel 3 2 3 3 3 2" xfId="3944"/>
    <cellStyle name="Input cel 3 2 3 3 3 3" xfId="2705"/>
    <cellStyle name="Input cel 3 2 3 3 4" xfId="2300"/>
    <cellStyle name="Input cel 3 2 3 3 4 2" xfId="3539"/>
    <cellStyle name="Input cel 3 2 3 3 4 3" xfId="4548"/>
    <cellStyle name="Input cel 3 2 3 3 5" xfId="1917"/>
    <cellStyle name="Input cel 3 2 3 3 6" xfId="3156"/>
    <cellStyle name="Input cel 3 2 3 3 7" xfId="1617"/>
    <cellStyle name="Input cel 3 2 3 4" xfId="882"/>
    <cellStyle name="Input cel 3 2 3 4 2" xfId="1202"/>
    <cellStyle name="Input cel 3 2 3 4 2 2" xfId="4142"/>
    <cellStyle name="Input cel 3 2 3 4 2 3" xfId="2903"/>
    <cellStyle name="Input cel 3 2 3 4 3" xfId="2586"/>
    <cellStyle name="Input cel 3 2 3 4 3 2" xfId="3825"/>
    <cellStyle name="Input cel 3 2 3 4 3 3" xfId="4723"/>
    <cellStyle name="Input cel 3 2 3 4 4" xfId="1981"/>
    <cellStyle name="Input cel 3 2 3 4 5" xfId="3220"/>
    <cellStyle name="Input cel 3 2 3 4 6" xfId="1681"/>
    <cellStyle name="Input cel 3 2 3 5" xfId="941"/>
    <cellStyle name="Input cel 3 2 3 5 2" xfId="1263"/>
    <cellStyle name="Input cel 3 2 3 5 2 2" xfId="4203"/>
    <cellStyle name="Input cel 3 2 3 5 2 3" xfId="2964"/>
    <cellStyle name="Input cel 3 2 3 5 3" xfId="2642"/>
    <cellStyle name="Input cel 3 2 3 5 3 2" xfId="3881"/>
    <cellStyle name="Input cel 3 2 3 5 3 3" xfId="4778"/>
    <cellStyle name="Input cel 3 2 3 5 4" xfId="2042"/>
    <cellStyle name="Input cel 3 2 3 5 5" xfId="3281"/>
    <cellStyle name="Input cel 3 2 3 5 6" xfId="1742"/>
    <cellStyle name="Input cel 3 2 3 6" xfId="713"/>
    <cellStyle name="Input cel 3 2 3 6 2" xfId="2418"/>
    <cellStyle name="Input cel 3 2 3 6 3" xfId="3657"/>
    <cellStyle name="Input cel 3 2 3 6 4" xfId="1498"/>
    <cellStyle name="Input cel 3 2 3 6 5" xfId="4622"/>
    <cellStyle name="Input cel 3 2 3 7" xfId="491"/>
    <cellStyle name="Input cel 3 2 3 7 2" xfId="3442"/>
    <cellStyle name="Input cel 3 2 3 7 3" xfId="2203"/>
    <cellStyle name="Input cel 3 2 3 8" xfId="2066"/>
    <cellStyle name="Input cel 3 2 3 8 2" xfId="3305"/>
    <cellStyle name="Input cel 3 2 3 8 3" xfId="4400"/>
    <cellStyle name="Input cel 3 2 3 9" xfId="1796"/>
    <cellStyle name="Input cel 3 2 3 9 2" xfId="4254"/>
    <cellStyle name="Input cel 3 2 4" xfId="463"/>
    <cellStyle name="Input cel 3 2 4 2" xfId="700"/>
    <cellStyle name="Input cel 3 2 4 2 2" xfId="1040"/>
    <cellStyle name="Input cel 3 2 4 2 2 2" xfId="3980"/>
    <cellStyle name="Input cel 3 2 4 2 2 3" xfId="2741"/>
    <cellStyle name="Input cel 3 2 4 2 3" xfId="3644"/>
    <cellStyle name="Input cel 3 2 4 2 3 2" xfId="4610"/>
    <cellStyle name="Input cel 3 2 4 2 4" xfId="2405"/>
    <cellStyle name="Input cel 3 2 4 3" xfId="564"/>
    <cellStyle name="Input cel 3 2 4 3 2" xfId="3512"/>
    <cellStyle name="Input cel 3 2 4 3 3" xfId="2273"/>
    <cellStyle name="Input cel 3 2 4 4" xfId="2175"/>
    <cellStyle name="Input cel 3 2 4 4 2" xfId="3414"/>
    <cellStyle name="Input cel 3 2 4 4 3" xfId="4449"/>
    <cellStyle name="Input cel 3 2 4 5" xfId="1777"/>
    <cellStyle name="Input cel 3 2 4 5 2" xfId="4216"/>
    <cellStyle name="Input cel 3 2 4 6" xfId="3017"/>
    <cellStyle name="Input cel 3 2 4 7" xfId="1481"/>
    <cellStyle name="Input cel 3 2 5" xfId="500"/>
    <cellStyle name="Input cel 3 2 5 2" xfId="1152"/>
    <cellStyle name="Input cel 3 2 5 2 2" xfId="4092"/>
    <cellStyle name="Input cel 3 2 5 2 3" xfId="2853"/>
    <cellStyle name="Input cel 3 2 5 3" xfId="2212"/>
    <cellStyle name="Input cel 3 2 5 3 2" xfId="3451"/>
    <cellStyle name="Input cel 3 2 5 3 3" xfId="4479"/>
    <cellStyle name="Input cel 3 2 5 4" xfId="1931"/>
    <cellStyle name="Input cel 3 2 5 4 2" xfId="4375"/>
    <cellStyle name="Input cel 3 2 5 5" xfId="3170"/>
    <cellStyle name="Input cel 3 2 5 6" xfId="1631"/>
    <cellStyle name="Input cel 3 2 6" xfId="895"/>
    <cellStyle name="Input cel 3 2 6 2" xfId="1215"/>
    <cellStyle name="Input cel 3 2 6 2 2" xfId="4155"/>
    <cellStyle name="Input cel 3 2 6 2 3" xfId="2916"/>
    <cellStyle name="Input cel 3 2 6 3" xfId="2599"/>
    <cellStyle name="Input cel 3 2 6 3 2" xfId="3838"/>
    <cellStyle name="Input cel 3 2 6 3 3" xfId="4736"/>
    <cellStyle name="Input cel 3 2 6 4" xfId="1994"/>
    <cellStyle name="Input cel 3 2 6 5" xfId="3233"/>
    <cellStyle name="Input cel 3 2 6 6" xfId="1694"/>
    <cellStyle name="Input cel 3 2 7" xfId="640"/>
    <cellStyle name="Input cel 3 2 7 2" xfId="376"/>
    <cellStyle name="Input cel 3 2 7 2 2" xfId="3356"/>
    <cellStyle name="Input cel 3 2 7 2 3" xfId="2117"/>
    <cellStyle name="Input cel 3 2 7 3" xfId="2347"/>
    <cellStyle name="Input cel 3 2 7 4" xfId="3586"/>
    <cellStyle name="Input cel 3 2 7 5" xfId="1397"/>
    <cellStyle name="Input cel 3 2 8" xfId="632"/>
    <cellStyle name="Input cel 3 2 8 2" xfId="3578"/>
    <cellStyle name="Input cel 3 2 8 3" xfId="2339"/>
    <cellStyle name="Input cel 3 2 9" xfId="1320"/>
    <cellStyle name="Input cel 3 2 9 2" xfId="4283"/>
    <cellStyle name="Input cel 3 3" xfId="410"/>
    <cellStyle name="Input cel 3 3 10" xfId="415"/>
    <cellStyle name="Input cel 3 3 2" xfId="572"/>
    <cellStyle name="Input cel 3 3 2 10" xfId="3090"/>
    <cellStyle name="Input cel 3 3 2 11" xfId="1457"/>
    <cellStyle name="Input cel 3 3 2 2" xfId="803"/>
    <cellStyle name="Input cel 3 3 2 2 2" xfId="1120"/>
    <cellStyle name="Input cel 3 3 2 2 2 2" xfId="4060"/>
    <cellStyle name="Input cel 3 3 2 2 2 3" xfId="2821"/>
    <cellStyle name="Input cel 3 3 2 2 3" xfId="961"/>
    <cellStyle name="Input cel 3 3 2 2 3 2" xfId="3901"/>
    <cellStyle name="Input cel 3 3 2 2 3 3" xfId="2662"/>
    <cellStyle name="Input cel 3 3 2 2 4" xfId="2507"/>
    <cellStyle name="Input cel 3 3 2 2 4 2" xfId="3746"/>
    <cellStyle name="Input cel 3 3 2 2 4 3" xfId="4672"/>
    <cellStyle name="Input cel 3 3 2 2 5" xfId="1899"/>
    <cellStyle name="Input cel 3 3 2 2 5 2" xfId="4360"/>
    <cellStyle name="Input cel 3 3 2 2 6" xfId="3138"/>
    <cellStyle name="Input cel 3 3 2 2 7" xfId="1599"/>
    <cellStyle name="Input cel 3 3 2 3" xfId="864"/>
    <cellStyle name="Input cel 3 3 2 3 2" xfId="1184"/>
    <cellStyle name="Input cel 3 3 2 3 2 2" xfId="4124"/>
    <cellStyle name="Input cel 3 3 2 3 2 3" xfId="2885"/>
    <cellStyle name="Input cel 3 3 2 3 3" xfId="2568"/>
    <cellStyle name="Input cel 3 3 2 3 3 2" xfId="3807"/>
    <cellStyle name="Input cel 3 3 2 3 3 3" xfId="4705"/>
    <cellStyle name="Input cel 3 3 2 3 4" xfId="1963"/>
    <cellStyle name="Input cel 3 3 2 3 5" xfId="3202"/>
    <cellStyle name="Input cel 3 3 2 3 6" xfId="1663"/>
    <cellStyle name="Input cel 3 3 2 4" xfId="924"/>
    <cellStyle name="Input cel 3 3 2 4 2" xfId="1246"/>
    <cellStyle name="Input cel 3 3 2 4 2 2" xfId="4186"/>
    <cellStyle name="Input cel 3 3 2 4 2 3" xfId="2947"/>
    <cellStyle name="Input cel 3 3 2 4 3" xfId="2625"/>
    <cellStyle name="Input cel 3 3 2 4 3 2" xfId="3864"/>
    <cellStyle name="Input cel 3 3 2 4 3 3" xfId="4761"/>
    <cellStyle name="Input cel 3 3 2 4 4" xfId="2025"/>
    <cellStyle name="Input cel 3 3 2 4 5" xfId="3264"/>
    <cellStyle name="Input cel 3 3 2 4 6" xfId="1725"/>
    <cellStyle name="Input cel 3 3 2 5" xfId="764"/>
    <cellStyle name="Input cel 3 3 2 5 2" xfId="1083"/>
    <cellStyle name="Input cel 3 3 2 5 2 2" xfId="4023"/>
    <cellStyle name="Input cel 3 3 2 5 2 3" xfId="2784"/>
    <cellStyle name="Input cel 3 3 2 5 3" xfId="2469"/>
    <cellStyle name="Input cel 3 3 2 5 4" xfId="3708"/>
    <cellStyle name="Input cel 3 3 2 5 5" xfId="1550"/>
    <cellStyle name="Input cel 3 3 2 6" xfId="684"/>
    <cellStyle name="Input cel 3 3 2 6 2" xfId="3628"/>
    <cellStyle name="Input cel 3 3 2 6 3" xfId="2389"/>
    <cellStyle name="Input cel 3 3 2 6 4" xfId="4598"/>
    <cellStyle name="Input cel 3 3 2 7" xfId="326"/>
    <cellStyle name="Input cel 3 3 2 7 2" xfId="3320"/>
    <cellStyle name="Input cel 3 3 2 7 3" xfId="2081"/>
    <cellStyle name="Input cel 3 3 2 8" xfId="2281"/>
    <cellStyle name="Input cel 3 3 2 8 2" xfId="3520"/>
    <cellStyle name="Input cel 3 3 2 8 3" xfId="4531"/>
    <cellStyle name="Input cel 3 3 2 9" xfId="1851"/>
    <cellStyle name="Input cel 3 3 2 9 2" xfId="4330"/>
    <cellStyle name="Input cel 3 3 3" xfId="417"/>
    <cellStyle name="Input cel 3 3 3 2" xfId="1025"/>
    <cellStyle name="Input cel 3 3 3 2 2" xfId="3965"/>
    <cellStyle name="Input cel 3 3 3 2 2 2" xfId="4788"/>
    <cellStyle name="Input cel 3 3 3 2 3" xfId="2726"/>
    <cellStyle name="Input cel 3 3 3 3" xfId="2145"/>
    <cellStyle name="Input cel 3 3 3 3 2" xfId="3384"/>
    <cellStyle name="Input cel 3 3 3 3 3" xfId="4432"/>
    <cellStyle name="Input cel 3 3 3 4" xfId="1749"/>
    <cellStyle name="Input cel 3 3 3 4 2" xfId="4257"/>
    <cellStyle name="Input cel 3 3 3 5" xfId="2989"/>
    <cellStyle name="Input cel 3 3 3 6" xfId="1284"/>
    <cellStyle name="Input cel 3 3 4" xfId="348"/>
    <cellStyle name="Input cel 3 3 4 2" xfId="3338"/>
    <cellStyle name="Input cel 3 3 4 2 2" xfId="4415"/>
    <cellStyle name="Input cel 3 3 4 3" xfId="2099"/>
    <cellStyle name="Input cel 3 3 5" xfId="680"/>
    <cellStyle name="Input cel 3 3 5 2" xfId="3624"/>
    <cellStyle name="Input cel 3 3 5 3" xfId="2385"/>
    <cellStyle name="Input cel 3 3 6" xfId="2140"/>
    <cellStyle name="Input cel 3 3 6 2" xfId="3379"/>
    <cellStyle name="Input cel 3 3 6 3" xfId="4428"/>
    <cellStyle name="Input cel 3 3 7" xfId="1755"/>
    <cellStyle name="Input cel 3 3 8" xfId="2995"/>
    <cellStyle name="Input cel 3 3 9" xfId="1314"/>
    <cellStyle name="Input cel 3 4" xfId="388"/>
    <cellStyle name="Input cel 4" xfId="255"/>
    <cellStyle name="Input cel 4 10" xfId="1474"/>
    <cellStyle name="Input cel 4 11" xfId="345"/>
    <cellStyle name="Input cel 4 2" xfId="279"/>
    <cellStyle name="Input cel 4 2 10" xfId="1381"/>
    <cellStyle name="Input cel 4 2 2" xfId="479"/>
    <cellStyle name="Input cel 4 2 2 2" xfId="746"/>
    <cellStyle name="Input cel 4 2 2 2 2" xfId="1068"/>
    <cellStyle name="Input cel 4 2 2 2 2 2" xfId="4008"/>
    <cellStyle name="Input cel 4 2 2 2 2 3" xfId="2769"/>
    <cellStyle name="Input cel 4 2 2 2 3" xfId="2451"/>
    <cellStyle name="Input cel 4 2 2 2 4" xfId="3690"/>
    <cellStyle name="Input cel 4 2 2 2 5" xfId="1532"/>
    <cellStyle name="Input cel 4 2 2 3" xfId="663"/>
    <cellStyle name="Input cel 4 2 2 3 2" xfId="3607"/>
    <cellStyle name="Input cel 4 2 2 3 3" xfId="2368"/>
    <cellStyle name="Input cel 4 2 2 3 4" xfId="4581"/>
    <cellStyle name="Input cel 4 2 2 4" xfId="982"/>
    <cellStyle name="Input cel 4 2 2 4 2" xfId="3922"/>
    <cellStyle name="Input cel 4 2 2 4 3" xfId="2683"/>
    <cellStyle name="Input cel 4 2 2 5" xfId="2191"/>
    <cellStyle name="Input cel 4 2 2 5 2" xfId="3430"/>
    <cellStyle name="Input cel 4 2 2 5 3" xfId="4462"/>
    <cellStyle name="Input cel 4 2 2 6" xfId="1833"/>
    <cellStyle name="Input cel 4 2 2 6 2" xfId="4313"/>
    <cellStyle name="Input cel 4 2 2 7" xfId="3072"/>
    <cellStyle name="Input cel 4 2 2 8" xfId="1435"/>
    <cellStyle name="Input cel 4 2 3" xfId="544"/>
    <cellStyle name="Input cel 4 2 3 2" xfId="1102"/>
    <cellStyle name="Input cel 4 2 3 2 2" xfId="4042"/>
    <cellStyle name="Input cel 4 2 3 2 3" xfId="2803"/>
    <cellStyle name="Input cel 4 2 3 3" xfId="2253"/>
    <cellStyle name="Input cel 4 2 3 3 2" xfId="3492"/>
    <cellStyle name="Input cel 4 2 3 3 3" xfId="4514"/>
    <cellStyle name="Input cel 4 2 3 4" xfId="1881"/>
    <cellStyle name="Input cel 4 2 3 5" xfId="3120"/>
    <cellStyle name="Input cel 4 2 3 6" xfId="1581"/>
    <cellStyle name="Input cel 4 2 4" xfId="846"/>
    <cellStyle name="Input cel 4 2 4 2" xfId="1166"/>
    <cellStyle name="Input cel 4 2 4 2 2" xfId="4106"/>
    <cellStyle name="Input cel 4 2 4 2 3" xfId="2867"/>
    <cellStyle name="Input cel 4 2 4 3" xfId="2550"/>
    <cellStyle name="Input cel 4 2 4 3 2" xfId="3789"/>
    <cellStyle name="Input cel 4 2 4 3 3" xfId="4687"/>
    <cellStyle name="Input cel 4 2 4 4" xfId="1945"/>
    <cellStyle name="Input cel 4 2 4 5" xfId="3184"/>
    <cellStyle name="Input cel 4 2 4 6" xfId="1645"/>
    <cellStyle name="Input cel 4 2 5" xfId="906"/>
    <cellStyle name="Input cel 4 2 5 2" xfId="1228"/>
    <cellStyle name="Input cel 4 2 5 2 2" xfId="4168"/>
    <cellStyle name="Input cel 4 2 5 2 3" xfId="2929"/>
    <cellStyle name="Input cel 4 2 5 3" xfId="2607"/>
    <cellStyle name="Input cel 4 2 5 3 2" xfId="3846"/>
    <cellStyle name="Input cel 4 2 5 3 3" xfId="4743"/>
    <cellStyle name="Input cel 4 2 5 4" xfId="2007"/>
    <cellStyle name="Input cel 4 2 5 5" xfId="3246"/>
    <cellStyle name="Input cel 4 2 5 6" xfId="1707"/>
    <cellStyle name="Input cel 4 2 6" xfId="727"/>
    <cellStyle name="Input cel 4 2 6 2" xfId="2432"/>
    <cellStyle name="Input cel 4 2 6 3" xfId="3671"/>
    <cellStyle name="Input cel 4 2 6 4" xfId="1512"/>
    <cellStyle name="Input cel 4 2 6 5" xfId="4636"/>
    <cellStyle name="Input cel 4 2 7" xfId="611"/>
    <cellStyle name="Input cel 4 2 7 2" xfId="3559"/>
    <cellStyle name="Input cel 4 2 7 3" xfId="2320"/>
    <cellStyle name="Input cel 4 2 8" xfId="1810"/>
    <cellStyle name="Input cel 4 2 8 2" xfId="4282"/>
    <cellStyle name="Input cel 4 2 9" xfId="3049"/>
    <cellStyle name="Input cel 4 3" xfId="307"/>
    <cellStyle name="Input cel 4 3 10" xfId="3033"/>
    <cellStyle name="Input cel 4 3 11" xfId="1365"/>
    <cellStyle name="Input cel 4 3 2" xfId="529"/>
    <cellStyle name="Input cel 4 3 2 2" xfId="779"/>
    <cellStyle name="Input cel 4 3 2 2 2" xfId="2484"/>
    <cellStyle name="Input cel 4 3 2 2 3" xfId="3723"/>
    <cellStyle name="Input cel 4 3 2 2 4" xfId="1566"/>
    <cellStyle name="Input cel 4 3 2 2 5" xfId="4664"/>
    <cellStyle name="Input cel 4 3 2 3" xfId="986"/>
    <cellStyle name="Input cel 4 3 2 3 2" xfId="3926"/>
    <cellStyle name="Input cel 4 3 2 3 3" xfId="2687"/>
    <cellStyle name="Input cel 4 3 2 4" xfId="2238"/>
    <cellStyle name="Input cel 4 3 2 4 2" xfId="3477"/>
    <cellStyle name="Input cel 4 3 2 4 3" xfId="4499"/>
    <cellStyle name="Input cel 4 3 2 5" xfId="1866"/>
    <cellStyle name="Input cel 4 3 2 5 2" xfId="4345"/>
    <cellStyle name="Input cel 4 3 2 6" xfId="3105"/>
    <cellStyle name="Input cel 4 3 2 7" xfId="1420"/>
    <cellStyle name="Input cel 4 3 3" xfId="589"/>
    <cellStyle name="Input cel 4 3 3 2" xfId="819"/>
    <cellStyle name="Input cel 4 3 3 2 2" xfId="1136"/>
    <cellStyle name="Input cel 4 3 3 2 2 2" xfId="4076"/>
    <cellStyle name="Input cel 4 3 3 2 2 3" xfId="2837"/>
    <cellStyle name="Input cel 4 3 3 2 3" xfId="3762"/>
    <cellStyle name="Input cel 4 3 3 2 4" xfId="2523"/>
    <cellStyle name="Input cel 4 3 3 3" xfId="1002"/>
    <cellStyle name="Input cel 4 3 3 3 2" xfId="3942"/>
    <cellStyle name="Input cel 4 3 3 3 3" xfId="2703"/>
    <cellStyle name="Input cel 4 3 3 4" xfId="2298"/>
    <cellStyle name="Input cel 4 3 3 4 2" xfId="3537"/>
    <cellStyle name="Input cel 4 3 3 4 3" xfId="4546"/>
    <cellStyle name="Input cel 4 3 3 5" xfId="1915"/>
    <cellStyle name="Input cel 4 3 3 6" xfId="3154"/>
    <cellStyle name="Input cel 4 3 3 7" xfId="1615"/>
    <cellStyle name="Input cel 4 3 4" xfId="880"/>
    <cellStyle name="Input cel 4 3 4 2" xfId="1200"/>
    <cellStyle name="Input cel 4 3 4 2 2" xfId="4140"/>
    <cellStyle name="Input cel 4 3 4 2 3" xfId="2901"/>
    <cellStyle name="Input cel 4 3 4 3" xfId="2584"/>
    <cellStyle name="Input cel 4 3 4 3 2" xfId="3823"/>
    <cellStyle name="Input cel 4 3 4 3 3" xfId="4721"/>
    <cellStyle name="Input cel 4 3 4 4" xfId="1979"/>
    <cellStyle name="Input cel 4 3 4 5" xfId="3218"/>
    <cellStyle name="Input cel 4 3 4 6" xfId="1679"/>
    <cellStyle name="Input cel 4 3 5" xfId="939"/>
    <cellStyle name="Input cel 4 3 5 2" xfId="1261"/>
    <cellStyle name="Input cel 4 3 5 2 2" xfId="4201"/>
    <cellStyle name="Input cel 4 3 5 2 3" xfId="2962"/>
    <cellStyle name="Input cel 4 3 5 3" xfId="2640"/>
    <cellStyle name="Input cel 4 3 5 3 2" xfId="3879"/>
    <cellStyle name="Input cel 4 3 5 3 3" xfId="4776"/>
    <cellStyle name="Input cel 4 3 5 4" xfId="2040"/>
    <cellStyle name="Input cel 4 3 5 5" xfId="3279"/>
    <cellStyle name="Input cel 4 3 5 6" xfId="1740"/>
    <cellStyle name="Input cel 4 3 6" xfId="711"/>
    <cellStyle name="Input cel 4 3 6 2" xfId="2416"/>
    <cellStyle name="Input cel 4 3 6 3" xfId="3655"/>
    <cellStyle name="Input cel 4 3 6 4" xfId="1496"/>
    <cellStyle name="Input cel 4 3 6 5" xfId="4620"/>
    <cellStyle name="Input cel 4 3 7" xfId="347"/>
    <cellStyle name="Input cel 4 3 7 2" xfId="3337"/>
    <cellStyle name="Input cel 4 3 7 3" xfId="2098"/>
    <cellStyle name="Input cel 4 3 8" xfId="2064"/>
    <cellStyle name="Input cel 4 3 8 2" xfId="3303"/>
    <cellStyle name="Input cel 4 3 8 3" xfId="4398"/>
    <cellStyle name="Input cel 4 3 9" xfId="1794"/>
    <cellStyle name="Input cel 4 3 9 2" xfId="4265"/>
    <cellStyle name="Input cel 4 4" xfId="461"/>
    <cellStyle name="Input cel 4 4 2" xfId="696"/>
    <cellStyle name="Input cel 4 4 2 2" xfId="1037"/>
    <cellStyle name="Input cel 4 4 2 2 2" xfId="3977"/>
    <cellStyle name="Input cel 4 4 2 2 3" xfId="2738"/>
    <cellStyle name="Input cel 4 4 2 3" xfId="3640"/>
    <cellStyle name="Input cel 4 4 2 3 2" xfId="4606"/>
    <cellStyle name="Input cel 4 4 2 4" xfId="2401"/>
    <cellStyle name="Input cel 4 4 3" xfId="978"/>
    <cellStyle name="Input cel 4 4 3 2" xfId="3918"/>
    <cellStyle name="Input cel 4 4 3 3" xfId="2679"/>
    <cellStyle name="Input cel 4 4 4" xfId="2173"/>
    <cellStyle name="Input cel 4 4 4 2" xfId="3412"/>
    <cellStyle name="Input cel 4 4 4 3" xfId="4447"/>
    <cellStyle name="Input cel 4 4 5" xfId="1772"/>
    <cellStyle name="Input cel 4 4 5 2" xfId="4263"/>
    <cellStyle name="Input cel 4 4 6" xfId="3012"/>
    <cellStyle name="Input cel 4 4 7" xfId="1477"/>
    <cellStyle name="Input cel 4 5" xfId="498"/>
    <cellStyle name="Input cel 4 5 2" xfId="1150"/>
    <cellStyle name="Input cel 4 5 2 2" xfId="4090"/>
    <cellStyle name="Input cel 4 5 2 3" xfId="2851"/>
    <cellStyle name="Input cel 4 5 3" xfId="2210"/>
    <cellStyle name="Input cel 4 5 3 2" xfId="3449"/>
    <cellStyle name="Input cel 4 5 3 3" xfId="4477"/>
    <cellStyle name="Input cel 4 5 4" xfId="1929"/>
    <cellStyle name="Input cel 4 5 4 2" xfId="4373"/>
    <cellStyle name="Input cel 4 5 5" xfId="3168"/>
    <cellStyle name="Input cel 4 5 6" xfId="1629"/>
    <cellStyle name="Input cel 4 6" xfId="893"/>
    <cellStyle name="Input cel 4 6 2" xfId="1213"/>
    <cellStyle name="Input cel 4 6 2 2" xfId="4153"/>
    <cellStyle name="Input cel 4 6 2 3" xfId="2914"/>
    <cellStyle name="Input cel 4 6 3" xfId="2597"/>
    <cellStyle name="Input cel 4 6 3 2" xfId="3836"/>
    <cellStyle name="Input cel 4 6 3 3" xfId="4734"/>
    <cellStyle name="Input cel 4 6 4" xfId="1992"/>
    <cellStyle name="Input cel 4 6 5" xfId="3231"/>
    <cellStyle name="Input cel 4 6 6" xfId="1692"/>
    <cellStyle name="Input cel 4 7" xfId="637"/>
    <cellStyle name="Input cel 4 7 2" xfId="377"/>
    <cellStyle name="Input cel 4 7 2 2" xfId="3357"/>
    <cellStyle name="Input cel 4 7 2 3" xfId="2118"/>
    <cellStyle name="Input cel 4 7 3" xfId="2344"/>
    <cellStyle name="Input cel 4 7 4" xfId="3583"/>
    <cellStyle name="Input cel 4 7 5" xfId="1392"/>
    <cellStyle name="Input cel 4 8" xfId="627"/>
    <cellStyle name="Input cel 4 8 2" xfId="3574"/>
    <cellStyle name="Input cel 4 8 3" xfId="2335"/>
    <cellStyle name="Input cel 4 9" xfId="1311"/>
    <cellStyle name="Input cel 4 9 2" xfId="4298"/>
    <cellStyle name="Input cel 5" xfId="320"/>
    <cellStyle name="Input cel 5 10" xfId="364"/>
    <cellStyle name="Input cel 5 2" xfId="570"/>
    <cellStyle name="Input cel 5 2 10" xfId="3088"/>
    <cellStyle name="Input cel 5 2 11" xfId="1455"/>
    <cellStyle name="Input cel 5 2 2" xfId="801"/>
    <cellStyle name="Input cel 5 2 2 2" xfId="1118"/>
    <cellStyle name="Input cel 5 2 2 2 2" xfId="4058"/>
    <cellStyle name="Input cel 5 2 2 2 3" xfId="2819"/>
    <cellStyle name="Input cel 5 2 2 3" xfId="830"/>
    <cellStyle name="Input cel 5 2 2 3 2" xfId="3773"/>
    <cellStyle name="Input cel 5 2 2 3 3" xfId="2534"/>
    <cellStyle name="Input cel 5 2 2 4" xfId="2505"/>
    <cellStyle name="Input cel 5 2 2 4 2" xfId="3744"/>
    <cellStyle name="Input cel 5 2 2 4 3" xfId="4670"/>
    <cellStyle name="Input cel 5 2 2 5" xfId="1897"/>
    <cellStyle name="Input cel 5 2 2 5 2" xfId="4358"/>
    <cellStyle name="Input cel 5 2 2 6" xfId="3136"/>
    <cellStyle name="Input cel 5 2 2 7" xfId="1597"/>
    <cellStyle name="Input cel 5 2 3" xfId="862"/>
    <cellStyle name="Input cel 5 2 3 2" xfId="1182"/>
    <cellStyle name="Input cel 5 2 3 2 2" xfId="4122"/>
    <cellStyle name="Input cel 5 2 3 2 3" xfId="2883"/>
    <cellStyle name="Input cel 5 2 3 3" xfId="2566"/>
    <cellStyle name="Input cel 5 2 3 3 2" xfId="3805"/>
    <cellStyle name="Input cel 5 2 3 3 3" xfId="4703"/>
    <cellStyle name="Input cel 5 2 3 4" xfId="1961"/>
    <cellStyle name="Input cel 5 2 3 5" xfId="3200"/>
    <cellStyle name="Input cel 5 2 3 6" xfId="1661"/>
    <cellStyle name="Input cel 5 2 4" xfId="922"/>
    <cellStyle name="Input cel 5 2 4 2" xfId="1244"/>
    <cellStyle name="Input cel 5 2 4 2 2" xfId="4184"/>
    <cellStyle name="Input cel 5 2 4 2 3" xfId="2945"/>
    <cellStyle name="Input cel 5 2 4 3" xfId="2623"/>
    <cellStyle name="Input cel 5 2 4 3 2" xfId="3862"/>
    <cellStyle name="Input cel 5 2 4 3 3" xfId="4759"/>
    <cellStyle name="Input cel 5 2 4 4" xfId="2023"/>
    <cellStyle name="Input cel 5 2 4 5" xfId="3262"/>
    <cellStyle name="Input cel 5 2 4 6" xfId="1723"/>
    <cellStyle name="Input cel 5 2 5" xfId="762"/>
    <cellStyle name="Input cel 5 2 5 2" xfId="1081"/>
    <cellStyle name="Input cel 5 2 5 2 2" xfId="4021"/>
    <cellStyle name="Input cel 5 2 5 2 3" xfId="2782"/>
    <cellStyle name="Input cel 5 2 5 3" xfId="2467"/>
    <cellStyle name="Input cel 5 2 5 4" xfId="3706"/>
    <cellStyle name="Input cel 5 2 5 5" xfId="1548"/>
    <cellStyle name="Input cel 5 2 6" xfId="682"/>
    <cellStyle name="Input cel 5 2 6 2" xfId="3626"/>
    <cellStyle name="Input cel 5 2 6 3" xfId="2387"/>
    <cellStyle name="Input cel 5 2 6 4" xfId="4596"/>
    <cellStyle name="Input cel 5 2 7" xfId="470"/>
    <cellStyle name="Input cel 5 2 7 2" xfId="3421"/>
    <cellStyle name="Input cel 5 2 7 3" xfId="2182"/>
    <cellStyle name="Input cel 5 2 8" xfId="2279"/>
    <cellStyle name="Input cel 5 2 8 2" xfId="3518"/>
    <cellStyle name="Input cel 5 2 8 3" xfId="4529"/>
    <cellStyle name="Input cel 5 2 9" xfId="1849"/>
    <cellStyle name="Input cel 5 2 9 2" xfId="4328"/>
    <cellStyle name="Input cel 5 3" xfId="361"/>
    <cellStyle name="Input cel 5 3 2" xfId="1041"/>
    <cellStyle name="Input cel 5 3 2 2" xfId="3981"/>
    <cellStyle name="Input cel 5 3 2 2 2" xfId="4797"/>
    <cellStyle name="Input cel 5 3 2 3" xfId="2742"/>
    <cellStyle name="Input cel 5 3 3" xfId="2108"/>
    <cellStyle name="Input cel 5 3 3 2" xfId="3347"/>
    <cellStyle name="Input cel 5 3 3 3" xfId="4416"/>
    <cellStyle name="Input cel 5 3 4" xfId="1779"/>
    <cellStyle name="Input cel 5 3 4 2" xfId="4296"/>
    <cellStyle name="Input cel 5 3 5" xfId="3019"/>
    <cellStyle name="Input cel 5 3 6" xfId="1325"/>
    <cellStyle name="Input cel 5 4" xfId="1075"/>
    <cellStyle name="Input cel 5 4 2" xfId="4015"/>
    <cellStyle name="Input cel 5 4 2 2" xfId="4808"/>
    <cellStyle name="Input cel 5 4 3" xfId="2776"/>
    <cellStyle name="Input cel 5 5" xfId="333"/>
    <cellStyle name="Input cel 5 5 2" xfId="3327"/>
    <cellStyle name="Input cel 5 5 3" xfId="2088"/>
    <cellStyle name="Input cel 5 6" xfId="2075"/>
    <cellStyle name="Input cel 5 6 2" xfId="3314"/>
    <cellStyle name="Input cel 5 6 3" xfId="4409"/>
    <cellStyle name="Input cel 5 7" xfId="1753"/>
    <cellStyle name="Input cel 5 8" xfId="2993"/>
    <cellStyle name="Input cel 5 9" xfId="1312"/>
    <cellStyle name="Input cel 6" xfId="434"/>
    <cellStyle name="Input cel new" xfId="23"/>
    <cellStyle name="Input cel new 2" xfId="24"/>
    <cellStyle name="Input cel new 2 2" xfId="215"/>
    <cellStyle name="Input cel new 2 2 2" xfId="262"/>
    <cellStyle name="Input cel new 2 2 2 10" xfId="1275"/>
    <cellStyle name="Input cel new 2 2 2 2" xfId="286"/>
    <cellStyle name="Input cel new 2 2 2 2 10" xfId="1390"/>
    <cellStyle name="Input cel new 2 2 2 2 2" xfId="488"/>
    <cellStyle name="Input cel new 2 2 2 2 2 2" xfId="755"/>
    <cellStyle name="Input cel new 2 2 2 2 2 2 2" xfId="2460"/>
    <cellStyle name="Input cel new 2 2 2 2 2 2 3" xfId="3699"/>
    <cellStyle name="Input cel new 2 2 2 2 2 2 4" xfId="1541"/>
    <cellStyle name="Input cel new 2 2 2 2 2 2 5" xfId="4653"/>
    <cellStyle name="Input cel new 2 2 2 2 2 3" xfId="672"/>
    <cellStyle name="Input cel new 2 2 2 2 2 3 2" xfId="3616"/>
    <cellStyle name="Input cel new 2 2 2 2 2 3 3" xfId="2377"/>
    <cellStyle name="Input cel new 2 2 2 2 2 3 4" xfId="4590"/>
    <cellStyle name="Input cel new 2 2 2 2 2 4" xfId="970"/>
    <cellStyle name="Input cel new 2 2 2 2 2 4 2" xfId="3910"/>
    <cellStyle name="Input cel new 2 2 2 2 2 4 3" xfId="2671"/>
    <cellStyle name="Input cel new 2 2 2 2 2 5" xfId="2200"/>
    <cellStyle name="Input cel new 2 2 2 2 2 5 2" xfId="3439"/>
    <cellStyle name="Input cel new 2 2 2 2 2 5 3" xfId="4471"/>
    <cellStyle name="Input cel new 2 2 2 2 2 6" xfId="1842"/>
    <cellStyle name="Input cel new 2 2 2 2 2 6 2" xfId="4322"/>
    <cellStyle name="Input cel new 2 2 2 2 2 7" xfId="3081"/>
    <cellStyle name="Input cel new 2 2 2 2 2 8" xfId="1444"/>
    <cellStyle name="Input cel new 2 2 2 2 3" xfId="553"/>
    <cellStyle name="Input cel new 2 2 2 2 3 2" xfId="1111"/>
    <cellStyle name="Input cel new 2 2 2 2 3 2 2" xfId="4051"/>
    <cellStyle name="Input cel new 2 2 2 2 3 2 3" xfId="2812"/>
    <cellStyle name="Input cel new 2 2 2 2 3 3" xfId="511"/>
    <cellStyle name="Input cel new 2 2 2 2 3 3 2" xfId="3460"/>
    <cellStyle name="Input cel new 2 2 2 2 3 3 3" xfId="2221"/>
    <cellStyle name="Input cel new 2 2 2 2 3 4" xfId="2262"/>
    <cellStyle name="Input cel new 2 2 2 2 3 4 2" xfId="3501"/>
    <cellStyle name="Input cel new 2 2 2 2 3 4 3" xfId="4523"/>
    <cellStyle name="Input cel new 2 2 2 2 3 5" xfId="1890"/>
    <cellStyle name="Input cel new 2 2 2 2 3 6" xfId="3129"/>
    <cellStyle name="Input cel new 2 2 2 2 3 7" xfId="1590"/>
    <cellStyle name="Input cel new 2 2 2 2 4" xfId="855"/>
    <cellStyle name="Input cel new 2 2 2 2 4 2" xfId="1175"/>
    <cellStyle name="Input cel new 2 2 2 2 4 2 2" xfId="4115"/>
    <cellStyle name="Input cel new 2 2 2 2 4 2 3" xfId="2876"/>
    <cellStyle name="Input cel new 2 2 2 2 4 3" xfId="2559"/>
    <cellStyle name="Input cel new 2 2 2 2 4 3 2" xfId="3798"/>
    <cellStyle name="Input cel new 2 2 2 2 4 3 3" xfId="4696"/>
    <cellStyle name="Input cel new 2 2 2 2 4 4" xfId="1954"/>
    <cellStyle name="Input cel new 2 2 2 2 4 5" xfId="3193"/>
    <cellStyle name="Input cel new 2 2 2 2 4 6" xfId="1654"/>
    <cellStyle name="Input cel new 2 2 2 2 5" xfId="915"/>
    <cellStyle name="Input cel new 2 2 2 2 5 2" xfId="1237"/>
    <cellStyle name="Input cel new 2 2 2 2 5 2 2" xfId="4177"/>
    <cellStyle name="Input cel new 2 2 2 2 5 2 3" xfId="2938"/>
    <cellStyle name="Input cel new 2 2 2 2 5 3" xfId="2616"/>
    <cellStyle name="Input cel new 2 2 2 2 5 3 2" xfId="3855"/>
    <cellStyle name="Input cel new 2 2 2 2 5 3 3" xfId="4752"/>
    <cellStyle name="Input cel new 2 2 2 2 5 4" xfId="2016"/>
    <cellStyle name="Input cel new 2 2 2 2 5 5" xfId="3255"/>
    <cellStyle name="Input cel new 2 2 2 2 5 6" xfId="1716"/>
    <cellStyle name="Input cel new 2 2 2 2 6" xfId="736"/>
    <cellStyle name="Input cel new 2 2 2 2 6 2" xfId="2441"/>
    <cellStyle name="Input cel new 2 2 2 2 6 3" xfId="3680"/>
    <cellStyle name="Input cel new 2 2 2 2 6 4" xfId="1521"/>
    <cellStyle name="Input cel new 2 2 2 2 6 5" xfId="4645"/>
    <cellStyle name="Input cel new 2 2 2 2 7" xfId="413"/>
    <cellStyle name="Input cel new 2 2 2 2 7 2" xfId="3382"/>
    <cellStyle name="Input cel new 2 2 2 2 7 3" xfId="2143"/>
    <cellStyle name="Input cel new 2 2 2 2 8" xfId="1819"/>
    <cellStyle name="Input cel new 2 2 2 2 8 2" xfId="4248"/>
    <cellStyle name="Input cel new 2 2 2 2 9" xfId="3058"/>
    <cellStyle name="Input cel new 2 2 2 3" xfId="314"/>
    <cellStyle name="Input cel new 2 2 2 3 10" xfId="3040"/>
    <cellStyle name="Input cel new 2 2 2 3 11" xfId="1372"/>
    <cellStyle name="Input cel new 2 2 2 3 2" xfId="536"/>
    <cellStyle name="Input cel new 2 2 2 3 2 2" xfId="786"/>
    <cellStyle name="Input cel new 2 2 2 3 2 2 2" xfId="1094"/>
    <cellStyle name="Input cel new 2 2 2 3 2 2 2 2" xfId="4034"/>
    <cellStyle name="Input cel new 2 2 2 3 2 2 2 3" xfId="2795"/>
    <cellStyle name="Input cel new 2 2 2 3 2 2 3" xfId="2491"/>
    <cellStyle name="Input cel new 2 2 2 3 2 2 4" xfId="3730"/>
    <cellStyle name="Input cel new 2 2 2 3 2 2 5" xfId="1573"/>
    <cellStyle name="Input cel new 2 2 2 3 2 3" xfId="1009"/>
    <cellStyle name="Input cel new 2 2 2 3 2 3 2" xfId="3949"/>
    <cellStyle name="Input cel new 2 2 2 3 2 3 3" xfId="2710"/>
    <cellStyle name="Input cel new 2 2 2 3 2 4" xfId="2245"/>
    <cellStyle name="Input cel new 2 2 2 3 2 4 2" xfId="3484"/>
    <cellStyle name="Input cel new 2 2 2 3 2 4 3" xfId="4506"/>
    <cellStyle name="Input cel new 2 2 2 3 2 5" xfId="1873"/>
    <cellStyle name="Input cel new 2 2 2 3 2 5 2" xfId="4352"/>
    <cellStyle name="Input cel new 2 2 2 3 2 6" xfId="3112"/>
    <cellStyle name="Input cel new 2 2 2 3 2 7" xfId="1427"/>
    <cellStyle name="Input cel new 2 2 2 3 3" xfId="596"/>
    <cellStyle name="Input cel new 2 2 2 3 3 2" xfId="826"/>
    <cellStyle name="Input cel new 2 2 2 3 3 2 2" xfId="3769"/>
    <cellStyle name="Input cel new 2 2 2 3 3 2 3" xfId="2530"/>
    <cellStyle name="Input cel new 2 2 2 3 3 2 4" xfId="4679"/>
    <cellStyle name="Input cel new 2 2 2 3 3 3" xfId="1143"/>
    <cellStyle name="Input cel new 2 2 2 3 3 3 2" xfId="4083"/>
    <cellStyle name="Input cel new 2 2 2 3 3 3 3" xfId="2844"/>
    <cellStyle name="Input cel new 2 2 2 3 3 4" xfId="2305"/>
    <cellStyle name="Input cel new 2 2 2 3 3 4 2" xfId="3544"/>
    <cellStyle name="Input cel new 2 2 2 3 3 4 3" xfId="4553"/>
    <cellStyle name="Input cel new 2 2 2 3 3 5" xfId="1922"/>
    <cellStyle name="Input cel new 2 2 2 3 3 6" xfId="3161"/>
    <cellStyle name="Input cel new 2 2 2 3 3 7" xfId="1622"/>
    <cellStyle name="Input cel new 2 2 2 3 4" xfId="887"/>
    <cellStyle name="Input cel new 2 2 2 3 4 2" xfId="1207"/>
    <cellStyle name="Input cel new 2 2 2 3 4 2 2" xfId="4147"/>
    <cellStyle name="Input cel new 2 2 2 3 4 2 3" xfId="2908"/>
    <cellStyle name="Input cel new 2 2 2 3 4 3" xfId="2591"/>
    <cellStyle name="Input cel new 2 2 2 3 4 3 2" xfId="3830"/>
    <cellStyle name="Input cel new 2 2 2 3 4 3 3" xfId="4728"/>
    <cellStyle name="Input cel new 2 2 2 3 4 4" xfId="1986"/>
    <cellStyle name="Input cel new 2 2 2 3 4 5" xfId="3225"/>
    <cellStyle name="Input cel new 2 2 2 3 4 6" xfId="1686"/>
    <cellStyle name="Input cel new 2 2 2 3 5" xfId="946"/>
    <cellStyle name="Input cel new 2 2 2 3 5 2" xfId="1268"/>
    <cellStyle name="Input cel new 2 2 2 3 5 2 2" xfId="4208"/>
    <cellStyle name="Input cel new 2 2 2 3 5 2 3" xfId="2969"/>
    <cellStyle name="Input cel new 2 2 2 3 5 3" xfId="2647"/>
    <cellStyle name="Input cel new 2 2 2 3 5 3 2" xfId="3886"/>
    <cellStyle name="Input cel new 2 2 2 3 5 3 3" xfId="4783"/>
    <cellStyle name="Input cel new 2 2 2 3 5 4" xfId="2047"/>
    <cellStyle name="Input cel new 2 2 2 3 5 5" xfId="3286"/>
    <cellStyle name="Input cel new 2 2 2 3 5 6" xfId="1747"/>
    <cellStyle name="Input cel new 2 2 2 3 6" xfId="718"/>
    <cellStyle name="Input cel new 2 2 2 3 6 2" xfId="2423"/>
    <cellStyle name="Input cel new 2 2 2 3 6 3" xfId="3662"/>
    <cellStyle name="Input cel new 2 2 2 3 6 4" xfId="1503"/>
    <cellStyle name="Input cel new 2 2 2 3 6 5" xfId="4627"/>
    <cellStyle name="Input cel new 2 2 2 3 7" xfId="555"/>
    <cellStyle name="Input cel new 2 2 2 3 7 2" xfId="3503"/>
    <cellStyle name="Input cel new 2 2 2 3 7 3" xfId="2264"/>
    <cellStyle name="Input cel new 2 2 2 3 8" xfId="2071"/>
    <cellStyle name="Input cel new 2 2 2 3 8 2" xfId="3310"/>
    <cellStyle name="Input cel new 2 2 2 3 8 3" xfId="4405"/>
    <cellStyle name="Input cel new 2 2 2 3 9" xfId="1801"/>
    <cellStyle name="Input cel new 2 2 2 3 9 2" xfId="4255"/>
    <cellStyle name="Input cel new 2 2 2 4" xfId="441"/>
    <cellStyle name="Input cel new 2 2 2 4 2" xfId="642"/>
    <cellStyle name="Input cel new 2 2 2 4 2 2" xfId="3588"/>
    <cellStyle name="Input cel new 2 2 2 4 2 2 2" xfId="4569"/>
    <cellStyle name="Input cel new 2 2 2 4 2 3" xfId="2349"/>
    <cellStyle name="Input cel new 2 2 2 4 2 4" xfId="4269"/>
    <cellStyle name="Input cel new 2 2 2 4 3" xfId="949"/>
    <cellStyle name="Input cel new 2 2 2 4 3 2" xfId="3889"/>
    <cellStyle name="Input cel new 2 2 2 4 3 3" xfId="2650"/>
    <cellStyle name="Input cel new 2 2 2 4 4" xfId="1752"/>
    <cellStyle name="Input cel new 2 2 2 4 4 2" xfId="4232"/>
    <cellStyle name="Input cel new 2 2 2 4 5" xfId="2992"/>
    <cellStyle name="Input cel new 2 2 2 4 6" xfId="1399"/>
    <cellStyle name="Input cel new 2 2 2 5" xfId="468"/>
    <cellStyle name="Input cel new 2 2 2 5 2" xfId="837"/>
    <cellStyle name="Input cel new 2 2 2 5 2 2" xfId="1157"/>
    <cellStyle name="Input cel new 2 2 2 5 2 2 2" xfId="4097"/>
    <cellStyle name="Input cel new 2 2 2 5 2 2 3" xfId="2858"/>
    <cellStyle name="Input cel new 2 2 2 5 2 3" xfId="3780"/>
    <cellStyle name="Input cel new 2 2 2 5 2 4" xfId="2541"/>
    <cellStyle name="Input cel new 2 2 2 5 3" xfId="583"/>
    <cellStyle name="Input cel new 2 2 2 5 3 2" xfId="3531"/>
    <cellStyle name="Input cel new 2 2 2 5 3 3" xfId="2292"/>
    <cellStyle name="Input cel new 2 2 2 5 4" xfId="2180"/>
    <cellStyle name="Input cel new 2 2 2 5 4 2" xfId="3419"/>
    <cellStyle name="Input cel new 2 2 2 5 4 3" xfId="4454"/>
    <cellStyle name="Input cel new 2 2 2 5 5" xfId="1936"/>
    <cellStyle name="Input cel new 2 2 2 5 5 2" xfId="4380"/>
    <cellStyle name="Input cel new 2 2 2 5 6" xfId="3175"/>
    <cellStyle name="Input cel new 2 2 2 5 7" xfId="1636"/>
    <cellStyle name="Input cel new 2 2 2 6" xfId="505"/>
    <cellStyle name="Input cel new 2 2 2 6 2" xfId="1220"/>
    <cellStyle name="Input cel new 2 2 2 6 2 2" xfId="4160"/>
    <cellStyle name="Input cel new 2 2 2 6 2 3" xfId="2921"/>
    <cellStyle name="Input cel new 2 2 2 6 3" xfId="2217"/>
    <cellStyle name="Input cel new 2 2 2 6 3 2" xfId="3456"/>
    <cellStyle name="Input cel new 2 2 2 6 3 3" xfId="4484"/>
    <cellStyle name="Input cel new 2 2 2 6 4" xfId="1999"/>
    <cellStyle name="Input cel new 2 2 2 6 5" xfId="3238"/>
    <cellStyle name="Input cel new 2 2 2 6 6" xfId="1699"/>
    <cellStyle name="Input cel new 2 2 2 7" xfId="691"/>
    <cellStyle name="Input cel new 2 2 2 7 2" xfId="954"/>
    <cellStyle name="Input cel new 2 2 2 7 2 2" xfId="3894"/>
    <cellStyle name="Input cel new 2 2 2 7 2 3" xfId="2655"/>
    <cellStyle name="Input cel new 2 2 2 7 3" xfId="2396"/>
    <cellStyle name="Input cel new 2 2 2 7 4" xfId="3635"/>
    <cellStyle name="Input cel new 2 2 2 7 5" xfId="1467"/>
    <cellStyle name="Input cel new 2 2 2 8" xfId="1406"/>
    <cellStyle name="Input cel new 2 2 2 8 2" xfId="4297"/>
    <cellStyle name="Input cel new 2 2 2 9" xfId="1414"/>
    <cellStyle name="Input cel new 2 2 3" xfId="269"/>
    <cellStyle name="Input cel new 2 2 3 2" xfId="385"/>
    <cellStyle name="Input cel new 2 2 3 2 10" xfId="1460"/>
    <cellStyle name="Input cel new 2 2 3 2 2" xfId="578"/>
    <cellStyle name="Input cel new 2 2 3 2 2 2" xfId="809"/>
    <cellStyle name="Input cel new 2 2 3 2 2 2 2" xfId="1126"/>
    <cellStyle name="Input cel new 2 2 3 2 2 2 2 2" xfId="4066"/>
    <cellStyle name="Input cel new 2 2 3 2 2 2 2 3" xfId="2827"/>
    <cellStyle name="Input cel new 2 2 3 2 2 2 3" xfId="3752"/>
    <cellStyle name="Input cel new 2 2 3 2 2 2 4" xfId="2513"/>
    <cellStyle name="Input cel new 2 2 3 2 2 3" xfId="992"/>
    <cellStyle name="Input cel new 2 2 3 2 2 3 2" xfId="3932"/>
    <cellStyle name="Input cel new 2 2 3 2 2 3 3" xfId="2693"/>
    <cellStyle name="Input cel new 2 2 3 2 2 4" xfId="2287"/>
    <cellStyle name="Input cel new 2 2 3 2 2 4 2" xfId="3526"/>
    <cellStyle name="Input cel new 2 2 3 2 2 4 3" xfId="4537"/>
    <cellStyle name="Input cel new 2 2 3 2 2 5" xfId="1905"/>
    <cellStyle name="Input cel new 2 2 3 2 2 5 2" xfId="4363"/>
    <cellStyle name="Input cel new 2 2 3 2 2 6" xfId="3144"/>
    <cellStyle name="Input cel new 2 2 3 2 2 7" xfId="1605"/>
    <cellStyle name="Input cel new 2 2 3 2 3" xfId="870"/>
    <cellStyle name="Input cel new 2 2 3 2 3 2" xfId="1190"/>
    <cellStyle name="Input cel new 2 2 3 2 3 2 2" xfId="4130"/>
    <cellStyle name="Input cel new 2 2 3 2 3 2 3" xfId="2891"/>
    <cellStyle name="Input cel new 2 2 3 2 3 3" xfId="2574"/>
    <cellStyle name="Input cel new 2 2 3 2 3 3 2" xfId="3813"/>
    <cellStyle name="Input cel new 2 2 3 2 3 3 3" xfId="4711"/>
    <cellStyle name="Input cel new 2 2 3 2 3 4" xfId="1969"/>
    <cellStyle name="Input cel new 2 2 3 2 3 5" xfId="3208"/>
    <cellStyle name="Input cel new 2 2 3 2 3 6" xfId="1669"/>
    <cellStyle name="Input cel new 2 2 3 2 4" xfId="930"/>
    <cellStyle name="Input cel new 2 2 3 2 4 2" xfId="1252"/>
    <cellStyle name="Input cel new 2 2 3 2 4 2 2" xfId="4192"/>
    <cellStyle name="Input cel new 2 2 3 2 4 2 3" xfId="2953"/>
    <cellStyle name="Input cel new 2 2 3 2 4 3" xfId="2631"/>
    <cellStyle name="Input cel new 2 2 3 2 4 3 2" xfId="3870"/>
    <cellStyle name="Input cel new 2 2 3 2 4 3 3" xfId="4767"/>
    <cellStyle name="Input cel new 2 2 3 2 4 4" xfId="2031"/>
    <cellStyle name="Input cel new 2 2 3 2 4 5" xfId="3270"/>
    <cellStyle name="Input cel new 2 2 3 2 4 6" xfId="1731"/>
    <cellStyle name="Input cel new 2 2 3 2 5" xfId="770"/>
    <cellStyle name="Input cel new 2 2 3 2 5 2" xfId="1086"/>
    <cellStyle name="Input cel new 2 2 3 2 5 2 2" xfId="4026"/>
    <cellStyle name="Input cel new 2 2 3 2 5 2 3" xfId="2787"/>
    <cellStyle name="Input cel new 2 2 3 2 5 3" xfId="2475"/>
    <cellStyle name="Input cel new 2 2 3 2 5 4" xfId="3714"/>
    <cellStyle name="Input cel new 2 2 3 2 5 5" xfId="1556"/>
    <cellStyle name="Input cel new 2 2 3 2 6" xfId="791"/>
    <cellStyle name="Input cel new 2 2 3 2 6 2" xfId="3735"/>
    <cellStyle name="Input cel new 2 2 3 2 6 3" xfId="2496"/>
    <cellStyle name="Input cel new 2 2 3 2 7" xfId="2121"/>
    <cellStyle name="Input cel new 2 2 3 2 7 2" xfId="3360"/>
    <cellStyle name="Input cel new 2 2 3 2 7 3" xfId="4421"/>
    <cellStyle name="Input cel new 2 2 3 2 8" xfId="1857"/>
    <cellStyle name="Input cel new 2 2 3 2 8 2" xfId="4336"/>
    <cellStyle name="Input cel new 2 2 3 2 9" xfId="3096"/>
    <cellStyle name="Input cel new 2 2 3 3" xfId="621"/>
    <cellStyle name="Input cel new 2 2 3 3 2" xfId="1050"/>
    <cellStyle name="Input cel new 2 2 3 3 2 2" xfId="3990"/>
    <cellStyle name="Input cel new 2 2 3 3 2 2 2" xfId="4800"/>
    <cellStyle name="Input cel new 2 2 3 3 2 3" xfId="2751"/>
    <cellStyle name="Input cel new 2 2 3 3 3" xfId="2329"/>
    <cellStyle name="Input cel new 2 2 3 3 3 2" xfId="3568"/>
    <cellStyle name="Input cel new 2 2 3 3 3 3" xfId="4565"/>
    <cellStyle name="Input cel new 2 2 3 3 4" xfId="1789"/>
    <cellStyle name="Input cel new 2 2 3 3 4 2" xfId="4230"/>
    <cellStyle name="Input cel new 2 2 3 3 5" xfId="3028"/>
    <cellStyle name="Input cel new 2 2 3 3 6" xfId="1359"/>
    <cellStyle name="Input cel new 2 2 3 4" xfId="1028"/>
    <cellStyle name="Input cel new 2 2 3 4 2" xfId="3968"/>
    <cellStyle name="Input cel new 2 2 3 4 2 2" xfId="4790"/>
    <cellStyle name="Input cel new 2 2 3 4 3" xfId="2729"/>
    <cellStyle name="Input cel new 2 2 3 5" xfId="681"/>
    <cellStyle name="Input cel new 2 2 3 5 2" xfId="3625"/>
    <cellStyle name="Input cel new 2 2 3 5 3" xfId="2386"/>
    <cellStyle name="Input cel new 2 2 3 6" xfId="1767"/>
    <cellStyle name="Input cel new 2 2 3 7" xfId="3007"/>
    <cellStyle name="Input cel new 2 2 3 8" xfId="1327"/>
    <cellStyle name="Input cel new 2 2 3 9" xfId="416"/>
    <cellStyle name="Input cel new 2 2 4" xfId="294"/>
    <cellStyle name="Input cel new 2 2 4 2" xfId="3292"/>
    <cellStyle name="Input cel new 2 2 4 3" xfId="2053"/>
    <cellStyle name="Input cel new 2 2 4 4" xfId="4387"/>
    <cellStyle name="Input cel new 2 2 5" xfId="515"/>
    <cellStyle name="Input cel new 2 3" xfId="259"/>
    <cellStyle name="Input cel new 2 3 10" xfId="1272"/>
    <cellStyle name="Input cel new 2 3 2" xfId="283"/>
    <cellStyle name="Input cel new 2 3 2 10" xfId="1387"/>
    <cellStyle name="Input cel new 2 3 2 2" xfId="485"/>
    <cellStyle name="Input cel new 2 3 2 2 2" xfId="752"/>
    <cellStyle name="Input cel new 2 3 2 2 2 2" xfId="2457"/>
    <cellStyle name="Input cel new 2 3 2 2 2 3" xfId="3696"/>
    <cellStyle name="Input cel new 2 3 2 2 2 4" xfId="1538"/>
    <cellStyle name="Input cel new 2 3 2 2 2 5" xfId="4650"/>
    <cellStyle name="Input cel new 2 3 2 2 3" xfId="669"/>
    <cellStyle name="Input cel new 2 3 2 2 3 2" xfId="3613"/>
    <cellStyle name="Input cel new 2 3 2 2 3 3" xfId="2374"/>
    <cellStyle name="Input cel new 2 3 2 2 3 4" xfId="4587"/>
    <cellStyle name="Input cel new 2 3 2 2 4" xfId="967"/>
    <cellStyle name="Input cel new 2 3 2 2 4 2" xfId="3907"/>
    <cellStyle name="Input cel new 2 3 2 2 4 3" xfId="2668"/>
    <cellStyle name="Input cel new 2 3 2 2 5" xfId="2197"/>
    <cellStyle name="Input cel new 2 3 2 2 5 2" xfId="3436"/>
    <cellStyle name="Input cel new 2 3 2 2 5 3" xfId="4468"/>
    <cellStyle name="Input cel new 2 3 2 2 6" xfId="1839"/>
    <cellStyle name="Input cel new 2 3 2 2 6 2" xfId="4319"/>
    <cellStyle name="Input cel new 2 3 2 2 7" xfId="3078"/>
    <cellStyle name="Input cel new 2 3 2 2 8" xfId="1441"/>
    <cellStyle name="Input cel new 2 3 2 3" xfId="550"/>
    <cellStyle name="Input cel new 2 3 2 3 2" xfId="1108"/>
    <cellStyle name="Input cel new 2 3 2 3 2 2" xfId="4048"/>
    <cellStyle name="Input cel new 2 3 2 3 2 3" xfId="2809"/>
    <cellStyle name="Input cel new 2 3 2 3 3" xfId="633"/>
    <cellStyle name="Input cel new 2 3 2 3 3 2" xfId="3579"/>
    <cellStyle name="Input cel new 2 3 2 3 3 3" xfId="2340"/>
    <cellStyle name="Input cel new 2 3 2 3 4" xfId="2259"/>
    <cellStyle name="Input cel new 2 3 2 3 4 2" xfId="3498"/>
    <cellStyle name="Input cel new 2 3 2 3 4 3" xfId="4520"/>
    <cellStyle name="Input cel new 2 3 2 3 5" xfId="1887"/>
    <cellStyle name="Input cel new 2 3 2 3 6" xfId="3126"/>
    <cellStyle name="Input cel new 2 3 2 3 7" xfId="1587"/>
    <cellStyle name="Input cel new 2 3 2 4" xfId="852"/>
    <cellStyle name="Input cel new 2 3 2 4 2" xfId="1172"/>
    <cellStyle name="Input cel new 2 3 2 4 2 2" xfId="4112"/>
    <cellStyle name="Input cel new 2 3 2 4 2 3" xfId="2873"/>
    <cellStyle name="Input cel new 2 3 2 4 3" xfId="2556"/>
    <cellStyle name="Input cel new 2 3 2 4 3 2" xfId="3795"/>
    <cellStyle name="Input cel new 2 3 2 4 3 3" xfId="4693"/>
    <cellStyle name="Input cel new 2 3 2 4 4" xfId="1951"/>
    <cellStyle name="Input cel new 2 3 2 4 5" xfId="3190"/>
    <cellStyle name="Input cel new 2 3 2 4 6" xfId="1651"/>
    <cellStyle name="Input cel new 2 3 2 5" xfId="912"/>
    <cellStyle name="Input cel new 2 3 2 5 2" xfId="1234"/>
    <cellStyle name="Input cel new 2 3 2 5 2 2" xfId="4174"/>
    <cellStyle name="Input cel new 2 3 2 5 2 3" xfId="2935"/>
    <cellStyle name="Input cel new 2 3 2 5 3" xfId="2613"/>
    <cellStyle name="Input cel new 2 3 2 5 3 2" xfId="3852"/>
    <cellStyle name="Input cel new 2 3 2 5 3 3" xfId="4749"/>
    <cellStyle name="Input cel new 2 3 2 5 4" xfId="2013"/>
    <cellStyle name="Input cel new 2 3 2 5 5" xfId="3252"/>
    <cellStyle name="Input cel new 2 3 2 5 6" xfId="1713"/>
    <cellStyle name="Input cel new 2 3 2 6" xfId="733"/>
    <cellStyle name="Input cel new 2 3 2 6 2" xfId="2438"/>
    <cellStyle name="Input cel new 2 3 2 6 3" xfId="3677"/>
    <cellStyle name="Input cel new 2 3 2 6 4" xfId="1518"/>
    <cellStyle name="Input cel new 2 3 2 6 5" xfId="4642"/>
    <cellStyle name="Input cel new 2 3 2 7" xfId="327"/>
    <cellStyle name="Input cel new 2 3 2 7 2" xfId="3321"/>
    <cellStyle name="Input cel new 2 3 2 7 3" xfId="2082"/>
    <cellStyle name="Input cel new 2 3 2 8" xfId="1816"/>
    <cellStyle name="Input cel new 2 3 2 8 2" xfId="4249"/>
    <cellStyle name="Input cel new 2 3 2 9" xfId="3055"/>
    <cellStyle name="Input cel new 2 3 3" xfId="311"/>
    <cellStyle name="Input cel new 2 3 3 10" xfId="3037"/>
    <cellStyle name="Input cel new 2 3 3 11" xfId="1369"/>
    <cellStyle name="Input cel new 2 3 3 2" xfId="533"/>
    <cellStyle name="Input cel new 2 3 3 2 2" xfId="783"/>
    <cellStyle name="Input cel new 2 3 3 2 2 2" xfId="1091"/>
    <cellStyle name="Input cel new 2 3 3 2 2 2 2" xfId="4031"/>
    <cellStyle name="Input cel new 2 3 3 2 2 2 3" xfId="2792"/>
    <cellStyle name="Input cel new 2 3 3 2 2 3" xfId="2488"/>
    <cellStyle name="Input cel new 2 3 3 2 2 4" xfId="3727"/>
    <cellStyle name="Input cel new 2 3 3 2 2 5" xfId="1570"/>
    <cellStyle name="Input cel new 2 3 3 2 3" xfId="1006"/>
    <cellStyle name="Input cel new 2 3 3 2 3 2" xfId="3946"/>
    <cellStyle name="Input cel new 2 3 3 2 3 3" xfId="2707"/>
    <cellStyle name="Input cel new 2 3 3 2 4" xfId="2242"/>
    <cellStyle name="Input cel new 2 3 3 2 4 2" xfId="3481"/>
    <cellStyle name="Input cel new 2 3 3 2 4 3" xfId="4503"/>
    <cellStyle name="Input cel new 2 3 3 2 5" xfId="1870"/>
    <cellStyle name="Input cel new 2 3 3 2 5 2" xfId="4349"/>
    <cellStyle name="Input cel new 2 3 3 2 6" xfId="3109"/>
    <cellStyle name="Input cel new 2 3 3 2 7" xfId="1424"/>
    <cellStyle name="Input cel new 2 3 3 3" xfId="593"/>
    <cellStyle name="Input cel new 2 3 3 3 2" xfId="823"/>
    <cellStyle name="Input cel new 2 3 3 3 2 2" xfId="3766"/>
    <cellStyle name="Input cel new 2 3 3 3 2 3" xfId="2527"/>
    <cellStyle name="Input cel new 2 3 3 3 2 4" xfId="4676"/>
    <cellStyle name="Input cel new 2 3 3 3 3" xfId="1140"/>
    <cellStyle name="Input cel new 2 3 3 3 3 2" xfId="4080"/>
    <cellStyle name="Input cel new 2 3 3 3 3 3" xfId="2841"/>
    <cellStyle name="Input cel new 2 3 3 3 4" xfId="2302"/>
    <cellStyle name="Input cel new 2 3 3 3 4 2" xfId="3541"/>
    <cellStyle name="Input cel new 2 3 3 3 4 3" xfId="4550"/>
    <cellStyle name="Input cel new 2 3 3 3 5" xfId="1919"/>
    <cellStyle name="Input cel new 2 3 3 3 6" xfId="3158"/>
    <cellStyle name="Input cel new 2 3 3 3 7" xfId="1619"/>
    <cellStyle name="Input cel new 2 3 3 4" xfId="884"/>
    <cellStyle name="Input cel new 2 3 3 4 2" xfId="1204"/>
    <cellStyle name="Input cel new 2 3 3 4 2 2" xfId="4144"/>
    <cellStyle name="Input cel new 2 3 3 4 2 3" xfId="2905"/>
    <cellStyle name="Input cel new 2 3 3 4 3" xfId="2588"/>
    <cellStyle name="Input cel new 2 3 3 4 3 2" xfId="3827"/>
    <cellStyle name="Input cel new 2 3 3 4 3 3" xfId="4725"/>
    <cellStyle name="Input cel new 2 3 3 4 4" xfId="1983"/>
    <cellStyle name="Input cel new 2 3 3 4 5" xfId="3222"/>
    <cellStyle name="Input cel new 2 3 3 4 6" xfId="1683"/>
    <cellStyle name="Input cel new 2 3 3 5" xfId="943"/>
    <cellStyle name="Input cel new 2 3 3 5 2" xfId="1265"/>
    <cellStyle name="Input cel new 2 3 3 5 2 2" xfId="4205"/>
    <cellStyle name="Input cel new 2 3 3 5 2 3" xfId="2966"/>
    <cellStyle name="Input cel new 2 3 3 5 3" xfId="2644"/>
    <cellStyle name="Input cel new 2 3 3 5 3 2" xfId="3883"/>
    <cellStyle name="Input cel new 2 3 3 5 3 3" xfId="4780"/>
    <cellStyle name="Input cel new 2 3 3 5 4" xfId="2044"/>
    <cellStyle name="Input cel new 2 3 3 5 5" xfId="3283"/>
    <cellStyle name="Input cel new 2 3 3 5 6" xfId="1744"/>
    <cellStyle name="Input cel new 2 3 3 6" xfId="715"/>
    <cellStyle name="Input cel new 2 3 3 6 2" xfId="2420"/>
    <cellStyle name="Input cel new 2 3 3 6 3" xfId="3659"/>
    <cellStyle name="Input cel new 2 3 3 6 4" xfId="1500"/>
    <cellStyle name="Input cel new 2 3 3 6 5" xfId="4624"/>
    <cellStyle name="Input cel new 2 3 3 7" xfId="362"/>
    <cellStyle name="Input cel new 2 3 3 7 2" xfId="3348"/>
    <cellStyle name="Input cel new 2 3 3 7 3" xfId="2109"/>
    <cellStyle name="Input cel new 2 3 3 8" xfId="2068"/>
    <cellStyle name="Input cel new 2 3 3 8 2" xfId="3307"/>
    <cellStyle name="Input cel new 2 3 3 8 3" xfId="4402"/>
    <cellStyle name="Input cel new 2 3 3 9" xfId="1798"/>
    <cellStyle name="Input cel new 2 3 3 9 2" xfId="4218"/>
    <cellStyle name="Input cel new 2 3 4" xfId="438"/>
    <cellStyle name="Input cel new 2 3 4 2" xfId="618"/>
    <cellStyle name="Input cel new 2 3 4 2 2" xfId="3565"/>
    <cellStyle name="Input cel new 2 3 4 2 2 2" xfId="4563"/>
    <cellStyle name="Input cel new 2 3 4 2 3" xfId="2326"/>
    <cellStyle name="Input cel new 2 3 4 2 4" xfId="4274"/>
    <cellStyle name="Input cel new 2 3 4 3" xfId="563"/>
    <cellStyle name="Input cel new 2 3 4 3 2" xfId="3511"/>
    <cellStyle name="Input cel new 2 3 4 3 3" xfId="2272"/>
    <cellStyle name="Input cel new 2 3 4 4" xfId="1306"/>
    <cellStyle name="Input cel new 2 3 4 4 2" xfId="4266"/>
    <cellStyle name="Input cel new 2 3 4 5" xfId="2973"/>
    <cellStyle name="Input cel new 2 3 4 6" xfId="1355"/>
    <cellStyle name="Input cel new 2 3 5" xfId="465"/>
    <cellStyle name="Input cel new 2 3 5 2" xfId="834"/>
    <cellStyle name="Input cel new 2 3 5 2 2" xfId="1154"/>
    <cellStyle name="Input cel new 2 3 5 2 2 2" xfId="4094"/>
    <cellStyle name="Input cel new 2 3 5 2 2 3" xfId="2855"/>
    <cellStyle name="Input cel new 2 3 5 2 3" xfId="3777"/>
    <cellStyle name="Input cel new 2 3 5 2 4" xfId="2538"/>
    <cellStyle name="Input cel new 2 3 5 3" xfId="433"/>
    <cellStyle name="Input cel new 2 3 5 3 2" xfId="3394"/>
    <cellStyle name="Input cel new 2 3 5 3 3" xfId="2155"/>
    <cellStyle name="Input cel new 2 3 5 4" xfId="2177"/>
    <cellStyle name="Input cel new 2 3 5 4 2" xfId="3416"/>
    <cellStyle name="Input cel new 2 3 5 4 3" xfId="4451"/>
    <cellStyle name="Input cel new 2 3 5 5" xfId="1933"/>
    <cellStyle name="Input cel new 2 3 5 5 2" xfId="4377"/>
    <cellStyle name="Input cel new 2 3 5 6" xfId="3172"/>
    <cellStyle name="Input cel new 2 3 5 7" xfId="1633"/>
    <cellStyle name="Input cel new 2 3 6" xfId="502"/>
    <cellStyle name="Input cel new 2 3 6 2" xfId="1217"/>
    <cellStyle name="Input cel new 2 3 6 2 2" xfId="4157"/>
    <cellStyle name="Input cel new 2 3 6 2 3" xfId="2918"/>
    <cellStyle name="Input cel new 2 3 6 3" xfId="2214"/>
    <cellStyle name="Input cel new 2 3 6 3 2" xfId="3453"/>
    <cellStyle name="Input cel new 2 3 6 3 3" xfId="4481"/>
    <cellStyle name="Input cel new 2 3 6 4" xfId="1996"/>
    <cellStyle name="Input cel new 2 3 6 5" xfId="3235"/>
    <cellStyle name="Input cel new 2 3 6 6" xfId="1696"/>
    <cellStyle name="Input cel new 2 3 7" xfId="690"/>
    <cellStyle name="Input cel new 2 3 7 2" xfId="625"/>
    <cellStyle name="Input cel new 2 3 7 2 2" xfId="3572"/>
    <cellStyle name="Input cel new 2 3 7 2 3" xfId="2333"/>
    <cellStyle name="Input cel new 2 3 7 3" xfId="2395"/>
    <cellStyle name="Input cel new 2 3 7 4" xfId="3634"/>
    <cellStyle name="Input cel new 2 3 7 5" xfId="1466"/>
    <cellStyle name="Input cel new 2 3 8" xfId="1280"/>
    <cellStyle name="Input cel new 2 3 8 2" xfId="4290"/>
    <cellStyle name="Input cel new 2 3 9" xfId="1348"/>
    <cellStyle name="Input cel new 2 4" xfId="203"/>
    <cellStyle name="Input cel new 2 4 2" xfId="390"/>
    <cellStyle name="Input cel new 2 4 2 10" xfId="1454"/>
    <cellStyle name="Input cel new 2 4 2 2" xfId="569"/>
    <cellStyle name="Input cel new 2 4 2 2 2" xfId="800"/>
    <cellStyle name="Input cel new 2 4 2 2 2 2" xfId="1117"/>
    <cellStyle name="Input cel new 2 4 2 2 2 2 2" xfId="4057"/>
    <cellStyle name="Input cel new 2 4 2 2 2 2 3" xfId="2818"/>
    <cellStyle name="Input cel new 2 4 2 2 2 3" xfId="3743"/>
    <cellStyle name="Input cel new 2 4 2 2 2 4" xfId="2504"/>
    <cellStyle name="Input cel new 2 4 2 2 3" xfId="989"/>
    <cellStyle name="Input cel new 2 4 2 2 3 2" xfId="3929"/>
    <cellStyle name="Input cel new 2 4 2 2 3 3" xfId="2690"/>
    <cellStyle name="Input cel new 2 4 2 2 4" xfId="2278"/>
    <cellStyle name="Input cel new 2 4 2 2 4 2" xfId="3517"/>
    <cellStyle name="Input cel new 2 4 2 2 4 3" xfId="4528"/>
    <cellStyle name="Input cel new 2 4 2 2 5" xfId="1896"/>
    <cellStyle name="Input cel new 2 4 2 2 5 2" xfId="4357"/>
    <cellStyle name="Input cel new 2 4 2 2 6" xfId="3135"/>
    <cellStyle name="Input cel new 2 4 2 2 7" xfId="1596"/>
    <cellStyle name="Input cel new 2 4 2 3" xfId="861"/>
    <cellStyle name="Input cel new 2 4 2 3 2" xfId="1181"/>
    <cellStyle name="Input cel new 2 4 2 3 2 2" xfId="4121"/>
    <cellStyle name="Input cel new 2 4 2 3 2 3" xfId="2882"/>
    <cellStyle name="Input cel new 2 4 2 3 3" xfId="2565"/>
    <cellStyle name="Input cel new 2 4 2 3 3 2" xfId="3804"/>
    <cellStyle name="Input cel new 2 4 2 3 3 3" xfId="4702"/>
    <cellStyle name="Input cel new 2 4 2 3 4" xfId="1960"/>
    <cellStyle name="Input cel new 2 4 2 3 5" xfId="3199"/>
    <cellStyle name="Input cel new 2 4 2 3 6" xfId="1660"/>
    <cellStyle name="Input cel new 2 4 2 4" xfId="921"/>
    <cellStyle name="Input cel new 2 4 2 4 2" xfId="1243"/>
    <cellStyle name="Input cel new 2 4 2 4 2 2" xfId="4183"/>
    <cellStyle name="Input cel new 2 4 2 4 2 3" xfId="2944"/>
    <cellStyle name="Input cel new 2 4 2 4 3" xfId="2622"/>
    <cellStyle name="Input cel new 2 4 2 4 3 2" xfId="3861"/>
    <cellStyle name="Input cel new 2 4 2 4 3 3" xfId="4758"/>
    <cellStyle name="Input cel new 2 4 2 4 4" xfId="2022"/>
    <cellStyle name="Input cel new 2 4 2 4 5" xfId="3261"/>
    <cellStyle name="Input cel new 2 4 2 4 6" xfId="1722"/>
    <cellStyle name="Input cel new 2 4 2 5" xfId="761"/>
    <cellStyle name="Input cel new 2 4 2 5 2" xfId="1080"/>
    <cellStyle name="Input cel new 2 4 2 5 2 2" xfId="4020"/>
    <cellStyle name="Input cel new 2 4 2 5 2 3" xfId="2781"/>
    <cellStyle name="Input cel new 2 4 2 5 3" xfId="2466"/>
    <cellStyle name="Input cel new 2 4 2 5 4" xfId="3705"/>
    <cellStyle name="Input cel new 2 4 2 5 5" xfId="1547"/>
    <cellStyle name="Input cel new 2 4 2 6" xfId="650"/>
    <cellStyle name="Input cel new 2 4 2 6 2" xfId="3596"/>
    <cellStyle name="Input cel new 2 4 2 6 3" xfId="2357"/>
    <cellStyle name="Input cel new 2 4 2 7" xfId="2124"/>
    <cellStyle name="Input cel new 2 4 2 7 2" xfId="3363"/>
    <cellStyle name="Input cel new 2 4 2 7 3" xfId="4424"/>
    <cellStyle name="Input cel new 2 4 2 8" xfId="1848"/>
    <cellStyle name="Input cel new 2 4 2 8 2" xfId="4327"/>
    <cellStyle name="Input cel new 2 4 2 9" xfId="3087"/>
    <cellStyle name="Input cel new 2 4 3" xfId="456"/>
    <cellStyle name="Input cel new 2 4 3 2" xfId="1049"/>
    <cellStyle name="Input cel new 2 4 3 2 2" xfId="3989"/>
    <cellStyle name="Input cel new 2 4 3 2 2 2" xfId="4799"/>
    <cellStyle name="Input cel new 2 4 3 2 3" xfId="2750"/>
    <cellStyle name="Input cel new 2 4 3 3" xfId="2168"/>
    <cellStyle name="Input cel new 2 4 3 3 2" xfId="3407"/>
    <cellStyle name="Input cel new 2 4 3 3 3" xfId="4442"/>
    <cellStyle name="Input cel new 2 4 3 4" xfId="1788"/>
    <cellStyle name="Input cel new 2 4 3 4 2" xfId="4224"/>
    <cellStyle name="Input cel new 2 4 3 5" xfId="3027"/>
    <cellStyle name="Input cel new 2 4 3 6" xfId="1322"/>
    <cellStyle name="Input cel new 2 4 4" xfId="1014"/>
    <cellStyle name="Input cel new 2 4 4 2" xfId="3954"/>
    <cellStyle name="Input cel new 2 4 4 2 2" xfId="4786"/>
    <cellStyle name="Input cel new 2 4 4 3" xfId="2715"/>
    <cellStyle name="Input cel new 2 4 5" xfId="897"/>
    <cellStyle name="Input cel new 2 4 5 2" xfId="3839"/>
    <cellStyle name="Input cel new 2 4 5 3" xfId="2600"/>
    <cellStyle name="Input cel new 2 4 6" xfId="1469"/>
    <cellStyle name="Input cel new 2 4 7" xfId="2976"/>
    <cellStyle name="Input cel new 2 4 8" xfId="1283"/>
    <cellStyle name="Input cel new 2 4 9" xfId="336"/>
    <cellStyle name="Input cel new 2 5" xfId="266"/>
    <cellStyle name="Input cel new 2 5 2" xfId="3001"/>
    <cellStyle name="Input cel new 2 5 3" xfId="1761"/>
    <cellStyle name="Input cel new 2 5 4" xfId="4271"/>
    <cellStyle name="Input cel new 2 6" xfId="290"/>
    <cellStyle name="Input cel new 2 6 2" xfId="3289"/>
    <cellStyle name="Input cel new 2 6 3" xfId="2050"/>
    <cellStyle name="Input cel new 2 6 4" xfId="4384"/>
    <cellStyle name="Input cel new 2 7" xfId="351"/>
    <cellStyle name="Input cel new 3" xfId="25"/>
    <cellStyle name="Input cel new 3 2" xfId="216"/>
    <cellStyle name="Input cel new 3 2 2" xfId="263"/>
    <cellStyle name="Input cel new 3 2 2 10" xfId="1276"/>
    <cellStyle name="Input cel new 3 2 2 2" xfId="287"/>
    <cellStyle name="Input cel new 3 2 2 2 10" xfId="1391"/>
    <cellStyle name="Input cel new 3 2 2 2 2" xfId="489"/>
    <cellStyle name="Input cel new 3 2 2 2 2 2" xfId="756"/>
    <cellStyle name="Input cel new 3 2 2 2 2 2 2" xfId="2461"/>
    <cellStyle name="Input cel new 3 2 2 2 2 2 3" xfId="3700"/>
    <cellStyle name="Input cel new 3 2 2 2 2 2 4" xfId="1542"/>
    <cellStyle name="Input cel new 3 2 2 2 2 2 5" xfId="4654"/>
    <cellStyle name="Input cel new 3 2 2 2 2 3" xfId="673"/>
    <cellStyle name="Input cel new 3 2 2 2 2 3 2" xfId="3617"/>
    <cellStyle name="Input cel new 3 2 2 2 2 3 3" xfId="2378"/>
    <cellStyle name="Input cel new 3 2 2 2 2 3 4" xfId="4591"/>
    <cellStyle name="Input cel new 3 2 2 2 2 4" xfId="971"/>
    <cellStyle name="Input cel new 3 2 2 2 2 4 2" xfId="3911"/>
    <cellStyle name="Input cel new 3 2 2 2 2 4 3" xfId="2672"/>
    <cellStyle name="Input cel new 3 2 2 2 2 5" xfId="2201"/>
    <cellStyle name="Input cel new 3 2 2 2 2 5 2" xfId="3440"/>
    <cellStyle name="Input cel new 3 2 2 2 2 5 3" xfId="4472"/>
    <cellStyle name="Input cel new 3 2 2 2 2 6" xfId="1843"/>
    <cellStyle name="Input cel new 3 2 2 2 2 6 2" xfId="4323"/>
    <cellStyle name="Input cel new 3 2 2 2 2 7" xfId="3082"/>
    <cellStyle name="Input cel new 3 2 2 2 2 8" xfId="1445"/>
    <cellStyle name="Input cel new 3 2 2 2 3" xfId="554"/>
    <cellStyle name="Input cel new 3 2 2 2 3 2" xfId="1112"/>
    <cellStyle name="Input cel new 3 2 2 2 3 2 2" xfId="4052"/>
    <cellStyle name="Input cel new 3 2 2 2 3 2 3" xfId="2813"/>
    <cellStyle name="Input cel new 3 2 2 2 3 3" xfId="435"/>
    <cellStyle name="Input cel new 3 2 2 2 3 3 2" xfId="3395"/>
    <cellStyle name="Input cel new 3 2 2 2 3 3 3" xfId="2156"/>
    <cellStyle name="Input cel new 3 2 2 2 3 4" xfId="2263"/>
    <cellStyle name="Input cel new 3 2 2 2 3 4 2" xfId="3502"/>
    <cellStyle name="Input cel new 3 2 2 2 3 4 3" xfId="4524"/>
    <cellStyle name="Input cel new 3 2 2 2 3 5" xfId="1891"/>
    <cellStyle name="Input cel new 3 2 2 2 3 6" xfId="3130"/>
    <cellStyle name="Input cel new 3 2 2 2 3 7" xfId="1591"/>
    <cellStyle name="Input cel new 3 2 2 2 4" xfId="856"/>
    <cellStyle name="Input cel new 3 2 2 2 4 2" xfId="1176"/>
    <cellStyle name="Input cel new 3 2 2 2 4 2 2" xfId="4116"/>
    <cellStyle name="Input cel new 3 2 2 2 4 2 3" xfId="2877"/>
    <cellStyle name="Input cel new 3 2 2 2 4 3" xfId="2560"/>
    <cellStyle name="Input cel new 3 2 2 2 4 3 2" xfId="3799"/>
    <cellStyle name="Input cel new 3 2 2 2 4 3 3" xfId="4697"/>
    <cellStyle name="Input cel new 3 2 2 2 4 4" xfId="1955"/>
    <cellStyle name="Input cel new 3 2 2 2 4 5" xfId="3194"/>
    <cellStyle name="Input cel new 3 2 2 2 4 6" xfId="1655"/>
    <cellStyle name="Input cel new 3 2 2 2 5" xfId="916"/>
    <cellStyle name="Input cel new 3 2 2 2 5 2" xfId="1238"/>
    <cellStyle name="Input cel new 3 2 2 2 5 2 2" xfId="4178"/>
    <cellStyle name="Input cel new 3 2 2 2 5 2 3" xfId="2939"/>
    <cellStyle name="Input cel new 3 2 2 2 5 3" xfId="2617"/>
    <cellStyle name="Input cel new 3 2 2 2 5 3 2" xfId="3856"/>
    <cellStyle name="Input cel new 3 2 2 2 5 3 3" xfId="4753"/>
    <cellStyle name="Input cel new 3 2 2 2 5 4" xfId="2017"/>
    <cellStyle name="Input cel new 3 2 2 2 5 5" xfId="3256"/>
    <cellStyle name="Input cel new 3 2 2 2 5 6" xfId="1717"/>
    <cellStyle name="Input cel new 3 2 2 2 6" xfId="737"/>
    <cellStyle name="Input cel new 3 2 2 2 6 2" xfId="2442"/>
    <cellStyle name="Input cel new 3 2 2 2 6 3" xfId="3681"/>
    <cellStyle name="Input cel new 3 2 2 2 6 4" xfId="1522"/>
    <cellStyle name="Input cel new 3 2 2 2 6 5" xfId="4646"/>
    <cellStyle name="Input cel new 3 2 2 2 7" xfId="337"/>
    <cellStyle name="Input cel new 3 2 2 2 7 2" xfId="3329"/>
    <cellStyle name="Input cel new 3 2 2 2 7 3" xfId="2090"/>
    <cellStyle name="Input cel new 3 2 2 2 8" xfId="1820"/>
    <cellStyle name="Input cel new 3 2 2 2 8 2" xfId="4225"/>
    <cellStyle name="Input cel new 3 2 2 2 9" xfId="3059"/>
    <cellStyle name="Input cel new 3 2 2 3" xfId="315"/>
    <cellStyle name="Input cel new 3 2 2 3 10" xfId="3041"/>
    <cellStyle name="Input cel new 3 2 2 3 11" xfId="1373"/>
    <cellStyle name="Input cel new 3 2 2 3 2" xfId="537"/>
    <cellStyle name="Input cel new 3 2 2 3 2 2" xfId="787"/>
    <cellStyle name="Input cel new 3 2 2 3 2 2 2" xfId="1095"/>
    <cellStyle name="Input cel new 3 2 2 3 2 2 2 2" xfId="4035"/>
    <cellStyle name="Input cel new 3 2 2 3 2 2 2 3" xfId="2796"/>
    <cellStyle name="Input cel new 3 2 2 3 2 2 3" xfId="2492"/>
    <cellStyle name="Input cel new 3 2 2 3 2 2 4" xfId="3731"/>
    <cellStyle name="Input cel new 3 2 2 3 2 2 5" xfId="1574"/>
    <cellStyle name="Input cel new 3 2 2 3 2 3" xfId="1010"/>
    <cellStyle name="Input cel new 3 2 2 3 2 3 2" xfId="3950"/>
    <cellStyle name="Input cel new 3 2 2 3 2 3 3" xfId="2711"/>
    <cellStyle name="Input cel new 3 2 2 3 2 4" xfId="2246"/>
    <cellStyle name="Input cel new 3 2 2 3 2 4 2" xfId="3485"/>
    <cellStyle name="Input cel new 3 2 2 3 2 4 3" xfId="4507"/>
    <cellStyle name="Input cel new 3 2 2 3 2 5" xfId="1874"/>
    <cellStyle name="Input cel new 3 2 2 3 2 5 2" xfId="4353"/>
    <cellStyle name="Input cel new 3 2 2 3 2 6" xfId="3113"/>
    <cellStyle name="Input cel new 3 2 2 3 2 7" xfId="1428"/>
    <cellStyle name="Input cel new 3 2 2 3 3" xfId="597"/>
    <cellStyle name="Input cel new 3 2 2 3 3 2" xfId="827"/>
    <cellStyle name="Input cel new 3 2 2 3 3 2 2" xfId="3770"/>
    <cellStyle name="Input cel new 3 2 2 3 3 2 3" xfId="2531"/>
    <cellStyle name="Input cel new 3 2 2 3 3 2 4" xfId="4680"/>
    <cellStyle name="Input cel new 3 2 2 3 3 3" xfId="1144"/>
    <cellStyle name="Input cel new 3 2 2 3 3 3 2" xfId="4084"/>
    <cellStyle name="Input cel new 3 2 2 3 3 3 3" xfId="2845"/>
    <cellStyle name="Input cel new 3 2 2 3 3 4" xfId="2306"/>
    <cellStyle name="Input cel new 3 2 2 3 3 4 2" xfId="3545"/>
    <cellStyle name="Input cel new 3 2 2 3 3 4 3" xfId="4554"/>
    <cellStyle name="Input cel new 3 2 2 3 3 5" xfId="1923"/>
    <cellStyle name="Input cel new 3 2 2 3 3 6" xfId="3162"/>
    <cellStyle name="Input cel new 3 2 2 3 3 7" xfId="1623"/>
    <cellStyle name="Input cel new 3 2 2 3 4" xfId="888"/>
    <cellStyle name="Input cel new 3 2 2 3 4 2" xfId="1208"/>
    <cellStyle name="Input cel new 3 2 2 3 4 2 2" xfId="4148"/>
    <cellStyle name="Input cel new 3 2 2 3 4 2 3" xfId="2909"/>
    <cellStyle name="Input cel new 3 2 2 3 4 3" xfId="2592"/>
    <cellStyle name="Input cel new 3 2 2 3 4 3 2" xfId="3831"/>
    <cellStyle name="Input cel new 3 2 2 3 4 3 3" xfId="4729"/>
    <cellStyle name="Input cel new 3 2 2 3 4 4" xfId="1987"/>
    <cellStyle name="Input cel new 3 2 2 3 4 5" xfId="3226"/>
    <cellStyle name="Input cel new 3 2 2 3 4 6" xfId="1687"/>
    <cellStyle name="Input cel new 3 2 2 3 5" xfId="947"/>
    <cellStyle name="Input cel new 3 2 2 3 5 2" xfId="1269"/>
    <cellStyle name="Input cel new 3 2 2 3 5 2 2" xfId="4209"/>
    <cellStyle name="Input cel new 3 2 2 3 5 2 3" xfId="2970"/>
    <cellStyle name="Input cel new 3 2 2 3 5 3" xfId="2648"/>
    <cellStyle name="Input cel new 3 2 2 3 5 3 2" xfId="3887"/>
    <cellStyle name="Input cel new 3 2 2 3 5 3 3" xfId="4784"/>
    <cellStyle name="Input cel new 3 2 2 3 5 4" xfId="2048"/>
    <cellStyle name="Input cel new 3 2 2 3 5 5" xfId="3287"/>
    <cellStyle name="Input cel new 3 2 2 3 5 6" xfId="1748"/>
    <cellStyle name="Input cel new 3 2 2 3 6" xfId="719"/>
    <cellStyle name="Input cel new 3 2 2 3 6 2" xfId="2424"/>
    <cellStyle name="Input cel new 3 2 2 3 6 3" xfId="3663"/>
    <cellStyle name="Input cel new 3 2 2 3 6 4" xfId="1504"/>
    <cellStyle name="Input cel new 3 2 2 3 6 5" xfId="4628"/>
    <cellStyle name="Input cel new 3 2 2 3 7" xfId="560"/>
    <cellStyle name="Input cel new 3 2 2 3 7 2" xfId="3508"/>
    <cellStyle name="Input cel new 3 2 2 3 7 3" xfId="2269"/>
    <cellStyle name="Input cel new 3 2 2 3 8" xfId="2072"/>
    <cellStyle name="Input cel new 3 2 2 3 8 2" xfId="3311"/>
    <cellStyle name="Input cel new 3 2 2 3 8 3" xfId="4406"/>
    <cellStyle name="Input cel new 3 2 2 3 9" xfId="1802"/>
    <cellStyle name="Input cel new 3 2 2 3 9 2" xfId="4247"/>
    <cellStyle name="Input cel new 3 2 2 4" xfId="442"/>
    <cellStyle name="Input cel new 3 2 2 4 2" xfId="638"/>
    <cellStyle name="Input cel new 3 2 2 4 2 2" xfId="3584"/>
    <cellStyle name="Input cel new 3 2 2 4 2 2 2" xfId="4567"/>
    <cellStyle name="Input cel new 3 2 2 4 2 3" xfId="2345"/>
    <cellStyle name="Input cel new 3 2 2 4 2 4" xfId="4272"/>
    <cellStyle name="Input cel new 3 2 2 4 3" xfId="950"/>
    <cellStyle name="Input cel new 3 2 2 4 3 2" xfId="3890"/>
    <cellStyle name="Input cel new 3 2 2 4 3 3" xfId="2651"/>
    <cellStyle name="Input cel new 3 2 2 4 4" xfId="1757"/>
    <cellStyle name="Input cel new 3 2 2 4 4 2" xfId="4273"/>
    <cellStyle name="Input cel new 3 2 2 4 5" xfId="2997"/>
    <cellStyle name="Input cel new 3 2 2 4 6" xfId="1395"/>
    <cellStyle name="Input cel new 3 2 2 5" xfId="469"/>
    <cellStyle name="Input cel new 3 2 2 5 2" xfId="838"/>
    <cellStyle name="Input cel new 3 2 2 5 2 2" xfId="1158"/>
    <cellStyle name="Input cel new 3 2 2 5 2 2 2" xfId="4098"/>
    <cellStyle name="Input cel new 3 2 2 5 2 2 3" xfId="2859"/>
    <cellStyle name="Input cel new 3 2 2 5 2 3" xfId="3781"/>
    <cellStyle name="Input cel new 3 2 2 5 2 4" xfId="2542"/>
    <cellStyle name="Input cel new 3 2 2 5 3" xfId="962"/>
    <cellStyle name="Input cel new 3 2 2 5 3 2" xfId="3902"/>
    <cellStyle name="Input cel new 3 2 2 5 3 3" xfId="2663"/>
    <cellStyle name="Input cel new 3 2 2 5 4" xfId="2181"/>
    <cellStyle name="Input cel new 3 2 2 5 4 2" xfId="3420"/>
    <cellStyle name="Input cel new 3 2 2 5 4 3" xfId="4455"/>
    <cellStyle name="Input cel new 3 2 2 5 5" xfId="1937"/>
    <cellStyle name="Input cel new 3 2 2 5 5 2" xfId="4381"/>
    <cellStyle name="Input cel new 3 2 2 5 6" xfId="3176"/>
    <cellStyle name="Input cel new 3 2 2 5 7" xfId="1637"/>
    <cellStyle name="Input cel new 3 2 2 6" xfId="506"/>
    <cellStyle name="Input cel new 3 2 2 6 2" xfId="1221"/>
    <cellStyle name="Input cel new 3 2 2 6 2 2" xfId="4161"/>
    <cellStyle name="Input cel new 3 2 2 6 2 3" xfId="2922"/>
    <cellStyle name="Input cel new 3 2 2 6 3" xfId="2218"/>
    <cellStyle name="Input cel new 3 2 2 6 3 2" xfId="3457"/>
    <cellStyle name="Input cel new 3 2 2 6 3 3" xfId="4485"/>
    <cellStyle name="Input cel new 3 2 2 6 4" xfId="2000"/>
    <cellStyle name="Input cel new 3 2 2 6 5" xfId="3239"/>
    <cellStyle name="Input cel new 3 2 2 6 6" xfId="1700"/>
    <cellStyle name="Input cel new 3 2 2 7" xfId="675"/>
    <cellStyle name="Input cel new 3 2 2 7 2" xfId="955"/>
    <cellStyle name="Input cel new 3 2 2 7 2 2" xfId="3895"/>
    <cellStyle name="Input cel new 3 2 2 7 2 3" xfId="2656"/>
    <cellStyle name="Input cel new 3 2 2 7 3" xfId="2380"/>
    <cellStyle name="Input cel new 3 2 2 7 4" xfId="3619"/>
    <cellStyle name="Input cel new 3 2 2 7 5" xfId="1447"/>
    <cellStyle name="Input cel new 3 2 2 8" xfId="1298"/>
    <cellStyle name="Input cel new 3 2 2 8 2" xfId="4301"/>
    <cellStyle name="Input cel new 3 2 2 9" xfId="1297"/>
    <cellStyle name="Input cel new 3 2 3" xfId="270"/>
    <cellStyle name="Input cel new 3 2 3 2" xfId="386"/>
    <cellStyle name="Input cel new 3 2 3 2 10" xfId="1459"/>
    <cellStyle name="Input cel new 3 2 3 2 2" xfId="577"/>
    <cellStyle name="Input cel new 3 2 3 2 2 2" xfId="808"/>
    <cellStyle name="Input cel new 3 2 3 2 2 2 2" xfId="1125"/>
    <cellStyle name="Input cel new 3 2 3 2 2 2 2 2" xfId="4065"/>
    <cellStyle name="Input cel new 3 2 3 2 2 2 2 3" xfId="2826"/>
    <cellStyle name="Input cel new 3 2 3 2 2 2 3" xfId="3751"/>
    <cellStyle name="Input cel new 3 2 3 2 2 2 4" xfId="2512"/>
    <cellStyle name="Input cel new 3 2 3 2 2 3" xfId="951"/>
    <cellStyle name="Input cel new 3 2 3 2 2 3 2" xfId="3891"/>
    <cellStyle name="Input cel new 3 2 3 2 2 3 3" xfId="2652"/>
    <cellStyle name="Input cel new 3 2 3 2 2 4" xfId="2286"/>
    <cellStyle name="Input cel new 3 2 3 2 2 4 2" xfId="3525"/>
    <cellStyle name="Input cel new 3 2 3 2 2 4 3" xfId="4536"/>
    <cellStyle name="Input cel new 3 2 3 2 2 5" xfId="1904"/>
    <cellStyle name="Input cel new 3 2 3 2 2 5 2" xfId="4362"/>
    <cellStyle name="Input cel new 3 2 3 2 2 6" xfId="3143"/>
    <cellStyle name="Input cel new 3 2 3 2 2 7" xfId="1604"/>
    <cellStyle name="Input cel new 3 2 3 2 3" xfId="869"/>
    <cellStyle name="Input cel new 3 2 3 2 3 2" xfId="1189"/>
    <cellStyle name="Input cel new 3 2 3 2 3 2 2" xfId="4129"/>
    <cellStyle name="Input cel new 3 2 3 2 3 2 3" xfId="2890"/>
    <cellStyle name="Input cel new 3 2 3 2 3 3" xfId="2573"/>
    <cellStyle name="Input cel new 3 2 3 2 3 3 2" xfId="3812"/>
    <cellStyle name="Input cel new 3 2 3 2 3 3 3" xfId="4710"/>
    <cellStyle name="Input cel new 3 2 3 2 3 4" xfId="1968"/>
    <cellStyle name="Input cel new 3 2 3 2 3 5" xfId="3207"/>
    <cellStyle name="Input cel new 3 2 3 2 3 6" xfId="1668"/>
    <cellStyle name="Input cel new 3 2 3 2 4" xfId="929"/>
    <cellStyle name="Input cel new 3 2 3 2 4 2" xfId="1251"/>
    <cellStyle name="Input cel new 3 2 3 2 4 2 2" xfId="4191"/>
    <cellStyle name="Input cel new 3 2 3 2 4 2 3" xfId="2952"/>
    <cellStyle name="Input cel new 3 2 3 2 4 3" xfId="2630"/>
    <cellStyle name="Input cel new 3 2 3 2 4 3 2" xfId="3869"/>
    <cellStyle name="Input cel new 3 2 3 2 4 3 3" xfId="4766"/>
    <cellStyle name="Input cel new 3 2 3 2 4 4" xfId="2030"/>
    <cellStyle name="Input cel new 3 2 3 2 4 5" xfId="3269"/>
    <cellStyle name="Input cel new 3 2 3 2 4 6" xfId="1730"/>
    <cellStyle name="Input cel new 3 2 3 2 5" xfId="769"/>
    <cellStyle name="Input cel new 3 2 3 2 5 2" xfId="1085"/>
    <cellStyle name="Input cel new 3 2 3 2 5 2 2" xfId="4025"/>
    <cellStyle name="Input cel new 3 2 3 2 5 2 3" xfId="2786"/>
    <cellStyle name="Input cel new 3 2 3 2 5 3" xfId="2474"/>
    <cellStyle name="Input cel new 3 2 3 2 5 4" xfId="3713"/>
    <cellStyle name="Input cel new 3 2 3 2 5 5" xfId="1555"/>
    <cellStyle name="Input cel new 3 2 3 2 6" xfId="634"/>
    <cellStyle name="Input cel new 3 2 3 2 6 2" xfId="3580"/>
    <cellStyle name="Input cel new 3 2 3 2 6 3" xfId="2341"/>
    <cellStyle name="Input cel new 3 2 3 2 7" xfId="2122"/>
    <cellStyle name="Input cel new 3 2 3 2 7 2" xfId="3361"/>
    <cellStyle name="Input cel new 3 2 3 2 7 3" xfId="4422"/>
    <cellStyle name="Input cel new 3 2 3 2 8" xfId="1856"/>
    <cellStyle name="Input cel new 3 2 3 2 8 2" xfId="4335"/>
    <cellStyle name="Input cel new 3 2 3 2 9" xfId="3095"/>
    <cellStyle name="Input cel new 3 2 3 3" xfId="622"/>
    <cellStyle name="Input cel new 3 2 3 3 2" xfId="1051"/>
    <cellStyle name="Input cel new 3 2 3 3 2 2" xfId="3991"/>
    <cellStyle name="Input cel new 3 2 3 3 2 2 2" xfId="4801"/>
    <cellStyle name="Input cel new 3 2 3 3 2 3" xfId="2752"/>
    <cellStyle name="Input cel new 3 2 3 3 3" xfId="2330"/>
    <cellStyle name="Input cel new 3 2 3 3 3 2" xfId="3569"/>
    <cellStyle name="Input cel new 3 2 3 3 3 3" xfId="4566"/>
    <cellStyle name="Input cel new 3 2 3 3 4" xfId="1790"/>
    <cellStyle name="Input cel new 3 2 3 3 4 2" xfId="4212"/>
    <cellStyle name="Input cel new 3 2 3 3 5" xfId="3029"/>
    <cellStyle name="Input cel new 3 2 3 3 6" xfId="1360"/>
    <cellStyle name="Input cel new 3 2 3 4" xfId="1054"/>
    <cellStyle name="Input cel new 3 2 3 4 2" xfId="3994"/>
    <cellStyle name="Input cel new 3 2 3 4 2 2" xfId="4804"/>
    <cellStyle name="Input cel new 3 2 3 4 3" xfId="2755"/>
    <cellStyle name="Input cel new 3 2 3 5" xfId="426"/>
    <cellStyle name="Input cel new 3 2 3 5 2" xfId="3389"/>
    <cellStyle name="Input cel new 3 2 3 5 3" xfId="2150"/>
    <cellStyle name="Input cel new 3 2 3 6" xfId="1766"/>
    <cellStyle name="Input cel new 3 2 3 7" xfId="3006"/>
    <cellStyle name="Input cel new 3 2 3 8" xfId="1324"/>
    <cellStyle name="Input cel new 3 2 3 9" xfId="369"/>
    <cellStyle name="Input cel new 3 2 4" xfId="295"/>
    <cellStyle name="Input cel new 3 2 4 2" xfId="3293"/>
    <cellStyle name="Input cel new 3 2 4 3" xfId="2054"/>
    <cellStyle name="Input cel new 3 2 4 4" xfId="4388"/>
    <cellStyle name="Input cel new 3 2 5" xfId="394"/>
    <cellStyle name="Input cel new 3 3" xfId="260"/>
    <cellStyle name="Input cel new 3 3 10" xfId="1273"/>
    <cellStyle name="Input cel new 3 3 2" xfId="284"/>
    <cellStyle name="Input cel new 3 3 2 10" xfId="1388"/>
    <cellStyle name="Input cel new 3 3 2 2" xfId="486"/>
    <cellStyle name="Input cel new 3 3 2 2 2" xfId="753"/>
    <cellStyle name="Input cel new 3 3 2 2 2 2" xfId="2458"/>
    <cellStyle name="Input cel new 3 3 2 2 2 3" xfId="3697"/>
    <cellStyle name="Input cel new 3 3 2 2 2 4" xfId="1539"/>
    <cellStyle name="Input cel new 3 3 2 2 2 5" xfId="4651"/>
    <cellStyle name="Input cel new 3 3 2 2 3" xfId="670"/>
    <cellStyle name="Input cel new 3 3 2 2 3 2" xfId="3614"/>
    <cellStyle name="Input cel new 3 3 2 2 3 3" xfId="2375"/>
    <cellStyle name="Input cel new 3 3 2 2 3 4" xfId="4588"/>
    <cellStyle name="Input cel new 3 3 2 2 4" xfId="968"/>
    <cellStyle name="Input cel new 3 3 2 2 4 2" xfId="3908"/>
    <cellStyle name="Input cel new 3 3 2 2 4 3" xfId="2669"/>
    <cellStyle name="Input cel new 3 3 2 2 5" xfId="2198"/>
    <cellStyle name="Input cel new 3 3 2 2 5 2" xfId="3437"/>
    <cellStyle name="Input cel new 3 3 2 2 5 3" xfId="4469"/>
    <cellStyle name="Input cel new 3 3 2 2 6" xfId="1840"/>
    <cellStyle name="Input cel new 3 3 2 2 6 2" xfId="4320"/>
    <cellStyle name="Input cel new 3 3 2 2 7" xfId="3079"/>
    <cellStyle name="Input cel new 3 3 2 2 8" xfId="1442"/>
    <cellStyle name="Input cel new 3 3 2 3" xfId="551"/>
    <cellStyle name="Input cel new 3 3 2 3 2" xfId="1109"/>
    <cellStyle name="Input cel new 3 3 2 3 2 2" xfId="4049"/>
    <cellStyle name="Input cel new 3 3 2 3 2 3" xfId="2810"/>
    <cellStyle name="Input cel new 3 3 2 3 3" xfId="792"/>
    <cellStyle name="Input cel new 3 3 2 3 3 2" xfId="3736"/>
    <cellStyle name="Input cel new 3 3 2 3 3 3" xfId="2497"/>
    <cellStyle name="Input cel new 3 3 2 3 4" xfId="2260"/>
    <cellStyle name="Input cel new 3 3 2 3 4 2" xfId="3499"/>
    <cellStyle name="Input cel new 3 3 2 3 4 3" xfId="4521"/>
    <cellStyle name="Input cel new 3 3 2 3 5" xfId="1888"/>
    <cellStyle name="Input cel new 3 3 2 3 6" xfId="3127"/>
    <cellStyle name="Input cel new 3 3 2 3 7" xfId="1588"/>
    <cellStyle name="Input cel new 3 3 2 4" xfId="853"/>
    <cellStyle name="Input cel new 3 3 2 4 2" xfId="1173"/>
    <cellStyle name="Input cel new 3 3 2 4 2 2" xfId="4113"/>
    <cellStyle name="Input cel new 3 3 2 4 2 3" xfId="2874"/>
    <cellStyle name="Input cel new 3 3 2 4 3" xfId="2557"/>
    <cellStyle name="Input cel new 3 3 2 4 3 2" xfId="3796"/>
    <cellStyle name="Input cel new 3 3 2 4 3 3" xfId="4694"/>
    <cellStyle name="Input cel new 3 3 2 4 4" xfId="1952"/>
    <cellStyle name="Input cel new 3 3 2 4 5" xfId="3191"/>
    <cellStyle name="Input cel new 3 3 2 4 6" xfId="1652"/>
    <cellStyle name="Input cel new 3 3 2 5" xfId="913"/>
    <cellStyle name="Input cel new 3 3 2 5 2" xfId="1235"/>
    <cellStyle name="Input cel new 3 3 2 5 2 2" xfId="4175"/>
    <cellStyle name="Input cel new 3 3 2 5 2 3" xfId="2936"/>
    <cellStyle name="Input cel new 3 3 2 5 3" xfId="2614"/>
    <cellStyle name="Input cel new 3 3 2 5 3 2" xfId="3853"/>
    <cellStyle name="Input cel new 3 3 2 5 3 3" xfId="4750"/>
    <cellStyle name="Input cel new 3 3 2 5 4" xfId="2014"/>
    <cellStyle name="Input cel new 3 3 2 5 5" xfId="3253"/>
    <cellStyle name="Input cel new 3 3 2 5 6" xfId="1714"/>
    <cellStyle name="Input cel new 3 3 2 6" xfId="734"/>
    <cellStyle name="Input cel new 3 3 2 6 2" xfId="2439"/>
    <cellStyle name="Input cel new 3 3 2 6 3" xfId="3678"/>
    <cellStyle name="Input cel new 3 3 2 6 4" xfId="1519"/>
    <cellStyle name="Input cel new 3 3 2 6 5" xfId="4643"/>
    <cellStyle name="Input cel new 3 3 2 7" xfId="392"/>
    <cellStyle name="Input cel new 3 3 2 7 2" xfId="3365"/>
    <cellStyle name="Input cel new 3 3 2 7 3" xfId="2126"/>
    <cellStyle name="Input cel new 3 3 2 8" xfId="1817"/>
    <cellStyle name="Input cel new 3 3 2 8 2" xfId="4243"/>
    <cellStyle name="Input cel new 3 3 2 9" xfId="3056"/>
    <cellStyle name="Input cel new 3 3 3" xfId="312"/>
    <cellStyle name="Input cel new 3 3 3 10" xfId="3038"/>
    <cellStyle name="Input cel new 3 3 3 11" xfId="1370"/>
    <cellStyle name="Input cel new 3 3 3 2" xfId="534"/>
    <cellStyle name="Input cel new 3 3 3 2 2" xfId="784"/>
    <cellStyle name="Input cel new 3 3 3 2 2 2" xfId="1092"/>
    <cellStyle name="Input cel new 3 3 3 2 2 2 2" xfId="4032"/>
    <cellStyle name="Input cel new 3 3 3 2 2 2 3" xfId="2793"/>
    <cellStyle name="Input cel new 3 3 3 2 2 3" xfId="2489"/>
    <cellStyle name="Input cel new 3 3 3 2 2 4" xfId="3728"/>
    <cellStyle name="Input cel new 3 3 3 2 2 5" xfId="1571"/>
    <cellStyle name="Input cel new 3 3 3 2 3" xfId="1007"/>
    <cellStyle name="Input cel new 3 3 3 2 3 2" xfId="3947"/>
    <cellStyle name="Input cel new 3 3 3 2 3 3" xfId="2708"/>
    <cellStyle name="Input cel new 3 3 3 2 4" xfId="2243"/>
    <cellStyle name="Input cel new 3 3 3 2 4 2" xfId="3482"/>
    <cellStyle name="Input cel new 3 3 3 2 4 3" xfId="4504"/>
    <cellStyle name="Input cel new 3 3 3 2 5" xfId="1871"/>
    <cellStyle name="Input cel new 3 3 3 2 5 2" xfId="4350"/>
    <cellStyle name="Input cel new 3 3 3 2 6" xfId="3110"/>
    <cellStyle name="Input cel new 3 3 3 2 7" xfId="1425"/>
    <cellStyle name="Input cel new 3 3 3 3" xfId="594"/>
    <cellStyle name="Input cel new 3 3 3 3 2" xfId="824"/>
    <cellStyle name="Input cel new 3 3 3 3 2 2" xfId="3767"/>
    <cellStyle name="Input cel new 3 3 3 3 2 3" xfId="2528"/>
    <cellStyle name="Input cel new 3 3 3 3 2 4" xfId="4677"/>
    <cellStyle name="Input cel new 3 3 3 3 3" xfId="1141"/>
    <cellStyle name="Input cel new 3 3 3 3 3 2" xfId="4081"/>
    <cellStyle name="Input cel new 3 3 3 3 3 3" xfId="2842"/>
    <cellStyle name="Input cel new 3 3 3 3 4" xfId="2303"/>
    <cellStyle name="Input cel new 3 3 3 3 4 2" xfId="3542"/>
    <cellStyle name="Input cel new 3 3 3 3 4 3" xfId="4551"/>
    <cellStyle name="Input cel new 3 3 3 3 5" xfId="1920"/>
    <cellStyle name="Input cel new 3 3 3 3 6" xfId="3159"/>
    <cellStyle name="Input cel new 3 3 3 3 7" xfId="1620"/>
    <cellStyle name="Input cel new 3 3 3 4" xfId="885"/>
    <cellStyle name="Input cel new 3 3 3 4 2" xfId="1205"/>
    <cellStyle name="Input cel new 3 3 3 4 2 2" xfId="4145"/>
    <cellStyle name="Input cel new 3 3 3 4 2 3" xfId="2906"/>
    <cellStyle name="Input cel new 3 3 3 4 3" xfId="2589"/>
    <cellStyle name="Input cel new 3 3 3 4 3 2" xfId="3828"/>
    <cellStyle name="Input cel new 3 3 3 4 3 3" xfId="4726"/>
    <cellStyle name="Input cel new 3 3 3 4 4" xfId="1984"/>
    <cellStyle name="Input cel new 3 3 3 4 5" xfId="3223"/>
    <cellStyle name="Input cel new 3 3 3 4 6" xfId="1684"/>
    <cellStyle name="Input cel new 3 3 3 5" xfId="944"/>
    <cellStyle name="Input cel new 3 3 3 5 2" xfId="1266"/>
    <cellStyle name="Input cel new 3 3 3 5 2 2" xfId="4206"/>
    <cellStyle name="Input cel new 3 3 3 5 2 3" xfId="2967"/>
    <cellStyle name="Input cel new 3 3 3 5 3" xfId="2645"/>
    <cellStyle name="Input cel new 3 3 3 5 3 2" xfId="3884"/>
    <cellStyle name="Input cel new 3 3 3 5 3 3" xfId="4781"/>
    <cellStyle name="Input cel new 3 3 3 5 4" xfId="2045"/>
    <cellStyle name="Input cel new 3 3 3 5 5" xfId="3284"/>
    <cellStyle name="Input cel new 3 3 3 5 6" xfId="1745"/>
    <cellStyle name="Input cel new 3 3 3 6" xfId="716"/>
    <cellStyle name="Input cel new 3 3 3 6 2" xfId="2421"/>
    <cellStyle name="Input cel new 3 3 3 6 3" xfId="3660"/>
    <cellStyle name="Input cel new 3 3 3 6 4" xfId="1501"/>
    <cellStyle name="Input cel new 3 3 3 6 5" xfId="4625"/>
    <cellStyle name="Input cel new 3 3 3 7" xfId="391"/>
    <cellStyle name="Input cel new 3 3 3 7 2" xfId="3364"/>
    <cellStyle name="Input cel new 3 3 3 7 3" xfId="2125"/>
    <cellStyle name="Input cel new 3 3 3 8" xfId="2069"/>
    <cellStyle name="Input cel new 3 3 3 8 2" xfId="3308"/>
    <cellStyle name="Input cel new 3 3 3 8 3" xfId="4403"/>
    <cellStyle name="Input cel new 3 3 3 9" xfId="1799"/>
    <cellStyle name="Input cel new 3 3 3 9 2" xfId="4261"/>
    <cellStyle name="Input cel new 3 3 4" xfId="439"/>
    <cellStyle name="Input cel new 3 3 4 2" xfId="697"/>
    <cellStyle name="Input cel new 3 3 4 2 2" xfId="3641"/>
    <cellStyle name="Input cel new 3 3 4 2 2 2" xfId="4607"/>
    <cellStyle name="Input cel new 3 3 4 2 3" xfId="2402"/>
    <cellStyle name="Input cel new 3 3 4 2 4" xfId="4268"/>
    <cellStyle name="Input cel new 3 3 4 3" xfId="330"/>
    <cellStyle name="Input cel new 3 3 4 3 2" xfId="3324"/>
    <cellStyle name="Input cel new 3 3 4 3 3" xfId="2085"/>
    <cellStyle name="Input cel new 3 3 4 4" xfId="1773"/>
    <cellStyle name="Input cel new 3 3 4 4 2" xfId="4286"/>
    <cellStyle name="Input cel new 3 3 4 5" xfId="3013"/>
    <cellStyle name="Input cel new 3 3 4 6" xfId="1478"/>
    <cellStyle name="Input cel new 3 3 5" xfId="466"/>
    <cellStyle name="Input cel new 3 3 5 2" xfId="835"/>
    <cellStyle name="Input cel new 3 3 5 2 2" xfId="1155"/>
    <cellStyle name="Input cel new 3 3 5 2 2 2" xfId="4095"/>
    <cellStyle name="Input cel new 3 3 5 2 2 3" xfId="2856"/>
    <cellStyle name="Input cel new 3 3 5 2 3" xfId="3778"/>
    <cellStyle name="Input cel new 3 3 5 2 4" xfId="2539"/>
    <cellStyle name="Input cel new 3 3 5 3" xfId="354"/>
    <cellStyle name="Input cel new 3 3 5 3 2" xfId="3342"/>
    <cellStyle name="Input cel new 3 3 5 3 3" xfId="2103"/>
    <cellStyle name="Input cel new 3 3 5 4" xfId="2178"/>
    <cellStyle name="Input cel new 3 3 5 4 2" xfId="3417"/>
    <cellStyle name="Input cel new 3 3 5 4 3" xfId="4452"/>
    <cellStyle name="Input cel new 3 3 5 5" xfId="1934"/>
    <cellStyle name="Input cel new 3 3 5 5 2" xfId="4378"/>
    <cellStyle name="Input cel new 3 3 5 6" xfId="3173"/>
    <cellStyle name="Input cel new 3 3 5 7" xfId="1634"/>
    <cellStyle name="Input cel new 3 3 6" xfId="503"/>
    <cellStyle name="Input cel new 3 3 6 2" xfId="1218"/>
    <cellStyle name="Input cel new 3 3 6 2 2" xfId="4158"/>
    <cellStyle name="Input cel new 3 3 6 2 3" xfId="2919"/>
    <cellStyle name="Input cel new 3 3 6 3" xfId="2215"/>
    <cellStyle name="Input cel new 3 3 6 3 2" xfId="3454"/>
    <cellStyle name="Input cel new 3 3 6 3 3" xfId="4482"/>
    <cellStyle name="Input cel new 3 3 6 4" xfId="1997"/>
    <cellStyle name="Input cel new 3 3 6 5" xfId="3236"/>
    <cellStyle name="Input cel new 3 3 6 6" xfId="1697"/>
    <cellStyle name="Input cel new 3 3 7" xfId="676"/>
    <cellStyle name="Input cel new 3 3 7 2" xfId="396"/>
    <cellStyle name="Input cel new 3 3 7 2 2" xfId="3368"/>
    <cellStyle name="Input cel new 3 3 7 2 3" xfId="2129"/>
    <cellStyle name="Input cel new 3 3 7 3" xfId="2381"/>
    <cellStyle name="Input cel new 3 3 7 4" xfId="3620"/>
    <cellStyle name="Input cel new 3 3 7 5" xfId="1448"/>
    <cellStyle name="Input cel new 3 3 8" xfId="1326"/>
    <cellStyle name="Input cel new 3 3 8 2" xfId="4294"/>
    <cellStyle name="Input cel new 3 3 9" xfId="1404"/>
    <cellStyle name="Input cel new 3 4" xfId="204"/>
    <cellStyle name="Input cel new 3 4 2" xfId="324"/>
    <cellStyle name="Input cel new 3 4 2 10" xfId="1453"/>
    <cellStyle name="Input cel new 3 4 2 2" xfId="568"/>
    <cellStyle name="Input cel new 3 4 2 2 2" xfId="799"/>
    <cellStyle name="Input cel new 3 4 2 2 2 2" xfId="1116"/>
    <cellStyle name="Input cel new 3 4 2 2 2 2 2" xfId="4056"/>
    <cellStyle name="Input cel new 3 4 2 2 2 2 3" xfId="2817"/>
    <cellStyle name="Input cel new 3 4 2 2 2 3" xfId="3742"/>
    <cellStyle name="Input cel new 3 4 2 2 2 4" xfId="2503"/>
    <cellStyle name="Input cel new 3 4 2 2 3" xfId="788"/>
    <cellStyle name="Input cel new 3 4 2 2 3 2" xfId="3732"/>
    <cellStyle name="Input cel new 3 4 2 2 3 3" xfId="2493"/>
    <cellStyle name="Input cel new 3 4 2 2 4" xfId="2277"/>
    <cellStyle name="Input cel new 3 4 2 2 4 2" xfId="3516"/>
    <cellStyle name="Input cel new 3 4 2 2 4 3" xfId="4527"/>
    <cellStyle name="Input cel new 3 4 2 2 5" xfId="1895"/>
    <cellStyle name="Input cel new 3 4 2 2 5 2" xfId="4356"/>
    <cellStyle name="Input cel new 3 4 2 2 6" xfId="3134"/>
    <cellStyle name="Input cel new 3 4 2 2 7" xfId="1595"/>
    <cellStyle name="Input cel new 3 4 2 3" xfId="860"/>
    <cellStyle name="Input cel new 3 4 2 3 2" xfId="1180"/>
    <cellStyle name="Input cel new 3 4 2 3 2 2" xfId="4120"/>
    <cellStyle name="Input cel new 3 4 2 3 2 3" xfId="2881"/>
    <cellStyle name="Input cel new 3 4 2 3 3" xfId="2564"/>
    <cellStyle name="Input cel new 3 4 2 3 3 2" xfId="3803"/>
    <cellStyle name="Input cel new 3 4 2 3 3 3" xfId="4701"/>
    <cellStyle name="Input cel new 3 4 2 3 4" xfId="1959"/>
    <cellStyle name="Input cel new 3 4 2 3 5" xfId="3198"/>
    <cellStyle name="Input cel new 3 4 2 3 6" xfId="1659"/>
    <cellStyle name="Input cel new 3 4 2 4" xfId="920"/>
    <cellStyle name="Input cel new 3 4 2 4 2" xfId="1242"/>
    <cellStyle name="Input cel new 3 4 2 4 2 2" xfId="4182"/>
    <cellStyle name="Input cel new 3 4 2 4 2 3" xfId="2943"/>
    <cellStyle name="Input cel new 3 4 2 4 3" xfId="2621"/>
    <cellStyle name="Input cel new 3 4 2 4 3 2" xfId="3860"/>
    <cellStyle name="Input cel new 3 4 2 4 3 3" xfId="4757"/>
    <cellStyle name="Input cel new 3 4 2 4 4" xfId="2021"/>
    <cellStyle name="Input cel new 3 4 2 4 5" xfId="3260"/>
    <cellStyle name="Input cel new 3 4 2 4 6" xfId="1721"/>
    <cellStyle name="Input cel new 3 4 2 5" xfId="760"/>
    <cellStyle name="Input cel new 3 4 2 5 2" xfId="1079"/>
    <cellStyle name="Input cel new 3 4 2 5 2 2" xfId="4019"/>
    <cellStyle name="Input cel new 3 4 2 5 2 3" xfId="2780"/>
    <cellStyle name="Input cel new 3 4 2 5 3" xfId="2465"/>
    <cellStyle name="Input cel new 3 4 2 5 4" xfId="3704"/>
    <cellStyle name="Input cel new 3 4 2 5 5" xfId="1546"/>
    <cellStyle name="Input cel new 3 4 2 6" xfId="397"/>
    <cellStyle name="Input cel new 3 4 2 6 2" xfId="3369"/>
    <cellStyle name="Input cel new 3 4 2 6 3" xfId="2130"/>
    <cellStyle name="Input cel new 3 4 2 7" xfId="2079"/>
    <cellStyle name="Input cel new 3 4 2 7 2" xfId="3318"/>
    <cellStyle name="Input cel new 3 4 2 7 3" xfId="4412"/>
    <cellStyle name="Input cel new 3 4 2 8" xfId="1847"/>
    <cellStyle name="Input cel new 3 4 2 8 2" xfId="4326"/>
    <cellStyle name="Input cel new 3 4 2 9" xfId="3086"/>
    <cellStyle name="Input cel new 3 4 3" xfId="607"/>
    <cellStyle name="Input cel new 3 4 3 2" xfId="1033"/>
    <cellStyle name="Input cel new 3 4 3 2 2" xfId="3973"/>
    <cellStyle name="Input cel new 3 4 3 2 2 2" xfId="4792"/>
    <cellStyle name="Input cel new 3 4 3 2 3" xfId="2734"/>
    <cellStyle name="Input cel new 3 4 3 3" xfId="2316"/>
    <cellStyle name="Input cel new 3 4 3 3 2" xfId="3555"/>
    <cellStyle name="Input cel new 3 4 3 3 3" xfId="4557"/>
    <cellStyle name="Input cel new 3 4 3 4" xfId="1764"/>
    <cellStyle name="Input cel new 3 4 3 4 2" xfId="4241"/>
    <cellStyle name="Input cel new 3 4 3 5" xfId="3004"/>
    <cellStyle name="Input cel new 3 4 3 6" xfId="1343"/>
    <cellStyle name="Input cel new 3 4 4" xfId="1038"/>
    <cellStyle name="Input cel new 3 4 4 2" xfId="3978"/>
    <cellStyle name="Input cel new 3 4 4 2 2" xfId="4795"/>
    <cellStyle name="Input cel new 3 4 4 3" xfId="2739"/>
    <cellStyle name="Input cel new 3 4 5" xfId="655"/>
    <cellStyle name="Input cel new 3 4 5 2" xfId="3600"/>
    <cellStyle name="Input cel new 3 4 5 3" xfId="2361"/>
    <cellStyle name="Input cel new 3 4 6" xfId="1302"/>
    <cellStyle name="Input cel new 3 4 7" xfId="2975"/>
    <cellStyle name="Input cel new 3 4 8" xfId="1282"/>
    <cellStyle name="Input cel new 3 4 9" xfId="363"/>
    <cellStyle name="Input cel new 3 5" xfId="267"/>
    <cellStyle name="Input cel new 3 5 2" xfId="3062"/>
    <cellStyle name="Input cel new 3 5 3" xfId="1823"/>
    <cellStyle name="Input cel new 3 5 4" xfId="4304"/>
    <cellStyle name="Input cel new 3 6" xfId="291"/>
    <cellStyle name="Input cel new 3 6 2" xfId="3290"/>
    <cellStyle name="Input cel new 3 6 3" xfId="2051"/>
    <cellStyle name="Input cel new 3 6 4" xfId="4385"/>
    <cellStyle name="Input cel new 3 7" xfId="419"/>
    <cellStyle name="Input cel new 4" xfId="214"/>
    <cellStyle name="Input cel new 4 2" xfId="261"/>
    <cellStyle name="Input cel new 4 2 10" xfId="1274"/>
    <cellStyle name="Input cel new 4 2 2" xfId="285"/>
    <cellStyle name="Input cel new 4 2 2 10" xfId="1389"/>
    <cellStyle name="Input cel new 4 2 2 2" xfId="487"/>
    <cellStyle name="Input cel new 4 2 2 2 2" xfId="754"/>
    <cellStyle name="Input cel new 4 2 2 2 2 2" xfId="2459"/>
    <cellStyle name="Input cel new 4 2 2 2 2 3" xfId="3698"/>
    <cellStyle name="Input cel new 4 2 2 2 2 4" xfId="1540"/>
    <cellStyle name="Input cel new 4 2 2 2 2 5" xfId="4652"/>
    <cellStyle name="Input cel new 4 2 2 2 3" xfId="671"/>
    <cellStyle name="Input cel new 4 2 2 2 3 2" xfId="3615"/>
    <cellStyle name="Input cel new 4 2 2 2 3 3" xfId="2376"/>
    <cellStyle name="Input cel new 4 2 2 2 3 4" xfId="4589"/>
    <cellStyle name="Input cel new 4 2 2 2 4" xfId="969"/>
    <cellStyle name="Input cel new 4 2 2 2 4 2" xfId="3909"/>
    <cellStyle name="Input cel new 4 2 2 2 4 3" xfId="2670"/>
    <cellStyle name="Input cel new 4 2 2 2 5" xfId="2199"/>
    <cellStyle name="Input cel new 4 2 2 2 5 2" xfId="3438"/>
    <cellStyle name="Input cel new 4 2 2 2 5 3" xfId="4470"/>
    <cellStyle name="Input cel new 4 2 2 2 6" xfId="1841"/>
    <cellStyle name="Input cel new 4 2 2 2 6 2" xfId="4321"/>
    <cellStyle name="Input cel new 4 2 2 2 7" xfId="3080"/>
    <cellStyle name="Input cel new 4 2 2 2 8" xfId="1443"/>
    <cellStyle name="Input cel new 4 2 2 3" xfId="552"/>
    <cellStyle name="Input cel new 4 2 2 3 2" xfId="1110"/>
    <cellStyle name="Input cel new 4 2 2 3 2 2" xfId="4050"/>
    <cellStyle name="Input cel new 4 2 2 3 2 3" xfId="2811"/>
    <cellStyle name="Input cel new 4 2 2 3 3" xfId="356"/>
    <cellStyle name="Input cel new 4 2 2 3 3 2" xfId="3344"/>
    <cellStyle name="Input cel new 4 2 2 3 3 3" xfId="2105"/>
    <cellStyle name="Input cel new 4 2 2 3 4" xfId="2261"/>
    <cellStyle name="Input cel new 4 2 2 3 4 2" xfId="3500"/>
    <cellStyle name="Input cel new 4 2 2 3 4 3" xfId="4522"/>
    <cellStyle name="Input cel new 4 2 2 3 5" xfId="1889"/>
    <cellStyle name="Input cel new 4 2 2 3 6" xfId="3128"/>
    <cellStyle name="Input cel new 4 2 2 3 7" xfId="1589"/>
    <cellStyle name="Input cel new 4 2 2 4" xfId="854"/>
    <cellStyle name="Input cel new 4 2 2 4 2" xfId="1174"/>
    <cellStyle name="Input cel new 4 2 2 4 2 2" xfId="4114"/>
    <cellStyle name="Input cel new 4 2 2 4 2 3" xfId="2875"/>
    <cellStyle name="Input cel new 4 2 2 4 3" xfId="2558"/>
    <cellStyle name="Input cel new 4 2 2 4 3 2" xfId="3797"/>
    <cellStyle name="Input cel new 4 2 2 4 3 3" xfId="4695"/>
    <cellStyle name="Input cel new 4 2 2 4 4" xfId="1953"/>
    <cellStyle name="Input cel new 4 2 2 4 5" xfId="3192"/>
    <cellStyle name="Input cel new 4 2 2 4 6" xfId="1653"/>
    <cellStyle name="Input cel new 4 2 2 5" xfId="914"/>
    <cellStyle name="Input cel new 4 2 2 5 2" xfId="1236"/>
    <cellStyle name="Input cel new 4 2 2 5 2 2" xfId="4176"/>
    <cellStyle name="Input cel new 4 2 2 5 2 3" xfId="2937"/>
    <cellStyle name="Input cel new 4 2 2 5 3" xfId="2615"/>
    <cellStyle name="Input cel new 4 2 2 5 3 2" xfId="3854"/>
    <cellStyle name="Input cel new 4 2 2 5 3 3" xfId="4751"/>
    <cellStyle name="Input cel new 4 2 2 5 4" xfId="2015"/>
    <cellStyle name="Input cel new 4 2 2 5 5" xfId="3254"/>
    <cellStyle name="Input cel new 4 2 2 5 6" xfId="1715"/>
    <cellStyle name="Input cel new 4 2 2 6" xfId="735"/>
    <cellStyle name="Input cel new 4 2 2 6 2" xfId="2440"/>
    <cellStyle name="Input cel new 4 2 2 6 3" xfId="3679"/>
    <cellStyle name="Input cel new 4 2 2 6 4" xfId="1520"/>
    <cellStyle name="Input cel new 4 2 2 6 5" xfId="4644"/>
    <cellStyle name="Input cel new 4 2 2 7" xfId="429"/>
    <cellStyle name="Input cel new 4 2 2 7 2" xfId="3392"/>
    <cellStyle name="Input cel new 4 2 2 7 3" xfId="2153"/>
    <cellStyle name="Input cel new 4 2 2 8" xfId="1818"/>
    <cellStyle name="Input cel new 4 2 2 8 2" xfId="4242"/>
    <cellStyle name="Input cel new 4 2 2 9" xfId="3057"/>
    <cellStyle name="Input cel new 4 2 3" xfId="313"/>
    <cellStyle name="Input cel new 4 2 3 10" xfId="3039"/>
    <cellStyle name="Input cel new 4 2 3 11" xfId="1371"/>
    <cellStyle name="Input cel new 4 2 3 2" xfId="535"/>
    <cellStyle name="Input cel new 4 2 3 2 2" xfId="785"/>
    <cellStyle name="Input cel new 4 2 3 2 2 2" xfId="1093"/>
    <cellStyle name="Input cel new 4 2 3 2 2 2 2" xfId="4033"/>
    <cellStyle name="Input cel new 4 2 3 2 2 2 3" xfId="2794"/>
    <cellStyle name="Input cel new 4 2 3 2 2 3" xfId="2490"/>
    <cellStyle name="Input cel new 4 2 3 2 2 4" xfId="3729"/>
    <cellStyle name="Input cel new 4 2 3 2 2 5" xfId="1572"/>
    <cellStyle name="Input cel new 4 2 3 2 3" xfId="1008"/>
    <cellStyle name="Input cel new 4 2 3 2 3 2" xfId="3948"/>
    <cellStyle name="Input cel new 4 2 3 2 3 3" xfId="2709"/>
    <cellStyle name="Input cel new 4 2 3 2 4" xfId="2244"/>
    <cellStyle name="Input cel new 4 2 3 2 4 2" xfId="3483"/>
    <cellStyle name="Input cel new 4 2 3 2 4 3" xfId="4505"/>
    <cellStyle name="Input cel new 4 2 3 2 5" xfId="1872"/>
    <cellStyle name="Input cel new 4 2 3 2 5 2" xfId="4351"/>
    <cellStyle name="Input cel new 4 2 3 2 6" xfId="3111"/>
    <cellStyle name="Input cel new 4 2 3 2 7" xfId="1426"/>
    <cellStyle name="Input cel new 4 2 3 3" xfId="595"/>
    <cellStyle name="Input cel new 4 2 3 3 2" xfId="825"/>
    <cellStyle name="Input cel new 4 2 3 3 2 2" xfId="3768"/>
    <cellStyle name="Input cel new 4 2 3 3 2 3" xfId="2529"/>
    <cellStyle name="Input cel new 4 2 3 3 2 4" xfId="4678"/>
    <cellStyle name="Input cel new 4 2 3 3 3" xfId="1142"/>
    <cellStyle name="Input cel new 4 2 3 3 3 2" xfId="4082"/>
    <cellStyle name="Input cel new 4 2 3 3 3 3" xfId="2843"/>
    <cellStyle name="Input cel new 4 2 3 3 4" xfId="2304"/>
    <cellStyle name="Input cel new 4 2 3 3 4 2" xfId="3543"/>
    <cellStyle name="Input cel new 4 2 3 3 4 3" xfId="4552"/>
    <cellStyle name="Input cel new 4 2 3 3 5" xfId="1921"/>
    <cellStyle name="Input cel new 4 2 3 3 6" xfId="3160"/>
    <cellStyle name="Input cel new 4 2 3 3 7" xfId="1621"/>
    <cellStyle name="Input cel new 4 2 3 4" xfId="886"/>
    <cellStyle name="Input cel new 4 2 3 4 2" xfId="1206"/>
    <cellStyle name="Input cel new 4 2 3 4 2 2" xfId="4146"/>
    <cellStyle name="Input cel new 4 2 3 4 2 3" xfId="2907"/>
    <cellStyle name="Input cel new 4 2 3 4 3" xfId="2590"/>
    <cellStyle name="Input cel new 4 2 3 4 3 2" xfId="3829"/>
    <cellStyle name="Input cel new 4 2 3 4 3 3" xfId="4727"/>
    <cellStyle name="Input cel new 4 2 3 4 4" xfId="1985"/>
    <cellStyle name="Input cel new 4 2 3 4 5" xfId="3224"/>
    <cellStyle name="Input cel new 4 2 3 4 6" xfId="1685"/>
    <cellStyle name="Input cel new 4 2 3 5" xfId="945"/>
    <cellStyle name="Input cel new 4 2 3 5 2" xfId="1267"/>
    <cellStyle name="Input cel new 4 2 3 5 2 2" xfId="4207"/>
    <cellStyle name="Input cel new 4 2 3 5 2 3" xfId="2968"/>
    <cellStyle name="Input cel new 4 2 3 5 3" xfId="2646"/>
    <cellStyle name="Input cel new 4 2 3 5 3 2" xfId="3885"/>
    <cellStyle name="Input cel new 4 2 3 5 3 3" xfId="4782"/>
    <cellStyle name="Input cel new 4 2 3 5 4" xfId="2046"/>
    <cellStyle name="Input cel new 4 2 3 5 5" xfId="3285"/>
    <cellStyle name="Input cel new 4 2 3 5 6" xfId="1746"/>
    <cellStyle name="Input cel new 4 2 3 6" xfId="717"/>
    <cellStyle name="Input cel new 4 2 3 6 2" xfId="2422"/>
    <cellStyle name="Input cel new 4 2 3 6 3" xfId="3661"/>
    <cellStyle name="Input cel new 4 2 3 6 4" xfId="1502"/>
    <cellStyle name="Input cel new 4 2 3 6 5" xfId="4626"/>
    <cellStyle name="Input cel new 4 2 3 7" xfId="342"/>
    <cellStyle name="Input cel new 4 2 3 7 2" xfId="3334"/>
    <cellStyle name="Input cel new 4 2 3 7 3" xfId="2095"/>
    <cellStyle name="Input cel new 4 2 3 8" xfId="2070"/>
    <cellStyle name="Input cel new 4 2 3 8 2" xfId="3309"/>
    <cellStyle name="Input cel new 4 2 3 8 3" xfId="4404"/>
    <cellStyle name="Input cel new 4 2 3 9" xfId="1800"/>
    <cellStyle name="Input cel new 4 2 3 9 2" xfId="4258"/>
    <cellStyle name="Input cel new 4 2 4" xfId="440"/>
    <cellStyle name="Input cel new 4 2 4 2" xfId="699"/>
    <cellStyle name="Input cel new 4 2 4 2 2" xfId="3643"/>
    <cellStyle name="Input cel new 4 2 4 2 2 2" xfId="4609"/>
    <cellStyle name="Input cel new 4 2 4 2 3" xfId="2404"/>
    <cellStyle name="Input cel new 4 2 4 2 4" xfId="4275"/>
    <cellStyle name="Input cel new 4 2 4 3" xfId="948"/>
    <cellStyle name="Input cel new 4 2 4 3 2" xfId="3888"/>
    <cellStyle name="Input cel new 4 2 4 3 3" xfId="2649"/>
    <cellStyle name="Input cel new 4 2 4 4" xfId="1776"/>
    <cellStyle name="Input cel new 4 2 4 4 2" xfId="4276"/>
    <cellStyle name="Input cel new 4 2 4 5" xfId="3016"/>
    <cellStyle name="Input cel new 4 2 4 6" xfId="1480"/>
    <cellStyle name="Input cel new 4 2 5" xfId="467"/>
    <cellStyle name="Input cel new 4 2 5 2" xfId="836"/>
    <cellStyle name="Input cel new 4 2 5 2 2" xfId="1156"/>
    <cellStyle name="Input cel new 4 2 5 2 2 2" xfId="4096"/>
    <cellStyle name="Input cel new 4 2 5 2 2 3" xfId="2857"/>
    <cellStyle name="Input cel new 4 2 5 2 3" xfId="3779"/>
    <cellStyle name="Input cel new 4 2 5 2 4" xfId="2540"/>
    <cellStyle name="Input cel new 4 2 5 3" xfId="598"/>
    <cellStyle name="Input cel new 4 2 5 3 2" xfId="3546"/>
    <cellStyle name="Input cel new 4 2 5 3 3" xfId="2307"/>
    <cellStyle name="Input cel new 4 2 5 4" xfId="2179"/>
    <cellStyle name="Input cel new 4 2 5 4 2" xfId="3418"/>
    <cellStyle name="Input cel new 4 2 5 4 3" xfId="4453"/>
    <cellStyle name="Input cel new 4 2 5 5" xfId="1935"/>
    <cellStyle name="Input cel new 4 2 5 5 2" xfId="4379"/>
    <cellStyle name="Input cel new 4 2 5 6" xfId="3174"/>
    <cellStyle name="Input cel new 4 2 5 7" xfId="1635"/>
    <cellStyle name="Input cel new 4 2 6" xfId="504"/>
    <cellStyle name="Input cel new 4 2 6 2" xfId="1219"/>
    <cellStyle name="Input cel new 4 2 6 2 2" xfId="4159"/>
    <cellStyle name="Input cel new 4 2 6 2 3" xfId="2920"/>
    <cellStyle name="Input cel new 4 2 6 3" xfId="2216"/>
    <cellStyle name="Input cel new 4 2 6 3 2" xfId="3455"/>
    <cellStyle name="Input cel new 4 2 6 3 3" xfId="4483"/>
    <cellStyle name="Input cel new 4 2 6 4" xfId="1998"/>
    <cellStyle name="Input cel new 4 2 6 5" xfId="3237"/>
    <cellStyle name="Input cel new 4 2 6 6" xfId="1698"/>
    <cellStyle name="Input cel new 4 2 7" xfId="340"/>
    <cellStyle name="Input cel new 4 2 7 2" xfId="557"/>
    <cellStyle name="Input cel new 4 2 7 2 2" xfId="3505"/>
    <cellStyle name="Input cel new 4 2 7 2 3" xfId="2266"/>
    <cellStyle name="Input cel new 4 2 7 3" xfId="2093"/>
    <cellStyle name="Input cel new 4 2 7 4" xfId="3332"/>
    <cellStyle name="Input cel new 4 2 7 5" xfId="1307"/>
    <cellStyle name="Input cel new 4 2 8" xfId="1309"/>
    <cellStyle name="Input cel new 4 2 8 2" xfId="4217"/>
    <cellStyle name="Input cel new 4 2 9" xfId="1490"/>
    <cellStyle name="Input cel new 4 3" xfId="268"/>
    <cellStyle name="Input cel new 4 3 2" xfId="449"/>
    <cellStyle name="Input cel new 4 3 2 10" xfId="1461"/>
    <cellStyle name="Input cel new 4 3 2 2" xfId="579"/>
    <cellStyle name="Input cel new 4 3 2 2 2" xfId="810"/>
    <cellStyle name="Input cel new 4 3 2 2 2 2" xfId="1127"/>
    <cellStyle name="Input cel new 4 3 2 2 2 2 2" xfId="4067"/>
    <cellStyle name="Input cel new 4 3 2 2 2 2 3" xfId="2828"/>
    <cellStyle name="Input cel new 4 3 2 2 2 3" xfId="3753"/>
    <cellStyle name="Input cel new 4 3 2 2 2 4" xfId="2514"/>
    <cellStyle name="Input cel new 4 3 2 2 3" xfId="993"/>
    <cellStyle name="Input cel new 4 3 2 2 3 2" xfId="3933"/>
    <cellStyle name="Input cel new 4 3 2 2 3 3" xfId="2694"/>
    <cellStyle name="Input cel new 4 3 2 2 4" xfId="2288"/>
    <cellStyle name="Input cel new 4 3 2 2 4 2" xfId="3527"/>
    <cellStyle name="Input cel new 4 3 2 2 4 3" xfId="4538"/>
    <cellStyle name="Input cel new 4 3 2 2 5" xfId="1906"/>
    <cellStyle name="Input cel new 4 3 2 2 5 2" xfId="4364"/>
    <cellStyle name="Input cel new 4 3 2 2 6" xfId="3145"/>
    <cellStyle name="Input cel new 4 3 2 2 7" xfId="1606"/>
    <cellStyle name="Input cel new 4 3 2 3" xfId="871"/>
    <cellStyle name="Input cel new 4 3 2 3 2" xfId="1191"/>
    <cellStyle name="Input cel new 4 3 2 3 2 2" xfId="4131"/>
    <cellStyle name="Input cel new 4 3 2 3 2 3" xfId="2892"/>
    <cellStyle name="Input cel new 4 3 2 3 3" xfId="2575"/>
    <cellStyle name="Input cel new 4 3 2 3 3 2" xfId="3814"/>
    <cellStyle name="Input cel new 4 3 2 3 3 3" xfId="4712"/>
    <cellStyle name="Input cel new 4 3 2 3 4" xfId="1970"/>
    <cellStyle name="Input cel new 4 3 2 3 5" xfId="3209"/>
    <cellStyle name="Input cel new 4 3 2 3 6" xfId="1670"/>
    <cellStyle name="Input cel new 4 3 2 4" xfId="931"/>
    <cellStyle name="Input cel new 4 3 2 4 2" xfId="1253"/>
    <cellStyle name="Input cel new 4 3 2 4 2 2" xfId="4193"/>
    <cellStyle name="Input cel new 4 3 2 4 2 3" xfId="2954"/>
    <cellStyle name="Input cel new 4 3 2 4 3" xfId="2632"/>
    <cellStyle name="Input cel new 4 3 2 4 3 2" xfId="3871"/>
    <cellStyle name="Input cel new 4 3 2 4 3 3" xfId="4768"/>
    <cellStyle name="Input cel new 4 3 2 4 4" xfId="2032"/>
    <cellStyle name="Input cel new 4 3 2 4 5" xfId="3271"/>
    <cellStyle name="Input cel new 4 3 2 4 6" xfId="1732"/>
    <cellStyle name="Input cel new 4 3 2 5" xfId="771"/>
    <cellStyle name="Input cel new 4 3 2 5 2" xfId="1087"/>
    <cellStyle name="Input cel new 4 3 2 5 2 2" xfId="4027"/>
    <cellStyle name="Input cel new 4 3 2 5 2 3" xfId="2788"/>
    <cellStyle name="Input cel new 4 3 2 5 3" xfId="2476"/>
    <cellStyle name="Input cel new 4 3 2 5 4" xfId="3715"/>
    <cellStyle name="Input cel new 4 3 2 5 5" xfId="1557"/>
    <cellStyle name="Input cel new 4 3 2 6" xfId="339"/>
    <cellStyle name="Input cel new 4 3 2 6 2" xfId="3331"/>
    <cellStyle name="Input cel new 4 3 2 6 3" xfId="2092"/>
    <cellStyle name="Input cel new 4 3 2 7" xfId="2163"/>
    <cellStyle name="Input cel new 4 3 2 7 2" xfId="3402"/>
    <cellStyle name="Input cel new 4 3 2 7 3" xfId="4439"/>
    <cellStyle name="Input cel new 4 3 2 8" xfId="1858"/>
    <cellStyle name="Input cel new 4 3 2 8 2" xfId="4337"/>
    <cellStyle name="Input cel new 4 3 2 9" xfId="3097"/>
    <cellStyle name="Input cel new 4 3 3" xfId="620"/>
    <cellStyle name="Input cel new 4 3 3 2" xfId="1048"/>
    <cellStyle name="Input cel new 4 3 3 2 2" xfId="3988"/>
    <cellStyle name="Input cel new 4 3 3 2 2 2" xfId="4798"/>
    <cellStyle name="Input cel new 4 3 3 2 3" xfId="2749"/>
    <cellStyle name="Input cel new 4 3 3 3" xfId="2328"/>
    <cellStyle name="Input cel new 4 3 3 3 2" xfId="3567"/>
    <cellStyle name="Input cel new 4 3 3 3 3" xfId="4564"/>
    <cellStyle name="Input cel new 4 3 3 4" xfId="1787"/>
    <cellStyle name="Input cel new 4 3 3 4 2" xfId="4264"/>
    <cellStyle name="Input cel new 4 3 3 5" xfId="3026"/>
    <cellStyle name="Input cel new 4 3 3 6" xfId="1358"/>
    <cellStyle name="Input cel new 4 3 4" xfId="1034"/>
    <cellStyle name="Input cel new 4 3 4 2" xfId="3974"/>
    <cellStyle name="Input cel new 4 3 4 2 2" xfId="4793"/>
    <cellStyle name="Input cel new 4 3 4 3" xfId="2735"/>
    <cellStyle name="Input cel new 4 3 5" xfId="428"/>
    <cellStyle name="Input cel new 4 3 5 2" xfId="3391"/>
    <cellStyle name="Input cel new 4 3 5 3" xfId="2152"/>
    <cellStyle name="Input cel new 4 3 6" xfId="1768"/>
    <cellStyle name="Input cel new 4 3 7" xfId="3008"/>
    <cellStyle name="Input cel new 4 3 8" xfId="1328"/>
    <cellStyle name="Input cel new 4 3 9" xfId="430"/>
    <cellStyle name="Input cel new 4 4" xfId="293"/>
    <cellStyle name="Input cel new 4 4 2" xfId="3291"/>
    <cellStyle name="Input cel new 4 4 3" xfId="2052"/>
    <cellStyle name="Input cel new 4 4 4" xfId="4386"/>
    <cellStyle name="Input cel new 4 5" xfId="352"/>
    <cellStyle name="Input cel new 5" xfId="258"/>
    <cellStyle name="Input cel new 5 10" xfId="1271"/>
    <cellStyle name="Input cel new 5 2" xfId="282"/>
    <cellStyle name="Input cel new 5 2 10" xfId="1377"/>
    <cellStyle name="Input cel new 5 2 2" xfId="475"/>
    <cellStyle name="Input cel new 5 2 2 2" xfId="742"/>
    <cellStyle name="Input cel new 5 2 2 2 2" xfId="2447"/>
    <cellStyle name="Input cel new 5 2 2 2 3" xfId="3686"/>
    <cellStyle name="Input cel new 5 2 2 2 4" xfId="1528"/>
    <cellStyle name="Input cel new 5 2 2 2 5" xfId="4649"/>
    <cellStyle name="Input cel new 5 2 2 3" xfId="659"/>
    <cellStyle name="Input cel new 5 2 2 3 2" xfId="3603"/>
    <cellStyle name="Input cel new 5 2 2 3 3" xfId="2364"/>
    <cellStyle name="Input cel new 5 2 2 3 4" xfId="4577"/>
    <cellStyle name="Input cel new 5 2 2 4" xfId="966"/>
    <cellStyle name="Input cel new 5 2 2 4 2" xfId="3906"/>
    <cellStyle name="Input cel new 5 2 2 4 3" xfId="2667"/>
    <cellStyle name="Input cel new 5 2 2 5" xfId="2187"/>
    <cellStyle name="Input cel new 5 2 2 5 2" xfId="3426"/>
    <cellStyle name="Input cel new 5 2 2 5 3" xfId="4458"/>
    <cellStyle name="Input cel new 5 2 2 6" xfId="1829"/>
    <cellStyle name="Input cel new 5 2 2 6 2" xfId="4309"/>
    <cellStyle name="Input cel new 5 2 2 7" xfId="3068"/>
    <cellStyle name="Input cel new 5 2 2 8" xfId="1431"/>
    <cellStyle name="Input cel new 5 2 3" xfId="540"/>
    <cellStyle name="Input cel new 5 2 3 2" xfId="1098"/>
    <cellStyle name="Input cel new 5 2 3 2 2" xfId="4038"/>
    <cellStyle name="Input cel new 5 2 3 2 3" xfId="2799"/>
    <cellStyle name="Input cel new 5 2 3 3" xfId="981"/>
    <cellStyle name="Input cel new 5 2 3 3 2" xfId="3921"/>
    <cellStyle name="Input cel new 5 2 3 3 3" xfId="2682"/>
    <cellStyle name="Input cel new 5 2 3 4" xfId="2249"/>
    <cellStyle name="Input cel new 5 2 3 4 2" xfId="3488"/>
    <cellStyle name="Input cel new 5 2 3 4 3" xfId="4510"/>
    <cellStyle name="Input cel new 5 2 3 5" xfId="1877"/>
    <cellStyle name="Input cel new 5 2 3 6" xfId="3116"/>
    <cellStyle name="Input cel new 5 2 3 7" xfId="1577"/>
    <cellStyle name="Input cel new 5 2 4" xfId="842"/>
    <cellStyle name="Input cel new 5 2 4 2" xfId="1162"/>
    <cellStyle name="Input cel new 5 2 4 2 2" xfId="4102"/>
    <cellStyle name="Input cel new 5 2 4 2 3" xfId="2863"/>
    <cellStyle name="Input cel new 5 2 4 3" xfId="2546"/>
    <cellStyle name="Input cel new 5 2 4 3 2" xfId="3785"/>
    <cellStyle name="Input cel new 5 2 4 3 3" xfId="4683"/>
    <cellStyle name="Input cel new 5 2 4 4" xfId="1941"/>
    <cellStyle name="Input cel new 5 2 4 5" xfId="3180"/>
    <cellStyle name="Input cel new 5 2 4 6" xfId="1641"/>
    <cellStyle name="Input cel new 5 2 5" xfId="902"/>
    <cellStyle name="Input cel new 5 2 5 2" xfId="1224"/>
    <cellStyle name="Input cel new 5 2 5 2 2" xfId="4164"/>
    <cellStyle name="Input cel new 5 2 5 2 3" xfId="2925"/>
    <cellStyle name="Input cel new 5 2 5 3" xfId="2603"/>
    <cellStyle name="Input cel new 5 2 5 3 2" xfId="3842"/>
    <cellStyle name="Input cel new 5 2 5 3 3" xfId="4739"/>
    <cellStyle name="Input cel new 5 2 5 4" xfId="2003"/>
    <cellStyle name="Input cel new 5 2 5 5" xfId="3242"/>
    <cellStyle name="Input cel new 5 2 5 6" xfId="1703"/>
    <cellStyle name="Input cel new 5 2 6" xfId="723"/>
    <cellStyle name="Input cel new 5 2 6 2" xfId="2428"/>
    <cellStyle name="Input cel new 5 2 6 3" xfId="3667"/>
    <cellStyle name="Input cel new 5 2 6 4" xfId="1508"/>
    <cellStyle name="Input cel new 5 2 6 5" xfId="4632"/>
    <cellStyle name="Input cel new 5 2 7" xfId="420"/>
    <cellStyle name="Input cel new 5 2 7 2" xfId="3385"/>
    <cellStyle name="Input cel new 5 2 7 3" xfId="2146"/>
    <cellStyle name="Input cel new 5 2 8" xfId="1806"/>
    <cellStyle name="Input cel new 5 2 8 2" xfId="4250"/>
    <cellStyle name="Input cel new 5 2 9" xfId="3045"/>
    <cellStyle name="Input cel new 5 3" xfId="310"/>
    <cellStyle name="Input cel new 5 3 10" xfId="3036"/>
    <cellStyle name="Input cel new 5 3 11" xfId="1368"/>
    <cellStyle name="Input cel new 5 3 2" xfId="532"/>
    <cellStyle name="Input cel new 5 3 2 2" xfId="782"/>
    <cellStyle name="Input cel new 5 3 2 2 2" xfId="1090"/>
    <cellStyle name="Input cel new 5 3 2 2 2 2" xfId="4030"/>
    <cellStyle name="Input cel new 5 3 2 2 2 3" xfId="2791"/>
    <cellStyle name="Input cel new 5 3 2 2 3" xfId="2487"/>
    <cellStyle name="Input cel new 5 3 2 2 4" xfId="3726"/>
    <cellStyle name="Input cel new 5 3 2 2 5" xfId="1569"/>
    <cellStyle name="Input cel new 5 3 2 3" xfId="1005"/>
    <cellStyle name="Input cel new 5 3 2 3 2" xfId="3945"/>
    <cellStyle name="Input cel new 5 3 2 3 3" xfId="2706"/>
    <cellStyle name="Input cel new 5 3 2 4" xfId="2241"/>
    <cellStyle name="Input cel new 5 3 2 4 2" xfId="3480"/>
    <cellStyle name="Input cel new 5 3 2 4 3" xfId="4502"/>
    <cellStyle name="Input cel new 5 3 2 5" xfId="1869"/>
    <cellStyle name="Input cel new 5 3 2 5 2" xfId="4348"/>
    <cellStyle name="Input cel new 5 3 2 6" xfId="3108"/>
    <cellStyle name="Input cel new 5 3 2 7" xfId="1423"/>
    <cellStyle name="Input cel new 5 3 3" xfId="592"/>
    <cellStyle name="Input cel new 5 3 3 2" xfId="822"/>
    <cellStyle name="Input cel new 5 3 3 2 2" xfId="3765"/>
    <cellStyle name="Input cel new 5 3 3 2 3" xfId="2526"/>
    <cellStyle name="Input cel new 5 3 3 2 4" xfId="4675"/>
    <cellStyle name="Input cel new 5 3 3 3" xfId="1139"/>
    <cellStyle name="Input cel new 5 3 3 3 2" xfId="4079"/>
    <cellStyle name="Input cel new 5 3 3 3 3" xfId="2840"/>
    <cellStyle name="Input cel new 5 3 3 4" xfId="2301"/>
    <cellStyle name="Input cel new 5 3 3 4 2" xfId="3540"/>
    <cellStyle name="Input cel new 5 3 3 4 3" xfId="4549"/>
    <cellStyle name="Input cel new 5 3 3 5" xfId="1918"/>
    <cellStyle name="Input cel new 5 3 3 6" xfId="3157"/>
    <cellStyle name="Input cel new 5 3 3 7" xfId="1618"/>
    <cellStyle name="Input cel new 5 3 4" xfId="883"/>
    <cellStyle name="Input cel new 5 3 4 2" xfId="1203"/>
    <cellStyle name="Input cel new 5 3 4 2 2" xfId="4143"/>
    <cellStyle name="Input cel new 5 3 4 2 3" xfId="2904"/>
    <cellStyle name="Input cel new 5 3 4 3" xfId="2587"/>
    <cellStyle name="Input cel new 5 3 4 3 2" xfId="3826"/>
    <cellStyle name="Input cel new 5 3 4 3 3" xfId="4724"/>
    <cellStyle name="Input cel new 5 3 4 4" xfId="1982"/>
    <cellStyle name="Input cel new 5 3 4 5" xfId="3221"/>
    <cellStyle name="Input cel new 5 3 4 6" xfId="1682"/>
    <cellStyle name="Input cel new 5 3 5" xfId="942"/>
    <cellStyle name="Input cel new 5 3 5 2" xfId="1264"/>
    <cellStyle name="Input cel new 5 3 5 2 2" xfId="4204"/>
    <cellStyle name="Input cel new 5 3 5 2 3" xfId="2965"/>
    <cellStyle name="Input cel new 5 3 5 3" xfId="2643"/>
    <cellStyle name="Input cel new 5 3 5 3 2" xfId="3882"/>
    <cellStyle name="Input cel new 5 3 5 3 3" xfId="4779"/>
    <cellStyle name="Input cel new 5 3 5 4" xfId="2043"/>
    <cellStyle name="Input cel new 5 3 5 5" xfId="3282"/>
    <cellStyle name="Input cel new 5 3 5 6" xfId="1743"/>
    <cellStyle name="Input cel new 5 3 6" xfId="714"/>
    <cellStyle name="Input cel new 5 3 6 2" xfId="2419"/>
    <cellStyle name="Input cel new 5 3 6 3" xfId="3658"/>
    <cellStyle name="Input cel new 5 3 6 4" xfId="1499"/>
    <cellStyle name="Input cel new 5 3 6 5" xfId="4623"/>
    <cellStyle name="Input cel new 5 3 7" xfId="454"/>
    <cellStyle name="Input cel new 5 3 7 2" xfId="3406"/>
    <cellStyle name="Input cel new 5 3 7 3" xfId="2167"/>
    <cellStyle name="Input cel new 5 3 8" xfId="2067"/>
    <cellStyle name="Input cel new 5 3 8 2" xfId="3306"/>
    <cellStyle name="Input cel new 5 3 8 3" xfId="4401"/>
    <cellStyle name="Input cel new 5 3 9" xfId="1797"/>
    <cellStyle name="Input cel new 5 3 9 2" xfId="4256"/>
    <cellStyle name="Input cel new 5 4" xfId="437"/>
    <cellStyle name="Input cel new 5 4 2" xfId="701"/>
    <cellStyle name="Input cel new 5 4 2 2" xfId="3645"/>
    <cellStyle name="Input cel new 5 4 2 2 2" xfId="4611"/>
    <cellStyle name="Input cel new 5 4 2 3" xfId="2406"/>
    <cellStyle name="Input cel new 5 4 2 4" xfId="4270"/>
    <cellStyle name="Input cel new 5 4 3" xfId="507"/>
    <cellStyle name="Input cel new 5 4 3 2" xfId="3458"/>
    <cellStyle name="Input cel new 5 4 3 3" xfId="2219"/>
    <cellStyle name="Input cel new 5 4 4" xfId="1778"/>
    <cellStyle name="Input cel new 5 4 4 2" xfId="4302"/>
    <cellStyle name="Input cel new 5 4 5" xfId="3018"/>
    <cellStyle name="Input cel new 5 4 6" xfId="1482"/>
    <cellStyle name="Input cel new 5 5" xfId="464"/>
    <cellStyle name="Input cel new 5 5 2" xfId="833"/>
    <cellStyle name="Input cel new 5 5 2 2" xfId="1153"/>
    <cellStyle name="Input cel new 5 5 2 2 2" xfId="4093"/>
    <cellStyle name="Input cel new 5 5 2 2 3" xfId="2854"/>
    <cellStyle name="Input cel new 5 5 2 3" xfId="3776"/>
    <cellStyle name="Input cel new 5 5 2 4" xfId="2537"/>
    <cellStyle name="Input cel new 5 5 3" xfId="963"/>
    <cellStyle name="Input cel new 5 5 3 2" xfId="3903"/>
    <cellStyle name="Input cel new 5 5 3 3" xfId="2664"/>
    <cellStyle name="Input cel new 5 5 4" xfId="2176"/>
    <cellStyle name="Input cel new 5 5 4 2" xfId="3415"/>
    <cellStyle name="Input cel new 5 5 4 3" xfId="4450"/>
    <cellStyle name="Input cel new 5 5 5" xfId="1932"/>
    <cellStyle name="Input cel new 5 5 5 2" xfId="4376"/>
    <cellStyle name="Input cel new 5 5 6" xfId="3171"/>
    <cellStyle name="Input cel new 5 5 7" xfId="1632"/>
    <cellStyle name="Input cel new 5 6" xfId="501"/>
    <cellStyle name="Input cel new 5 6 2" xfId="1216"/>
    <cellStyle name="Input cel new 5 6 2 2" xfId="4156"/>
    <cellStyle name="Input cel new 5 6 2 3" xfId="2917"/>
    <cellStyle name="Input cel new 5 6 3" xfId="2213"/>
    <cellStyle name="Input cel new 5 6 3 2" xfId="3452"/>
    <cellStyle name="Input cel new 5 6 3 3" xfId="4480"/>
    <cellStyle name="Input cel new 5 6 4" xfId="1995"/>
    <cellStyle name="Input cel new 5 6 5" xfId="3234"/>
    <cellStyle name="Input cel new 5 6 6" xfId="1695"/>
    <cellStyle name="Input cel new 5 7" xfId="366"/>
    <cellStyle name="Input cel new 5 7 2" xfId="350"/>
    <cellStyle name="Input cel new 5 7 2 2" xfId="3340"/>
    <cellStyle name="Input cel new 5 7 2 3" xfId="2101"/>
    <cellStyle name="Input cel new 5 7 3" xfId="2111"/>
    <cellStyle name="Input cel new 5 7 4" xfId="3350"/>
    <cellStyle name="Input cel new 5 7 5" xfId="1289"/>
    <cellStyle name="Input cel new 5 8" xfId="1402"/>
    <cellStyle name="Input cel new 5 8 2" xfId="4277"/>
    <cellStyle name="Input cel new 5 9" xfId="1330"/>
    <cellStyle name="Input cel new 6" xfId="202"/>
    <cellStyle name="Input cel new 6 2" xfId="412"/>
    <cellStyle name="Input cel new 6 2 10" xfId="1458"/>
    <cellStyle name="Input cel new 6 2 2" xfId="573"/>
    <cellStyle name="Input cel new 6 2 2 2" xfId="804"/>
    <cellStyle name="Input cel new 6 2 2 2 2" xfId="1121"/>
    <cellStyle name="Input cel new 6 2 2 2 2 2" xfId="4061"/>
    <cellStyle name="Input cel new 6 2 2 2 2 3" xfId="2822"/>
    <cellStyle name="Input cel new 6 2 2 2 3" xfId="3747"/>
    <cellStyle name="Input cel new 6 2 2 2 4" xfId="2508"/>
    <cellStyle name="Input cel new 6 2 2 3" xfId="958"/>
    <cellStyle name="Input cel new 6 2 2 3 2" xfId="3898"/>
    <cellStyle name="Input cel new 6 2 2 3 3" xfId="2659"/>
    <cellStyle name="Input cel new 6 2 2 4" xfId="2282"/>
    <cellStyle name="Input cel new 6 2 2 4 2" xfId="3521"/>
    <cellStyle name="Input cel new 6 2 2 4 3" xfId="4532"/>
    <cellStyle name="Input cel new 6 2 2 5" xfId="1900"/>
    <cellStyle name="Input cel new 6 2 2 5 2" xfId="4361"/>
    <cellStyle name="Input cel new 6 2 2 6" xfId="3139"/>
    <cellStyle name="Input cel new 6 2 2 7" xfId="1600"/>
    <cellStyle name="Input cel new 6 2 3" xfId="865"/>
    <cellStyle name="Input cel new 6 2 3 2" xfId="1185"/>
    <cellStyle name="Input cel new 6 2 3 2 2" xfId="4125"/>
    <cellStyle name="Input cel new 6 2 3 2 3" xfId="2886"/>
    <cellStyle name="Input cel new 6 2 3 3" xfId="2569"/>
    <cellStyle name="Input cel new 6 2 3 3 2" xfId="3808"/>
    <cellStyle name="Input cel new 6 2 3 3 3" xfId="4706"/>
    <cellStyle name="Input cel new 6 2 3 4" xfId="1964"/>
    <cellStyle name="Input cel new 6 2 3 5" xfId="3203"/>
    <cellStyle name="Input cel new 6 2 3 6" xfId="1664"/>
    <cellStyle name="Input cel new 6 2 4" xfId="925"/>
    <cellStyle name="Input cel new 6 2 4 2" xfId="1247"/>
    <cellStyle name="Input cel new 6 2 4 2 2" xfId="4187"/>
    <cellStyle name="Input cel new 6 2 4 2 3" xfId="2948"/>
    <cellStyle name="Input cel new 6 2 4 3" xfId="2626"/>
    <cellStyle name="Input cel new 6 2 4 3 2" xfId="3865"/>
    <cellStyle name="Input cel new 6 2 4 3 3" xfId="4762"/>
    <cellStyle name="Input cel new 6 2 4 4" xfId="2026"/>
    <cellStyle name="Input cel new 6 2 4 5" xfId="3265"/>
    <cellStyle name="Input cel new 6 2 4 6" xfId="1726"/>
    <cellStyle name="Input cel new 6 2 5" xfId="765"/>
    <cellStyle name="Input cel new 6 2 5 2" xfId="1084"/>
    <cellStyle name="Input cel new 6 2 5 2 2" xfId="4024"/>
    <cellStyle name="Input cel new 6 2 5 2 3" xfId="2785"/>
    <cellStyle name="Input cel new 6 2 5 3" xfId="2470"/>
    <cellStyle name="Input cel new 6 2 5 4" xfId="3709"/>
    <cellStyle name="Input cel new 6 2 5 5" xfId="1551"/>
    <cellStyle name="Input cel new 6 2 6" xfId="582"/>
    <cellStyle name="Input cel new 6 2 6 2" xfId="3530"/>
    <cellStyle name="Input cel new 6 2 6 3" xfId="2291"/>
    <cellStyle name="Input cel new 6 2 7" xfId="2142"/>
    <cellStyle name="Input cel new 6 2 7 2" xfId="3381"/>
    <cellStyle name="Input cel new 6 2 7 3" xfId="4430"/>
    <cellStyle name="Input cel new 6 2 8" xfId="1852"/>
    <cellStyle name="Input cel new 6 2 8 2" xfId="4331"/>
    <cellStyle name="Input cel new 6 2 9" xfId="3091"/>
    <cellStyle name="Input cel new 6 3" xfId="617"/>
    <cellStyle name="Input cel new 6 3 2" xfId="1058"/>
    <cellStyle name="Input cel new 6 3 2 2" xfId="3998"/>
    <cellStyle name="Input cel new 6 3 2 2 2" xfId="4806"/>
    <cellStyle name="Input cel new 6 3 2 3" xfId="2759"/>
    <cellStyle name="Input cel new 6 3 3" xfId="2325"/>
    <cellStyle name="Input cel new 6 3 3 2" xfId="3564"/>
    <cellStyle name="Input cel new 6 3 3 3" xfId="4562"/>
    <cellStyle name="Input cel new 6 3 4" xfId="1821"/>
    <cellStyle name="Input cel new 6 3 4 2" xfId="4303"/>
    <cellStyle name="Input cel new 6 3 5" xfId="3060"/>
    <cellStyle name="Input cel new 6 3 6" xfId="1354"/>
    <cellStyle name="Input cel new 6 4" xfId="524"/>
    <cellStyle name="Input cel new 6 4 2" xfId="3472"/>
    <cellStyle name="Input cel new 6 4 2 2" xfId="4494"/>
    <cellStyle name="Input cel new 6 4 3" xfId="2233"/>
    <cellStyle name="Input cel new 6 5" xfId="404"/>
    <cellStyle name="Input cel new 6 5 2" xfId="3375"/>
    <cellStyle name="Input cel new 6 5 3" xfId="2136"/>
    <cellStyle name="Input cel new 6 6" xfId="1758"/>
    <cellStyle name="Input cel new 6 7" xfId="2998"/>
    <cellStyle name="Input cel new 6 8" xfId="1316"/>
    <cellStyle name="Input cel new 6 9" xfId="656"/>
    <cellStyle name="Input cel new 7" xfId="265"/>
    <cellStyle name="Input cel new 7 2" xfId="2985"/>
    <cellStyle name="Input cel new 7 3" xfId="1303"/>
    <cellStyle name="Input cel new 7 4" xfId="4231"/>
    <cellStyle name="Input cel new 8" xfId="289"/>
    <cellStyle name="Input cel new 8 2" xfId="3288"/>
    <cellStyle name="Input cel new 8 3" xfId="2049"/>
    <cellStyle name="Input cel new 8 4" xfId="4383"/>
    <cellStyle name="Input cel new 9" xfId="370"/>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eutral 3" xfId="425"/>
    <cellStyle name="Normal" xfId="0" builtinId="0"/>
    <cellStyle name="Normal 10" xfId="150"/>
    <cellStyle name="Normal 10 2" xfId="212"/>
    <cellStyle name="Normal 10 3" xfId="232"/>
    <cellStyle name="Normal 11" xfId="156"/>
    <cellStyle name="Normal 12" xfId="158"/>
    <cellStyle name="Normal 13" xfId="206"/>
    <cellStyle name="Normal 13 2" xfId="298"/>
    <cellStyle name="Normal 13 3" xfId="297"/>
    <cellStyle name="Normal 14" xfId="197"/>
    <cellStyle name="Normal 15" xfId="220"/>
    <cellStyle name="Normal 15 2" xfId="896"/>
    <cellStyle name="Normal 15 3" xfId="421"/>
    <cellStyle name="Normal 16" xfId="221"/>
    <cellStyle name="Normal 16 2" xfId="654"/>
    <cellStyle name="Normal 16 3" xfId="335"/>
    <cellStyle name="Normal 17" xfId="196"/>
    <cellStyle name="Normal 18" xfId="264"/>
    <cellStyle name="Normal 19" xfId="288"/>
    <cellStyle name="Normal 2" xfId="3"/>
    <cellStyle name="Normal 2 2" xfId="32"/>
    <cellStyle name="Normal 2 3" xfId="233"/>
    <cellStyle name="Normal 20" xfId="292"/>
    <cellStyle name="Normal 21" xfId="317"/>
    <cellStyle name="Normal 22" xfId="318"/>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10" xfId="1472"/>
    <cellStyle name="Normal GHG Numbers (0.00) 2 11" xfId="387"/>
    <cellStyle name="Normal GHG Numbers (0.00) 2 2" xfId="272"/>
    <cellStyle name="Normal GHG Numbers (0.00) 2 2 10" xfId="1380"/>
    <cellStyle name="Normal GHG Numbers (0.00) 2 2 2" xfId="478"/>
    <cellStyle name="Normal GHG Numbers (0.00) 2 2 2 2" xfId="745"/>
    <cellStyle name="Normal GHG Numbers (0.00) 2 2 2 2 2" xfId="1067"/>
    <cellStyle name="Normal GHG Numbers (0.00) 2 2 2 2 2 2" xfId="4007"/>
    <cellStyle name="Normal GHG Numbers (0.00) 2 2 2 2 2 3" xfId="2768"/>
    <cellStyle name="Normal GHG Numbers (0.00) 2 2 2 2 3" xfId="2450"/>
    <cellStyle name="Normal GHG Numbers (0.00) 2 2 2 2 4" xfId="3689"/>
    <cellStyle name="Normal GHG Numbers (0.00) 2 2 2 2 5" xfId="1531"/>
    <cellStyle name="Normal GHG Numbers (0.00) 2 2 2 3" xfId="662"/>
    <cellStyle name="Normal GHG Numbers (0.00) 2 2 2 3 2" xfId="3606"/>
    <cellStyle name="Normal GHG Numbers (0.00) 2 2 2 3 3" xfId="2367"/>
    <cellStyle name="Normal GHG Numbers (0.00) 2 2 2 3 4" xfId="4580"/>
    <cellStyle name="Normal GHG Numbers (0.00) 2 2 2 4" xfId="646"/>
    <cellStyle name="Normal GHG Numbers (0.00) 2 2 2 4 2" xfId="3592"/>
    <cellStyle name="Normal GHG Numbers (0.00) 2 2 2 4 3" xfId="2353"/>
    <cellStyle name="Normal GHG Numbers (0.00) 2 2 2 5" xfId="2190"/>
    <cellStyle name="Normal GHG Numbers (0.00) 2 2 2 5 2" xfId="3429"/>
    <cellStyle name="Normal GHG Numbers (0.00) 2 2 2 5 3" xfId="4461"/>
    <cellStyle name="Normal GHG Numbers (0.00) 2 2 2 6" xfId="1832"/>
    <cellStyle name="Normal GHG Numbers (0.00) 2 2 2 6 2" xfId="4312"/>
    <cellStyle name="Normal GHG Numbers (0.00) 2 2 2 7" xfId="3071"/>
    <cellStyle name="Normal GHG Numbers (0.00) 2 2 2 8" xfId="1434"/>
    <cellStyle name="Normal GHG Numbers (0.00) 2 2 3" xfId="543"/>
    <cellStyle name="Normal GHG Numbers (0.00) 2 2 3 2" xfId="1101"/>
    <cellStyle name="Normal GHG Numbers (0.00) 2 2 3 2 2" xfId="4041"/>
    <cellStyle name="Normal GHG Numbers (0.00) 2 2 3 2 3" xfId="2802"/>
    <cellStyle name="Normal GHG Numbers (0.00) 2 2 3 3" xfId="2252"/>
    <cellStyle name="Normal GHG Numbers (0.00) 2 2 3 3 2" xfId="3491"/>
    <cellStyle name="Normal GHG Numbers (0.00) 2 2 3 3 3" xfId="4513"/>
    <cellStyle name="Normal GHG Numbers (0.00) 2 2 3 4" xfId="1880"/>
    <cellStyle name="Normal GHG Numbers (0.00) 2 2 3 5" xfId="3119"/>
    <cellStyle name="Normal GHG Numbers (0.00) 2 2 3 6" xfId="1580"/>
    <cellStyle name="Normal GHG Numbers (0.00) 2 2 4" xfId="845"/>
    <cellStyle name="Normal GHG Numbers (0.00) 2 2 4 2" xfId="1165"/>
    <cellStyle name="Normal GHG Numbers (0.00) 2 2 4 2 2" xfId="4105"/>
    <cellStyle name="Normal GHG Numbers (0.00) 2 2 4 2 3" xfId="2866"/>
    <cellStyle name="Normal GHG Numbers (0.00) 2 2 4 3" xfId="2549"/>
    <cellStyle name="Normal GHG Numbers (0.00) 2 2 4 3 2" xfId="3788"/>
    <cellStyle name="Normal GHG Numbers (0.00) 2 2 4 3 3" xfId="4686"/>
    <cellStyle name="Normal GHG Numbers (0.00) 2 2 4 4" xfId="1944"/>
    <cellStyle name="Normal GHG Numbers (0.00) 2 2 4 5" xfId="3183"/>
    <cellStyle name="Normal GHG Numbers (0.00) 2 2 4 6" xfId="1644"/>
    <cellStyle name="Normal GHG Numbers (0.00) 2 2 5" xfId="905"/>
    <cellStyle name="Normal GHG Numbers (0.00) 2 2 5 2" xfId="1227"/>
    <cellStyle name="Normal GHG Numbers (0.00) 2 2 5 2 2" xfId="4167"/>
    <cellStyle name="Normal GHG Numbers (0.00) 2 2 5 2 3" xfId="2928"/>
    <cellStyle name="Normal GHG Numbers (0.00) 2 2 5 3" xfId="2606"/>
    <cellStyle name="Normal GHG Numbers (0.00) 2 2 5 3 2" xfId="3845"/>
    <cellStyle name="Normal GHG Numbers (0.00) 2 2 5 3 3" xfId="4742"/>
    <cellStyle name="Normal GHG Numbers (0.00) 2 2 5 4" xfId="2006"/>
    <cellStyle name="Normal GHG Numbers (0.00) 2 2 5 5" xfId="3245"/>
    <cellStyle name="Normal GHG Numbers (0.00) 2 2 5 6" xfId="1706"/>
    <cellStyle name="Normal GHG Numbers (0.00) 2 2 6" xfId="726"/>
    <cellStyle name="Normal GHG Numbers (0.00) 2 2 6 2" xfId="2431"/>
    <cellStyle name="Normal GHG Numbers (0.00) 2 2 6 3" xfId="3670"/>
    <cellStyle name="Normal GHG Numbers (0.00) 2 2 6 4" xfId="1511"/>
    <cellStyle name="Normal GHG Numbers (0.00) 2 2 6 5" xfId="4635"/>
    <cellStyle name="Normal GHG Numbers (0.00) 2 2 7" xfId="522"/>
    <cellStyle name="Normal GHG Numbers (0.00) 2 2 7 2" xfId="3470"/>
    <cellStyle name="Normal GHG Numbers (0.00) 2 2 7 3" xfId="2231"/>
    <cellStyle name="Normal GHG Numbers (0.00) 2 2 8" xfId="1809"/>
    <cellStyle name="Normal GHG Numbers (0.00) 2 2 8 2" xfId="4262"/>
    <cellStyle name="Normal GHG Numbers (0.00) 2 2 9" xfId="3048"/>
    <cellStyle name="Normal GHG Numbers (0.00) 2 3" xfId="300"/>
    <cellStyle name="Normal GHG Numbers (0.00) 2 3 10" xfId="2999"/>
    <cellStyle name="Normal GHG Numbers (0.00) 2 3 11" xfId="1318"/>
    <cellStyle name="Normal GHG Numbers (0.00) 2 3 2" xfId="516"/>
    <cellStyle name="Normal GHG Numbers (0.00) 2 3 2 2" xfId="766"/>
    <cellStyle name="Normal GHG Numbers (0.00) 2 3 2 2 2" xfId="2471"/>
    <cellStyle name="Normal GHG Numbers (0.00) 2 3 2 2 3" xfId="3710"/>
    <cellStyle name="Normal GHG Numbers (0.00) 2 3 2 2 4" xfId="1552"/>
    <cellStyle name="Normal GHG Numbers (0.00) 2 3 2 2 5" xfId="4656"/>
    <cellStyle name="Normal GHG Numbers (0.00) 2 3 2 3" xfId="973"/>
    <cellStyle name="Normal GHG Numbers (0.00) 2 3 2 3 2" xfId="3913"/>
    <cellStyle name="Normal GHG Numbers (0.00) 2 3 2 3 3" xfId="2674"/>
    <cellStyle name="Normal GHG Numbers (0.00) 2 3 2 4" xfId="2225"/>
    <cellStyle name="Normal GHG Numbers (0.00) 2 3 2 4 2" xfId="3464"/>
    <cellStyle name="Normal GHG Numbers (0.00) 2 3 2 4 3" xfId="4488"/>
    <cellStyle name="Normal GHG Numbers (0.00) 2 3 2 5" xfId="1853"/>
    <cellStyle name="Normal GHG Numbers (0.00) 2 3 2 5 2" xfId="4332"/>
    <cellStyle name="Normal GHG Numbers (0.00) 2 3 2 6" xfId="3092"/>
    <cellStyle name="Normal GHG Numbers (0.00) 2 3 2 7" xfId="1407"/>
    <cellStyle name="Normal GHG Numbers (0.00) 2 3 3" xfId="574"/>
    <cellStyle name="Normal GHG Numbers (0.00) 2 3 3 2" xfId="805"/>
    <cellStyle name="Normal GHG Numbers (0.00) 2 3 3 2 2" xfId="1122"/>
    <cellStyle name="Normal GHG Numbers (0.00) 2 3 3 2 2 2" xfId="4062"/>
    <cellStyle name="Normal GHG Numbers (0.00) 2 3 3 2 2 3" xfId="2823"/>
    <cellStyle name="Normal GHG Numbers (0.00) 2 3 3 2 3" xfId="3748"/>
    <cellStyle name="Normal GHG Numbers (0.00) 2 3 3 2 4" xfId="2509"/>
    <cellStyle name="Normal GHG Numbers (0.00) 2 3 3 3" xfId="379"/>
    <cellStyle name="Normal GHG Numbers (0.00) 2 3 3 3 2" xfId="3359"/>
    <cellStyle name="Normal GHG Numbers (0.00) 2 3 3 3 3" xfId="2120"/>
    <cellStyle name="Normal GHG Numbers (0.00) 2 3 3 4" xfId="2283"/>
    <cellStyle name="Normal GHG Numbers (0.00) 2 3 3 4 2" xfId="3522"/>
    <cellStyle name="Normal GHG Numbers (0.00) 2 3 3 4 3" xfId="4533"/>
    <cellStyle name="Normal GHG Numbers (0.00) 2 3 3 5" xfId="1901"/>
    <cellStyle name="Normal GHG Numbers (0.00) 2 3 3 6" xfId="3140"/>
    <cellStyle name="Normal GHG Numbers (0.00) 2 3 3 7" xfId="1601"/>
    <cellStyle name="Normal GHG Numbers (0.00) 2 3 4" xfId="866"/>
    <cellStyle name="Normal GHG Numbers (0.00) 2 3 4 2" xfId="1186"/>
    <cellStyle name="Normal GHG Numbers (0.00) 2 3 4 2 2" xfId="4126"/>
    <cellStyle name="Normal GHG Numbers (0.00) 2 3 4 2 3" xfId="2887"/>
    <cellStyle name="Normal GHG Numbers (0.00) 2 3 4 3" xfId="2570"/>
    <cellStyle name="Normal GHG Numbers (0.00) 2 3 4 3 2" xfId="3809"/>
    <cellStyle name="Normal GHG Numbers (0.00) 2 3 4 3 3" xfId="4707"/>
    <cellStyle name="Normal GHG Numbers (0.00) 2 3 4 4" xfId="1965"/>
    <cellStyle name="Normal GHG Numbers (0.00) 2 3 4 5" xfId="3204"/>
    <cellStyle name="Normal GHG Numbers (0.00) 2 3 4 6" xfId="1665"/>
    <cellStyle name="Normal GHG Numbers (0.00) 2 3 5" xfId="926"/>
    <cellStyle name="Normal GHG Numbers (0.00) 2 3 5 2" xfId="1248"/>
    <cellStyle name="Normal GHG Numbers (0.00) 2 3 5 2 2" xfId="4188"/>
    <cellStyle name="Normal GHG Numbers (0.00) 2 3 5 2 3" xfId="2949"/>
    <cellStyle name="Normal GHG Numbers (0.00) 2 3 5 3" xfId="2627"/>
    <cellStyle name="Normal GHG Numbers (0.00) 2 3 5 3 2" xfId="3866"/>
    <cellStyle name="Normal GHG Numbers (0.00) 2 3 5 3 3" xfId="4763"/>
    <cellStyle name="Normal GHG Numbers (0.00) 2 3 5 4" xfId="2027"/>
    <cellStyle name="Normal GHG Numbers (0.00) 2 3 5 5" xfId="3266"/>
    <cellStyle name="Normal GHG Numbers (0.00) 2 3 5 6" xfId="1727"/>
    <cellStyle name="Normal GHG Numbers (0.00) 2 3 6" xfId="648"/>
    <cellStyle name="Normal GHG Numbers (0.00) 2 3 6 2" xfId="2355"/>
    <cellStyle name="Normal GHG Numbers (0.00) 2 3 6 3" xfId="3594"/>
    <cellStyle name="Normal GHG Numbers (0.00) 2 3 6 4" xfId="1411"/>
    <cellStyle name="Normal GHG Numbers (0.00) 2 3 6 5" xfId="4573"/>
    <cellStyle name="Normal GHG Numbers (0.00) 2 3 7" xfId="790"/>
    <cellStyle name="Normal GHG Numbers (0.00) 2 3 7 2" xfId="3734"/>
    <cellStyle name="Normal GHG Numbers (0.00) 2 3 7 3" xfId="2495"/>
    <cellStyle name="Normal GHG Numbers (0.00) 2 3 8" xfId="2057"/>
    <cellStyle name="Normal GHG Numbers (0.00) 2 3 8 2" xfId="3296"/>
    <cellStyle name="Normal GHG Numbers (0.00) 2 3 8 3" xfId="4391"/>
    <cellStyle name="Normal GHG Numbers (0.00) 2 3 9" xfId="1759"/>
    <cellStyle name="Normal GHG Numbers (0.00) 2 3 9 2" xfId="4240"/>
    <cellStyle name="Normal GHG Numbers (0.00) 2 4" xfId="424"/>
    <cellStyle name="Normal GHG Numbers (0.00) 2 4 2" xfId="720"/>
    <cellStyle name="Normal GHG Numbers (0.00) 2 4 2 2" xfId="1055"/>
    <cellStyle name="Normal GHG Numbers (0.00) 2 4 2 2 2" xfId="3995"/>
    <cellStyle name="Normal GHG Numbers (0.00) 2 4 2 2 3" xfId="2756"/>
    <cellStyle name="Normal GHG Numbers (0.00) 2 4 2 3" xfId="3664"/>
    <cellStyle name="Normal GHG Numbers (0.00) 2 4 2 3 2" xfId="4629"/>
    <cellStyle name="Normal GHG Numbers (0.00) 2 4 2 4" xfId="2425"/>
    <cellStyle name="Normal GHG Numbers (0.00) 2 4 3" xfId="964"/>
    <cellStyle name="Normal GHG Numbers (0.00) 2 4 3 2" xfId="3904"/>
    <cellStyle name="Normal GHG Numbers (0.00) 2 4 3 3" xfId="2665"/>
    <cellStyle name="Normal GHG Numbers (0.00) 2 4 4" xfId="2149"/>
    <cellStyle name="Normal GHG Numbers (0.00) 2 4 4 2" xfId="3388"/>
    <cellStyle name="Normal GHG Numbers (0.00) 2 4 4 3" xfId="4433"/>
    <cellStyle name="Normal GHG Numbers (0.00) 2 4 5" xfId="1803"/>
    <cellStyle name="Normal GHG Numbers (0.00) 2 4 5 2" xfId="4214"/>
    <cellStyle name="Normal GHG Numbers (0.00) 2 4 6" xfId="3042"/>
    <cellStyle name="Normal GHG Numbers (0.00) 2 4 7" xfId="1505"/>
    <cellStyle name="Normal GHG Numbers (0.00) 2 5" xfId="431"/>
    <cellStyle name="Normal GHG Numbers (0.00) 2 5 2" xfId="1062"/>
    <cellStyle name="Normal GHG Numbers (0.00) 2 5 2 2" xfId="4002"/>
    <cellStyle name="Normal GHG Numbers (0.00) 2 5 2 3" xfId="2763"/>
    <cellStyle name="Normal GHG Numbers (0.00) 2 5 3" xfId="2154"/>
    <cellStyle name="Normal GHG Numbers (0.00) 2 5 3 2" xfId="3393"/>
    <cellStyle name="Normal GHG Numbers (0.00) 2 5 3 3" xfId="4434"/>
    <cellStyle name="Normal GHG Numbers (0.00) 2 5 4" xfId="1826"/>
    <cellStyle name="Normal GHG Numbers (0.00) 2 5 4 2" xfId="4306"/>
    <cellStyle name="Normal GHG Numbers (0.00) 2 5 5" xfId="3065"/>
    <cellStyle name="Normal GHG Numbers (0.00) 2 5 6" xfId="1525"/>
    <cellStyle name="Normal GHG Numbers (0.00) 2 6" xfId="738"/>
    <cellStyle name="Normal GHG Numbers (0.00) 2 6 2" xfId="1059"/>
    <cellStyle name="Normal GHG Numbers (0.00) 2 6 2 2" xfId="3999"/>
    <cellStyle name="Normal GHG Numbers (0.00) 2 6 2 3" xfId="2760"/>
    <cellStyle name="Normal GHG Numbers (0.00) 2 6 3" xfId="2443"/>
    <cellStyle name="Normal GHG Numbers (0.00) 2 6 3 2" xfId="3682"/>
    <cellStyle name="Normal GHG Numbers (0.00) 2 6 3 3" xfId="4647"/>
    <cellStyle name="Normal GHG Numbers (0.00) 2 6 4" xfId="1822"/>
    <cellStyle name="Normal GHG Numbers (0.00) 2 6 5" xfId="3061"/>
    <cellStyle name="Normal GHG Numbers (0.00) 2 6 6" xfId="1523"/>
    <cellStyle name="Normal GHG Numbers (0.00) 2 7" xfId="602"/>
    <cellStyle name="Normal GHG Numbers (0.00) 2 7 2" xfId="965"/>
    <cellStyle name="Normal GHG Numbers (0.00) 2 7 2 2" xfId="3905"/>
    <cellStyle name="Normal GHG Numbers (0.00) 2 7 2 3" xfId="2666"/>
    <cellStyle name="Normal GHG Numbers (0.00) 2 7 3" xfId="2311"/>
    <cellStyle name="Normal GHG Numbers (0.00) 2 7 4" xfId="3550"/>
    <cellStyle name="Normal GHG Numbers (0.00) 2 7 5" xfId="1338"/>
    <cellStyle name="Normal GHG Numbers (0.00) 2 8" xfId="322"/>
    <cellStyle name="Normal GHG Numbers (0.00) 2 8 2" xfId="3316"/>
    <cellStyle name="Normal GHG Numbers (0.00) 2 8 3" xfId="2077"/>
    <cellStyle name="Normal GHG Numbers (0.00) 2 9" xfId="1294"/>
    <cellStyle name="Normal GHG Numbers (0.00) 2 9 2" xfId="4280"/>
    <cellStyle name="Normal GHG Numbers (0.00) 3" xfId="389"/>
    <cellStyle name="Normal GHG Numbers (0.00) 3 10" xfId="615"/>
    <cellStyle name="Normal GHG Numbers (0.00) 3 2" xfId="567"/>
    <cellStyle name="Normal GHG Numbers (0.00) 3 2 10" xfId="3085"/>
    <cellStyle name="Normal GHG Numbers (0.00) 3 2 11" xfId="1452"/>
    <cellStyle name="Normal GHG Numbers (0.00) 3 2 2" xfId="798"/>
    <cellStyle name="Normal GHG Numbers (0.00) 3 2 2 2" xfId="1115"/>
    <cellStyle name="Normal GHG Numbers (0.00) 3 2 2 2 2" xfId="4055"/>
    <cellStyle name="Normal GHG Numbers (0.00) 3 2 2 2 3" xfId="2816"/>
    <cellStyle name="Normal GHG Numbers (0.00) 3 2 2 3" xfId="494"/>
    <cellStyle name="Normal GHG Numbers (0.00) 3 2 2 3 2" xfId="3445"/>
    <cellStyle name="Normal GHG Numbers (0.00) 3 2 2 3 3" xfId="2206"/>
    <cellStyle name="Normal GHG Numbers (0.00) 3 2 2 4" xfId="2502"/>
    <cellStyle name="Normal GHG Numbers (0.00) 3 2 2 4 2" xfId="3741"/>
    <cellStyle name="Normal GHG Numbers (0.00) 3 2 2 4 3" xfId="4669"/>
    <cellStyle name="Normal GHG Numbers (0.00) 3 2 2 5" xfId="1894"/>
    <cellStyle name="Normal GHG Numbers (0.00) 3 2 2 5 2" xfId="4355"/>
    <cellStyle name="Normal GHG Numbers (0.00) 3 2 2 6" xfId="3133"/>
    <cellStyle name="Normal GHG Numbers (0.00) 3 2 2 7" xfId="1594"/>
    <cellStyle name="Normal GHG Numbers (0.00) 3 2 3" xfId="859"/>
    <cellStyle name="Normal GHG Numbers (0.00) 3 2 3 2" xfId="1179"/>
    <cellStyle name="Normal GHG Numbers (0.00) 3 2 3 2 2" xfId="4119"/>
    <cellStyle name="Normal GHG Numbers (0.00) 3 2 3 2 3" xfId="2880"/>
    <cellStyle name="Normal GHG Numbers (0.00) 3 2 3 3" xfId="2563"/>
    <cellStyle name="Normal GHG Numbers (0.00) 3 2 3 3 2" xfId="3802"/>
    <cellStyle name="Normal GHG Numbers (0.00) 3 2 3 3 3" xfId="4700"/>
    <cellStyle name="Normal GHG Numbers (0.00) 3 2 3 4" xfId="1958"/>
    <cellStyle name="Normal GHG Numbers (0.00) 3 2 3 5" xfId="3197"/>
    <cellStyle name="Normal GHG Numbers (0.00) 3 2 3 6" xfId="1658"/>
    <cellStyle name="Normal GHG Numbers (0.00) 3 2 4" xfId="919"/>
    <cellStyle name="Normal GHG Numbers (0.00) 3 2 4 2" xfId="1241"/>
    <cellStyle name="Normal GHG Numbers (0.00) 3 2 4 2 2" xfId="4181"/>
    <cellStyle name="Normal GHG Numbers (0.00) 3 2 4 2 3" xfId="2942"/>
    <cellStyle name="Normal GHG Numbers (0.00) 3 2 4 3" xfId="2620"/>
    <cellStyle name="Normal GHG Numbers (0.00) 3 2 4 3 2" xfId="3859"/>
    <cellStyle name="Normal GHG Numbers (0.00) 3 2 4 3 3" xfId="4756"/>
    <cellStyle name="Normal GHG Numbers (0.00) 3 2 4 4" xfId="2020"/>
    <cellStyle name="Normal GHG Numbers (0.00) 3 2 4 5" xfId="3259"/>
    <cellStyle name="Normal GHG Numbers (0.00) 3 2 4 6" xfId="1720"/>
    <cellStyle name="Normal GHG Numbers (0.00) 3 2 5" xfId="759"/>
    <cellStyle name="Normal GHG Numbers (0.00) 3 2 5 2" xfId="1078"/>
    <cellStyle name="Normal GHG Numbers (0.00) 3 2 5 2 2" xfId="4018"/>
    <cellStyle name="Normal GHG Numbers (0.00) 3 2 5 2 3" xfId="2779"/>
    <cellStyle name="Normal GHG Numbers (0.00) 3 2 5 3" xfId="2464"/>
    <cellStyle name="Normal GHG Numbers (0.00) 3 2 5 4" xfId="3703"/>
    <cellStyle name="Normal GHG Numbers (0.00) 3 2 5 5" xfId="1545"/>
    <cellStyle name="Normal GHG Numbers (0.00) 3 2 6" xfId="679"/>
    <cellStyle name="Normal GHG Numbers (0.00) 3 2 6 2" xfId="3623"/>
    <cellStyle name="Normal GHG Numbers (0.00) 3 2 6 3" xfId="2384"/>
    <cellStyle name="Normal GHG Numbers (0.00) 3 2 6 4" xfId="4595"/>
    <cellStyle name="Normal GHG Numbers (0.00) 3 2 7" xfId="559"/>
    <cellStyle name="Normal GHG Numbers (0.00) 3 2 7 2" xfId="3507"/>
    <cellStyle name="Normal GHG Numbers (0.00) 3 2 7 3" xfId="2268"/>
    <cellStyle name="Normal GHG Numbers (0.00) 3 2 8" xfId="2276"/>
    <cellStyle name="Normal GHG Numbers (0.00) 3 2 8 2" xfId="3515"/>
    <cellStyle name="Normal GHG Numbers (0.00) 3 2 8 3" xfId="4526"/>
    <cellStyle name="Normal GHG Numbers (0.00) 3 2 9" xfId="1846"/>
    <cellStyle name="Normal GHG Numbers (0.00) 3 2 9 2" xfId="4325"/>
    <cellStyle name="Normal GHG Numbers (0.00) 3 3" xfId="616"/>
    <cellStyle name="Normal GHG Numbers (0.00) 3 3 2" xfId="1015"/>
    <cellStyle name="Normal GHG Numbers (0.00) 3 3 2 2" xfId="3955"/>
    <cellStyle name="Normal GHG Numbers (0.00) 3 3 2 2 2" xfId="4787"/>
    <cellStyle name="Normal GHG Numbers (0.00) 3 3 2 3" xfId="2716"/>
    <cellStyle name="Normal GHG Numbers (0.00) 3 3 3" xfId="2324"/>
    <cellStyle name="Normal GHG Numbers (0.00) 3 3 3 2" xfId="3563"/>
    <cellStyle name="Normal GHG Numbers (0.00) 3 3 3 3" xfId="4561"/>
    <cellStyle name="Normal GHG Numbers (0.00) 3 3 4" xfId="1470"/>
    <cellStyle name="Normal GHG Numbers (0.00) 3 3 4 2" xfId="4239"/>
    <cellStyle name="Normal GHG Numbers (0.00) 3 3 5" xfId="2977"/>
    <cellStyle name="Normal GHG Numbers (0.00) 3 3 6" xfId="1353"/>
    <cellStyle name="Normal GHG Numbers (0.00) 3 4" xfId="1052"/>
    <cellStyle name="Normal GHG Numbers (0.00) 3 4 2" xfId="3992"/>
    <cellStyle name="Normal GHG Numbers (0.00) 3 4 2 2" xfId="4802"/>
    <cellStyle name="Normal GHG Numbers (0.00) 3 4 3" xfId="2753"/>
    <cellStyle name="Normal GHG Numbers (0.00) 3 5" xfId="629"/>
    <cellStyle name="Normal GHG Numbers (0.00) 3 5 2" xfId="3575"/>
    <cellStyle name="Normal GHG Numbers (0.00) 3 5 3" xfId="2336"/>
    <cellStyle name="Normal GHG Numbers (0.00) 3 6" xfId="2123"/>
    <cellStyle name="Normal GHG Numbers (0.00) 3 6 2" xfId="3362"/>
    <cellStyle name="Normal GHG Numbers (0.00) 3 6 3" xfId="4423"/>
    <cellStyle name="Normal GHG Numbers (0.00) 3 7" xfId="1401"/>
    <cellStyle name="Normal GHG Numbers (0.00) 3 8" xfId="2974"/>
    <cellStyle name="Normal GHG Numbers (0.00) 3 9" xfId="1281"/>
    <cellStyle name="Normal GHG Numbers (0.00) 4" xfId="357"/>
    <cellStyle name="Normal GHG Textfiels Bold" xfId="236"/>
    <cellStyle name="Normal GHG Textfiels Bold 10" xfId="1357"/>
    <cellStyle name="Normal GHG Textfiels Bold 11" xfId="358"/>
    <cellStyle name="Normal GHG Textfiels Bold 2" xfId="273"/>
    <cellStyle name="Normal GHG Textfiels Bold 2 10" xfId="1378"/>
    <cellStyle name="Normal GHG Textfiels Bold 2 2" xfId="476"/>
    <cellStyle name="Normal GHG Textfiels Bold 2 2 2" xfId="743"/>
    <cellStyle name="Normal GHG Textfiels Bold 2 2 2 2" xfId="1065"/>
    <cellStyle name="Normal GHG Textfiels Bold 2 2 2 2 2" xfId="4005"/>
    <cellStyle name="Normal GHG Textfiels Bold 2 2 2 2 3" xfId="2766"/>
    <cellStyle name="Normal GHG Textfiels Bold 2 2 2 3" xfId="2448"/>
    <cellStyle name="Normal GHG Textfiels Bold 2 2 2 4" xfId="3687"/>
    <cellStyle name="Normal GHG Textfiels Bold 2 2 2 5" xfId="1529"/>
    <cellStyle name="Normal GHG Textfiels Bold 2 2 3" xfId="660"/>
    <cellStyle name="Normal GHG Textfiels Bold 2 2 3 2" xfId="3604"/>
    <cellStyle name="Normal GHG Textfiels Bold 2 2 3 3" xfId="2365"/>
    <cellStyle name="Normal GHG Textfiels Bold 2 2 3 4" xfId="4578"/>
    <cellStyle name="Normal GHG Textfiels Bold 2 2 4" xfId="508"/>
    <cellStyle name="Normal GHG Textfiels Bold 2 2 4 2" xfId="3459"/>
    <cellStyle name="Normal GHG Textfiels Bold 2 2 4 3" xfId="2220"/>
    <cellStyle name="Normal GHG Textfiels Bold 2 2 5" xfId="2188"/>
    <cellStyle name="Normal GHG Textfiels Bold 2 2 5 2" xfId="3427"/>
    <cellStyle name="Normal GHG Textfiels Bold 2 2 5 3" xfId="4459"/>
    <cellStyle name="Normal GHG Textfiels Bold 2 2 6" xfId="1830"/>
    <cellStyle name="Normal GHG Textfiels Bold 2 2 6 2" xfId="4310"/>
    <cellStyle name="Normal GHG Textfiels Bold 2 2 7" xfId="3069"/>
    <cellStyle name="Normal GHG Textfiels Bold 2 2 8" xfId="1432"/>
    <cellStyle name="Normal GHG Textfiels Bold 2 3" xfId="541"/>
    <cellStyle name="Normal GHG Textfiels Bold 2 3 2" xfId="1099"/>
    <cellStyle name="Normal GHG Textfiels Bold 2 3 2 2" xfId="4039"/>
    <cellStyle name="Normal GHG Textfiels Bold 2 3 2 3" xfId="2800"/>
    <cellStyle name="Normal GHG Textfiels Bold 2 3 3" xfId="2250"/>
    <cellStyle name="Normal GHG Textfiels Bold 2 3 3 2" xfId="3489"/>
    <cellStyle name="Normal GHG Textfiels Bold 2 3 3 3" xfId="4511"/>
    <cellStyle name="Normal GHG Textfiels Bold 2 3 4" xfId="1878"/>
    <cellStyle name="Normal GHG Textfiels Bold 2 3 5" xfId="3117"/>
    <cellStyle name="Normal GHG Textfiels Bold 2 3 6" xfId="1578"/>
    <cellStyle name="Normal GHG Textfiels Bold 2 4" xfId="843"/>
    <cellStyle name="Normal GHG Textfiels Bold 2 4 2" xfId="1163"/>
    <cellStyle name="Normal GHG Textfiels Bold 2 4 2 2" xfId="4103"/>
    <cellStyle name="Normal GHG Textfiels Bold 2 4 2 3" xfId="2864"/>
    <cellStyle name="Normal GHG Textfiels Bold 2 4 3" xfId="2547"/>
    <cellStyle name="Normal GHG Textfiels Bold 2 4 3 2" xfId="3786"/>
    <cellStyle name="Normal GHG Textfiels Bold 2 4 3 3" xfId="4684"/>
    <cellStyle name="Normal GHG Textfiels Bold 2 4 4" xfId="1942"/>
    <cellStyle name="Normal GHG Textfiels Bold 2 4 5" xfId="3181"/>
    <cellStyle name="Normal GHG Textfiels Bold 2 4 6" xfId="1642"/>
    <cellStyle name="Normal GHG Textfiels Bold 2 5" xfId="903"/>
    <cellStyle name="Normal GHG Textfiels Bold 2 5 2" xfId="1225"/>
    <cellStyle name="Normal GHG Textfiels Bold 2 5 2 2" xfId="4165"/>
    <cellStyle name="Normal GHG Textfiels Bold 2 5 2 3" xfId="2926"/>
    <cellStyle name="Normal GHG Textfiels Bold 2 5 3" xfId="2604"/>
    <cellStyle name="Normal GHG Textfiels Bold 2 5 3 2" xfId="3843"/>
    <cellStyle name="Normal GHG Textfiels Bold 2 5 3 3" xfId="4740"/>
    <cellStyle name="Normal GHG Textfiels Bold 2 5 4" xfId="2004"/>
    <cellStyle name="Normal GHG Textfiels Bold 2 5 5" xfId="3243"/>
    <cellStyle name="Normal GHG Textfiels Bold 2 5 6" xfId="1704"/>
    <cellStyle name="Normal GHG Textfiels Bold 2 6" xfId="724"/>
    <cellStyle name="Normal GHG Textfiels Bold 2 6 2" xfId="2429"/>
    <cellStyle name="Normal GHG Textfiels Bold 2 6 3" xfId="3668"/>
    <cellStyle name="Normal GHG Textfiels Bold 2 6 4" xfId="1509"/>
    <cellStyle name="Normal GHG Textfiels Bold 2 6 5" xfId="4633"/>
    <cellStyle name="Normal GHG Textfiels Bold 2 7" xfId="493"/>
    <cellStyle name="Normal GHG Textfiels Bold 2 7 2" xfId="3444"/>
    <cellStyle name="Normal GHG Textfiels Bold 2 7 3" xfId="2205"/>
    <cellStyle name="Normal GHG Textfiels Bold 2 8" xfId="1807"/>
    <cellStyle name="Normal GHG Textfiels Bold 2 8 2" xfId="4245"/>
    <cellStyle name="Normal GHG Textfiels Bold 2 9" xfId="3046"/>
    <cellStyle name="Normal GHG Textfiels Bold 3" xfId="301"/>
    <cellStyle name="Normal GHG Textfiels Bold 3 10" xfId="3015"/>
    <cellStyle name="Normal GHG Textfiels Bold 3 11" xfId="1344"/>
    <cellStyle name="Normal GHG Textfiels Bold 3 2" xfId="525"/>
    <cellStyle name="Normal GHG Textfiels Bold 3 2 2" xfId="775"/>
    <cellStyle name="Normal GHG Textfiels Bold 3 2 2 2" xfId="2480"/>
    <cellStyle name="Normal GHG Textfiels Bold 3 2 2 3" xfId="3719"/>
    <cellStyle name="Normal GHG Textfiels Bold 3 2 2 4" xfId="1562"/>
    <cellStyle name="Normal GHG Textfiels Bold 3 2 2 5" xfId="4660"/>
    <cellStyle name="Normal GHG Textfiels Bold 3 2 3" xfId="979"/>
    <cellStyle name="Normal GHG Textfiels Bold 3 2 3 2" xfId="3919"/>
    <cellStyle name="Normal GHG Textfiels Bold 3 2 3 3" xfId="2680"/>
    <cellStyle name="Normal GHG Textfiels Bold 3 2 4" xfId="2234"/>
    <cellStyle name="Normal GHG Textfiels Bold 3 2 4 2" xfId="3473"/>
    <cellStyle name="Normal GHG Textfiels Bold 3 2 4 3" xfId="4495"/>
    <cellStyle name="Normal GHG Textfiels Bold 3 2 5" xfId="1862"/>
    <cellStyle name="Normal GHG Textfiels Bold 3 2 5 2" xfId="4341"/>
    <cellStyle name="Normal GHG Textfiels Bold 3 2 6" xfId="3101"/>
    <cellStyle name="Normal GHG Textfiels Bold 3 2 7" xfId="1416"/>
    <cellStyle name="Normal GHG Textfiels Bold 3 3" xfId="585"/>
    <cellStyle name="Normal GHG Textfiels Bold 3 3 2" xfId="815"/>
    <cellStyle name="Normal GHG Textfiels Bold 3 3 2 2" xfId="1132"/>
    <cellStyle name="Normal GHG Textfiels Bold 3 3 2 2 2" xfId="4072"/>
    <cellStyle name="Normal GHG Textfiels Bold 3 3 2 2 3" xfId="2833"/>
    <cellStyle name="Normal GHG Textfiels Bold 3 3 2 3" xfId="3758"/>
    <cellStyle name="Normal GHG Textfiels Bold 3 3 2 4" xfId="2519"/>
    <cellStyle name="Normal GHG Textfiels Bold 3 3 3" xfId="998"/>
    <cellStyle name="Normal GHG Textfiels Bold 3 3 3 2" xfId="3938"/>
    <cellStyle name="Normal GHG Textfiels Bold 3 3 3 3" xfId="2699"/>
    <cellStyle name="Normal GHG Textfiels Bold 3 3 4" xfId="2294"/>
    <cellStyle name="Normal GHG Textfiels Bold 3 3 4 2" xfId="3533"/>
    <cellStyle name="Normal GHG Textfiels Bold 3 3 4 3" xfId="4542"/>
    <cellStyle name="Normal GHG Textfiels Bold 3 3 5" xfId="1911"/>
    <cellStyle name="Normal GHG Textfiels Bold 3 3 6" xfId="3150"/>
    <cellStyle name="Normal GHG Textfiels Bold 3 3 7" xfId="1611"/>
    <cellStyle name="Normal GHG Textfiels Bold 3 4" xfId="876"/>
    <cellStyle name="Normal GHG Textfiels Bold 3 4 2" xfId="1196"/>
    <cellStyle name="Normal GHG Textfiels Bold 3 4 2 2" xfId="4136"/>
    <cellStyle name="Normal GHG Textfiels Bold 3 4 2 3" xfId="2897"/>
    <cellStyle name="Normal GHG Textfiels Bold 3 4 3" xfId="2580"/>
    <cellStyle name="Normal GHG Textfiels Bold 3 4 3 2" xfId="3819"/>
    <cellStyle name="Normal GHG Textfiels Bold 3 4 3 3" xfId="4717"/>
    <cellStyle name="Normal GHG Textfiels Bold 3 4 4" xfId="1975"/>
    <cellStyle name="Normal GHG Textfiels Bold 3 4 5" xfId="3214"/>
    <cellStyle name="Normal GHG Textfiels Bold 3 4 6" xfId="1675"/>
    <cellStyle name="Normal GHG Textfiels Bold 3 5" xfId="935"/>
    <cellStyle name="Normal GHG Textfiels Bold 3 5 2" xfId="1257"/>
    <cellStyle name="Normal GHG Textfiels Bold 3 5 2 2" xfId="4197"/>
    <cellStyle name="Normal GHG Textfiels Bold 3 5 2 3" xfId="2958"/>
    <cellStyle name="Normal GHG Textfiels Bold 3 5 3" xfId="2636"/>
    <cellStyle name="Normal GHG Textfiels Bold 3 5 3 2" xfId="3875"/>
    <cellStyle name="Normal GHG Textfiels Bold 3 5 3 3" xfId="4772"/>
    <cellStyle name="Normal GHG Textfiels Bold 3 5 4" xfId="2036"/>
    <cellStyle name="Normal GHG Textfiels Bold 3 5 5" xfId="3275"/>
    <cellStyle name="Normal GHG Textfiels Bold 3 5 6" xfId="1736"/>
    <cellStyle name="Normal GHG Textfiels Bold 3 6" xfId="698"/>
    <cellStyle name="Normal GHG Textfiels Bold 3 6 2" xfId="2403"/>
    <cellStyle name="Normal GHG Textfiels Bold 3 6 3" xfId="3642"/>
    <cellStyle name="Normal GHG Textfiels Bold 3 6 4" xfId="1479"/>
    <cellStyle name="Normal GHG Textfiels Bold 3 6 5" xfId="4608"/>
    <cellStyle name="Normal GHG Textfiels Bold 3 7" xfId="652"/>
    <cellStyle name="Normal GHG Textfiels Bold 3 7 2" xfId="3598"/>
    <cellStyle name="Normal GHG Textfiels Bold 3 7 3" xfId="2359"/>
    <cellStyle name="Normal GHG Textfiels Bold 3 8" xfId="2058"/>
    <cellStyle name="Normal GHG Textfiels Bold 3 8 2" xfId="3297"/>
    <cellStyle name="Normal GHG Textfiels Bold 3 8 3" xfId="4392"/>
    <cellStyle name="Normal GHG Textfiels Bold 3 9" xfId="1775"/>
    <cellStyle name="Normal GHG Textfiels Bold 3 9 2" xfId="4284"/>
    <cellStyle name="Normal GHG Textfiels Bold 4" xfId="331"/>
    <cellStyle name="Normal GHG Textfiels Bold 4 2" xfId="702"/>
    <cellStyle name="Normal GHG Textfiels Bold 4 2 2" xfId="1042"/>
    <cellStyle name="Normal GHG Textfiels Bold 4 2 2 2" xfId="3982"/>
    <cellStyle name="Normal GHG Textfiels Bold 4 2 2 3" xfId="2743"/>
    <cellStyle name="Normal GHG Textfiels Bold 4 2 3" xfId="3646"/>
    <cellStyle name="Normal GHG Textfiels Bold 4 2 3 2" xfId="4612"/>
    <cellStyle name="Normal GHG Textfiels Bold 4 2 4" xfId="2407"/>
    <cellStyle name="Normal GHG Textfiels Bold 4 3" xfId="952"/>
    <cellStyle name="Normal GHG Textfiels Bold 4 3 2" xfId="3892"/>
    <cellStyle name="Normal GHG Textfiels Bold 4 3 3" xfId="2653"/>
    <cellStyle name="Normal GHG Textfiels Bold 4 4" xfId="2086"/>
    <cellStyle name="Normal GHG Textfiels Bold 4 4 2" xfId="3325"/>
    <cellStyle name="Normal GHG Textfiels Bold 4 4 3" xfId="4413"/>
    <cellStyle name="Normal GHG Textfiels Bold 4 5" xfId="1780"/>
    <cellStyle name="Normal GHG Textfiels Bold 4 5 2" xfId="4211"/>
    <cellStyle name="Normal GHG Textfiels Bold 4 6" xfId="3020"/>
    <cellStyle name="Normal GHG Textfiels Bold 4 7" xfId="1483"/>
    <cellStyle name="Normal GHG Textfiels Bold 5" xfId="451"/>
    <cellStyle name="Normal GHG Textfiels Bold 5 2" xfId="1024"/>
    <cellStyle name="Normal GHG Textfiels Bold 5 2 2" xfId="3964"/>
    <cellStyle name="Normal GHG Textfiels Bold 5 2 3" xfId="2725"/>
    <cellStyle name="Normal GHG Textfiels Bold 5 3" xfId="2165"/>
    <cellStyle name="Normal GHG Textfiels Bold 5 3 2" xfId="3404"/>
    <cellStyle name="Normal GHG Textfiels Bold 5 3 3" xfId="4440"/>
    <cellStyle name="Normal GHG Textfiels Bold 5 4" xfId="1394"/>
    <cellStyle name="Normal GHG Textfiels Bold 5 4 2" xfId="4223"/>
    <cellStyle name="Normal GHG Textfiels Bold 5 5" xfId="2988"/>
    <cellStyle name="Normal GHG Textfiels Bold 5 6" xfId="1393"/>
    <cellStyle name="Normal GHG Textfiels Bold 6" xfId="739"/>
    <cellStyle name="Normal GHG Textfiels Bold 6 2" xfId="1060"/>
    <cellStyle name="Normal GHG Textfiels Bold 6 2 2" xfId="4000"/>
    <cellStyle name="Normal GHG Textfiels Bold 6 2 3" xfId="2761"/>
    <cellStyle name="Normal GHG Textfiels Bold 6 3" xfId="2444"/>
    <cellStyle name="Normal GHG Textfiels Bold 6 3 2" xfId="3683"/>
    <cellStyle name="Normal GHG Textfiels Bold 6 3 3" xfId="4648"/>
    <cellStyle name="Normal GHG Textfiels Bold 6 4" xfId="1824"/>
    <cellStyle name="Normal GHG Textfiels Bold 6 5" xfId="3063"/>
    <cellStyle name="Normal GHG Textfiels Bold 6 6" xfId="1524"/>
    <cellStyle name="Normal GHG Textfiels Bold 7" xfId="601"/>
    <cellStyle name="Normal GHG Textfiels Bold 7 2" xfId="444"/>
    <cellStyle name="Normal GHG Textfiels Bold 7 2 2" xfId="3397"/>
    <cellStyle name="Normal GHG Textfiels Bold 7 2 3" xfId="2158"/>
    <cellStyle name="Normal GHG Textfiels Bold 7 3" xfId="2310"/>
    <cellStyle name="Normal GHG Textfiels Bold 7 4" xfId="3549"/>
    <cellStyle name="Normal GHG Textfiels Bold 7 5" xfId="1334"/>
    <cellStyle name="Normal GHG Textfiels Bold 8" xfId="359"/>
    <cellStyle name="Normal GHG Textfiels Bold 8 2" xfId="3345"/>
    <cellStyle name="Normal GHG Textfiels Bold 8 3" xfId="2106"/>
    <cellStyle name="Normal GHG Textfiels Bold 9" xfId="1286"/>
    <cellStyle name="Normal GHG Textfiels Bold 9 2" xfId="4292"/>
    <cellStyle name="Normal GHG whole table" xfId="237"/>
    <cellStyle name="Normal GHG whole table 10" xfId="1346"/>
    <cellStyle name="Normal GHG whole table 11" xfId="795"/>
    <cellStyle name="Normal GHG whole table 2" xfId="274"/>
    <cellStyle name="Normal GHG whole table 2 10" xfId="1376"/>
    <cellStyle name="Normal GHG whole table 2 2" xfId="474"/>
    <cellStyle name="Normal GHG whole table 2 2 2" xfId="741"/>
    <cellStyle name="Normal GHG whole table 2 2 2 2" xfId="1064"/>
    <cellStyle name="Normal GHG whole table 2 2 2 2 2" xfId="4004"/>
    <cellStyle name="Normal GHG whole table 2 2 2 2 3" xfId="2765"/>
    <cellStyle name="Normal GHG whole table 2 2 2 3" xfId="2446"/>
    <cellStyle name="Normal GHG whole table 2 2 2 4" xfId="3685"/>
    <cellStyle name="Normal GHG whole table 2 2 2 5" xfId="1527"/>
    <cellStyle name="Normal GHG whole table 2 2 3" xfId="658"/>
    <cellStyle name="Normal GHG whole table 2 2 3 2" xfId="3602"/>
    <cellStyle name="Normal GHG whole table 2 2 3 3" xfId="2363"/>
    <cellStyle name="Normal GHG whole table 2 2 3 4" xfId="4576"/>
    <cellStyle name="Normal GHG whole table 2 2 4" xfId="561"/>
    <cellStyle name="Normal GHG whole table 2 2 4 2" xfId="3509"/>
    <cellStyle name="Normal GHG whole table 2 2 4 3" xfId="2270"/>
    <cellStyle name="Normal GHG whole table 2 2 5" xfId="2186"/>
    <cellStyle name="Normal GHG whole table 2 2 5 2" xfId="3425"/>
    <cellStyle name="Normal GHG whole table 2 2 5 3" xfId="4457"/>
    <cellStyle name="Normal GHG whole table 2 2 6" xfId="1828"/>
    <cellStyle name="Normal GHG whole table 2 2 6 2" xfId="4308"/>
    <cellStyle name="Normal GHG whole table 2 2 7" xfId="3067"/>
    <cellStyle name="Normal GHG whole table 2 2 8" xfId="1430"/>
    <cellStyle name="Normal GHG whole table 2 3" xfId="539"/>
    <cellStyle name="Normal GHG whole table 2 3 2" xfId="1097"/>
    <cellStyle name="Normal GHG whole table 2 3 2 2" xfId="4037"/>
    <cellStyle name="Normal GHG whole table 2 3 2 3" xfId="2798"/>
    <cellStyle name="Normal GHG whole table 2 3 3" xfId="2248"/>
    <cellStyle name="Normal GHG whole table 2 3 3 2" xfId="3487"/>
    <cellStyle name="Normal GHG whole table 2 3 3 3" xfId="4509"/>
    <cellStyle name="Normal GHG whole table 2 3 4" xfId="1876"/>
    <cellStyle name="Normal GHG whole table 2 3 5" xfId="3115"/>
    <cellStyle name="Normal GHG whole table 2 3 6" xfId="1576"/>
    <cellStyle name="Normal GHG whole table 2 4" xfId="841"/>
    <cellStyle name="Normal GHG whole table 2 4 2" xfId="1161"/>
    <cellStyle name="Normal GHG whole table 2 4 2 2" xfId="4101"/>
    <cellStyle name="Normal GHG whole table 2 4 2 3" xfId="2862"/>
    <cellStyle name="Normal GHG whole table 2 4 3" xfId="2545"/>
    <cellStyle name="Normal GHG whole table 2 4 3 2" xfId="3784"/>
    <cellStyle name="Normal GHG whole table 2 4 3 3" xfId="4682"/>
    <cellStyle name="Normal GHG whole table 2 4 4" xfId="1940"/>
    <cellStyle name="Normal GHG whole table 2 4 5" xfId="3179"/>
    <cellStyle name="Normal GHG whole table 2 4 6" xfId="1640"/>
    <cellStyle name="Normal GHG whole table 2 5" xfId="901"/>
    <cellStyle name="Normal GHG whole table 2 5 2" xfId="1223"/>
    <cellStyle name="Normal GHG whole table 2 5 2 2" xfId="4163"/>
    <cellStyle name="Normal GHG whole table 2 5 2 3" xfId="2924"/>
    <cellStyle name="Normal GHG whole table 2 5 3" xfId="2602"/>
    <cellStyle name="Normal GHG whole table 2 5 3 2" xfId="3841"/>
    <cellStyle name="Normal GHG whole table 2 5 3 3" xfId="4738"/>
    <cellStyle name="Normal GHG whole table 2 5 4" xfId="2002"/>
    <cellStyle name="Normal GHG whole table 2 5 5" xfId="3241"/>
    <cellStyle name="Normal GHG whole table 2 5 6" xfId="1702"/>
    <cellStyle name="Normal GHG whole table 2 6" xfId="722"/>
    <cellStyle name="Normal GHG whole table 2 6 2" xfId="2427"/>
    <cellStyle name="Normal GHG whole table 2 6 3" xfId="3666"/>
    <cellStyle name="Normal GHG whole table 2 6 4" xfId="1507"/>
    <cellStyle name="Normal GHG whole table 2 6 5" xfId="4631"/>
    <cellStyle name="Normal GHG whole table 2 7" xfId="349"/>
    <cellStyle name="Normal GHG whole table 2 7 2" xfId="3339"/>
    <cellStyle name="Normal GHG whole table 2 7 3" xfId="2100"/>
    <cellStyle name="Normal GHG whole table 2 8" xfId="1805"/>
    <cellStyle name="Normal GHG whole table 2 8 2" xfId="4246"/>
    <cellStyle name="Normal GHG whole table 2 9" xfId="3044"/>
    <cellStyle name="Normal GHG whole table 3" xfId="302"/>
    <cellStyle name="Normal GHG whole table 3 10" xfId="3009"/>
    <cellStyle name="Normal GHG whole table 3 11" xfId="1329"/>
    <cellStyle name="Normal GHG whole table 3 2" xfId="521"/>
    <cellStyle name="Normal GHG whole table 3 2 2" xfId="772"/>
    <cellStyle name="Normal GHG whole table 3 2 2 2" xfId="2477"/>
    <cellStyle name="Normal GHG whole table 3 2 2 3" xfId="3716"/>
    <cellStyle name="Normal GHG whole table 3 2 2 4" xfId="1558"/>
    <cellStyle name="Normal GHG whole table 3 2 2 5" xfId="4659"/>
    <cellStyle name="Normal GHG whole table 3 2 3" xfId="976"/>
    <cellStyle name="Normal GHG whole table 3 2 3 2" xfId="3916"/>
    <cellStyle name="Normal GHG whole table 3 2 3 3" xfId="2677"/>
    <cellStyle name="Normal GHG whole table 3 2 4" xfId="2230"/>
    <cellStyle name="Normal GHG whole table 3 2 4 2" xfId="3469"/>
    <cellStyle name="Normal GHG whole table 3 2 4 3" xfId="4492"/>
    <cellStyle name="Normal GHG whole table 3 2 5" xfId="1859"/>
    <cellStyle name="Normal GHG whole table 3 2 5 2" xfId="4338"/>
    <cellStyle name="Normal GHG whole table 3 2 6" xfId="3098"/>
    <cellStyle name="Normal GHG whole table 3 2 7" xfId="1412"/>
    <cellStyle name="Normal GHG whole table 3 3" xfId="580"/>
    <cellStyle name="Normal GHG whole table 3 3 2" xfId="811"/>
    <cellStyle name="Normal GHG whole table 3 3 2 2" xfId="1128"/>
    <cellStyle name="Normal GHG whole table 3 3 2 2 2" xfId="4068"/>
    <cellStyle name="Normal GHG whole table 3 3 2 2 3" xfId="2829"/>
    <cellStyle name="Normal GHG whole table 3 3 2 3" xfId="3754"/>
    <cellStyle name="Normal GHG whole table 3 3 2 4" xfId="2515"/>
    <cellStyle name="Normal GHG whole table 3 3 3" xfId="994"/>
    <cellStyle name="Normal GHG whole table 3 3 3 2" xfId="3934"/>
    <cellStyle name="Normal GHG whole table 3 3 3 3" xfId="2695"/>
    <cellStyle name="Normal GHG whole table 3 3 4" xfId="2289"/>
    <cellStyle name="Normal GHG whole table 3 3 4 2" xfId="3528"/>
    <cellStyle name="Normal GHG whole table 3 3 4 3" xfId="4539"/>
    <cellStyle name="Normal GHG whole table 3 3 5" xfId="1907"/>
    <cellStyle name="Normal GHG whole table 3 3 6" xfId="3146"/>
    <cellStyle name="Normal GHG whole table 3 3 7" xfId="1607"/>
    <cellStyle name="Normal GHG whole table 3 4" xfId="872"/>
    <cellStyle name="Normal GHG whole table 3 4 2" xfId="1192"/>
    <cellStyle name="Normal GHG whole table 3 4 2 2" xfId="4132"/>
    <cellStyle name="Normal GHG whole table 3 4 2 3" xfId="2893"/>
    <cellStyle name="Normal GHG whole table 3 4 3" xfId="2576"/>
    <cellStyle name="Normal GHG whole table 3 4 3 2" xfId="3815"/>
    <cellStyle name="Normal GHG whole table 3 4 3 3" xfId="4713"/>
    <cellStyle name="Normal GHG whole table 3 4 4" xfId="1971"/>
    <cellStyle name="Normal GHG whole table 3 4 5" xfId="3210"/>
    <cellStyle name="Normal GHG whole table 3 4 6" xfId="1671"/>
    <cellStyle name="Normal GHG whole table 3 5" xfId="932"/>
    <cellStyle name="Normal GHG whole table 3 5 2" xfId="1254"/>
    <cellStyle name="Normal GHG whole table 3 5 2 2" xfId="4194"/>
    <cellStyle name="Normal GHG whole table 3 5 2 3" xfId="2955"/>
    <cellStyle name="Normal GHG whole table 3 5 3" xfId="2633"/>
    <cellStyle name="Normal GHG whole table 3 5 3 2" xfId="3872"/>
    <cellStyle name="Normal GHG whole table 3 5 3 3" xfId="4769"/>
    <cellStyle name="Normal GHG whole table 3 5 4" xfId="2033"/>
    <cellStyle name="Normal GHG whole table 3 5 5" xfId="3272"/>
    <cellStyle name="Normal GHG whole table 3 5 6" xfId="1733"/>
    <cellStyle name="Normal GHG whole table 3 6" xfId="694"/>
    <cellStyle name="Normal GHG whole table 3 6 2" xfId="2399"/>
    <cellStyle name="Normal GHG whole table 3 6 3" xfId="3638"/>
    <cellStyle name="Normal GHG whole table 3 6 4" xfId="1475"/>
    <cellStyle name="Normal GHG whole table 3 6 5" xfId="4604"/>
    <cellStyle name="Normal GHG whole table 3 7" xfId="355"/>
    <cellStyle name="Normal GHG whole table 3 7 2" xfId="3343"/>
    <cellStyle name="Normal GHG whole table 3 7 3" xfId="2104"/>
    <cellStyle name="Normal GHG whole table 3 8" xfId="2059"/>
    <cellStyle name="Normal GHG whole table 3 8 2" xfId="3298"/>
    <cellStyle name="Normal GHG whole table 3 8 3" xfId="4393"/>
    <cellStyle name="Normal GHG whole table 3 9" xfId="1769"/>
    <cellStyle name="Normal GHG whole table 3 9 2" xfId="4299"/>
    <cellStyle name="Normal GHG whole table 4" xfId="436"/>
    <cellStyle name="Normal GHG whole table 4 2" xfId="458"/>
    <cellStyle name="Normal GHG whole table 4 2 2" xfId="1020"/>
    <cellStyle name="Normal GHG whole table 4 2 2 2" xfId="3960"/>
    <cellStyle name="Normal GHG whole table 4 2 2 3" xfId="2721"/>
    <cellStyle name="Normal GHG whole table 4 2 3" xfId="3409"/>
    <cellStyle name="Normal GHG whole table 4 2 3 2" xfId="4444"/>
    <cellStyle name="Normal GHG whole table 4 2 4" xfId="2170"/>
    <cellStyle name="Normal GHG whole table 4 3" xfId="605"/>
    <cellStyle name="Normal GHG whole table 4 3 2" xfId="3553"/>
    <cellStyle name="Normal GHG whole table 4 3 3" xfId="2314"/>
    <cellStyle name="Normal GHG whole table 4 4" xfId="2157"/>
    <cellStyle name="Normal GHG whole table 4 4 2" xfId="3396"/>
    <cellStyle name="Normal GHG whole table 4 4 3" xfId="4435"/>
    <cellStyle name="Normal GHG whole table 4 5" xfId="1335"/>
    <cellStyle name="Normal GHG whole table 4 5 2" xfId="4219"/>
    <cellStyle name="Normal GHG whole table 4 6" xfId="2982"/>
    <cellStyle name="Normal GHG whole table 4 7" xfId="1300"/>
    <cellStyle name="Normal GHG whole table 5" xfId="378"/>
    <cellStyle name="Normal GHG whole table 5 2" xfId="1032"/>
    <cellStyle name="Normal GHG whole table 5 2 2" xfId="3972"/>
    <cellStyle name="Normal GHG whole table 5 2 3" xfId="2733"/>
    <cellStyle name="Normal GHG whole table 5 3" xfId="2119"/>
    <cellStyle name="Normal GHG whole table 5 3 2" xfId="3358"/>
    <cellStyle name="Normal GHG whole table 5 3 3" xfId="4420"/>
    <cellStyle name="Normal GHG whole table 5 4" xfId="1762"/>
    <cellStyle name="Normal GHG whole table 5 4 2" xfId="4222"/>
    <cellStyle name="Normal GHG whole table 5 5" xfId="3002"/>
    <cellStyle name="Normal GHG whole table 5 6" xfId="1315"/>
    <cellStyle name="Normal GHG whole table 6" xfId="704"/>
    <cellStyle name="Normal GHG whole table 6 2" xfId="1044"/>
    <cellStyle name="Normal GHG whole table 6 2 2" xfId="3984"/>
    <cellStyle name="Normal GHG whole table 6 2 3" xfId="2745"/>
    <cellStyle name="Normal GHG whole table 6 3" xfId="2409"/>
    <cellStyle name="Normal GHG whole table 6 3 2" xfId="3648"/>
    <cellStyle name="Normal GHG whole table 6 3 3" xfId="4614"/>
    <cellStyle name="Normal GHG whole table 6 4" xfId="1782"/>
    <cellStyle name="Normal GHG whole table 6 5" xfId="3022"/>
    <cellStyle name="Normal GHG whole table 6 6" xfId="1485"/>
    <cellStyle name="Normal GHG whole table 7" xfId="643"/>
    <cellStyle name="Normal GHG whole table 7 2" xfId="1012"/>
    <cellStyle name="Normal GHG whole table 7 2 2" xfId="3952"/>
    <cellStyle name="Normal GHG whole table 7 2 3" xfId="2713"/>
    <cellStyle name="Normal GHG whole table 7 3" xfId="2350"/>
    <cellStyle name="Normal GHG whole table 7 4" xfId="3589"/>
    <cellStyle name="Normal GHG whole table 7 5" xfId="1400"/>
    <cellStyle name="Normal GHG whole table 8" xfId="407"/>
    <cellStyle name="Normal GHG whole table 8 2" xfId="3377"/>
    <cellStyle name="Normal GHG whole table 8 3" xfId="2138"/>
    <cellStyle name="Normal GHG whole table 9" xfId="1336"/>
    <cellStyle name="Normal GHG whole table 9 2" xfId="4227"/>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10" xfId="1784"/>
    <cellStyle name="Pattern 11" xfId="899"/>
    <cellStyle name="Pattern 2" xfId="275"/>
    <cellStyle name="Pattern 2 10" xfId="1383"/>
    <cellStyle name="Pattern 2 2" xfId="481"/>
    <cellStyle name="Pattern 2 2 2" xfId="748"/>
    <cellStyle name="Pattern 2 2 2 2" xfId="1070"/>
    <cellStyle name="Pattern 2 2 2 2 2" xfId="4010"/>
    <cellStyle name="Pattern 2 2 2 2 3" xfId="2771"/>
    <cellStyle name="Pattern 2 2 2 3" xfId="2453"/>
    <cellStyle name="Pattern 2 2 2 4" xfId="3692"/>
    <cellStyle name="Pattern 2 2 2 5" xfId="1534"/>
    <cellStyle name="Pattern 2 2 3" xfId="665"/>
    <cellStyle name="Pattern 2 2 3 2" xfId="3609"/>
    <cellStyle name="Pattern 2 2 3 3" xfId="2370"/>
    <cellStyle name="Pattern 2 2 3 4" xfId="4583"/>
    <cellStyle name="Pattern 2 2 4" xfId="980"/>
    <cellStyle name="Pattern 2 2 4 2" xfId="3920"/>
    <cellStyle name="Pattern 2 2 4 3" xfId="2681"/>
    <cellStyle name="Pattern 2 2 5" xfId="2193"/>
    <cellStyle name="Pattern 2 2 5 2" xfId="3432"/>
    <cellStyle name="Pattern 2 2 5 3" xfId="4464"/>
    <cellStyle name="Pattern 2 2 6" xfId="1835"/>
    <cellStyle name="Pattern 2 2 6 2" xfId="4315"/>
    <cellStyle name="Pattern 2 2 7" xfId="3074"/>
    <cellStyle name="Pattern 2 2 8" xfId="1437"/>
    <cellStyle name="Pattern 2 3" xfId="546"/>
    <cellStyle name="Pattern 2 3 2" xfId="1104"/>
    <cellStyle name="Pattern 2 3 2 2" xfId="4044"/>
    <cellStyle name="Pattern 2 3 2 3" xfId="2805"/>
    <cellStyle name="Pattern 2 3 3" xfId="2255"/>
    <cellStyle name="Pattern 2 3 3 2" xfId="3494"/>
    <cellStyle name="Pattern 2 3 3 3" xfId="4516"/>
    <cellStyle name="Pattern 2 3 4" xfId="1883"/>
    <cellStyle name="Pattern 2 3 5" xfId="3122"/>
    <cellStyle name="Pattern 2 3 6" xfId="1583"/>
    <cellStyle name="Pattern 2 4" xfId="848"/>
    <cellStyle name="Pattern 2 4 2" xfId="1168"/>
    <cellStyle name="Pattern 2 4 2 2" xfId="4108"/>
    <cellStyle name="Pattern 2 4 2 3" xfId="2869"/>
    <cellStyle name="Pattern 2 4 3" xfId="2552"/>
    <cellStyle name="Pattern 2 4 3 2" xfId="3791"/>
    <cellStyle name="Pattern 2 4 3 3" xfId="4689"/>
    <cellStyle name="Pattern 2 4 4" xfId="1947"/>
    <cellStyle name="Pattern 2 4 5" xfId="3186"/>
    <cellStyle name="Pattern 2 4 6" xfId="1647"/>
    <cellStyle name="Pattern 2 5" xfId="908"/>
    <cellStyle name="Pattern 2 5 2" xfId="1230"/>
    <cellStyle name="Pattern 2 5 2 2" xfId="4170"/>
    <cellStyle name="Pattern 2 5 2 3" xfId="2931"/>
    <cellStyle name="Pattern 2 5 3" xfId="2609"/>
    <cellStyle name="Pattern 2 5 3 2" xfId="3848"/>
    <cellStyle name="Pattern 2 5 3 3" xfId="4745"/>
    <cellStyle name="Pattern 2 5 4" xfId="2009"/>
    <cellStyle name="Pattern 2 5 5" xfId="3248"/>
    <cellStyle name="Pattern 2 5 6" xfId="1709"/>
    <cellStyle name="Pattern 2 6" xfId="729"/>
    <cellStyle name="Pattern 2 6 2" xfId="2434"/>
    <cellStyle name="Pattern 2 6 3" xfId="3673"/>
    <cellStyle name="Pattern 2 6 4" xfId="1514"/>
    <cellStyle name="Pattern 2 6 5" xfId="4638"/>
    <cellStyle name="Pattern 2 7" xfId="393"/>
    <cellStyle name="Pattern 2 7 2" xfId="3366"/>
    <cellStyle name="Pattern 2 7 3" xfId="2127"/>
    <cellStyle name="Pattern 2 8" xfId="1812"/>
    <cellStyle name="Pattern 2 8 2" xfId="4279"/>
    <cellStyle name="Pattern 2 9" xfId="3051"/>
    <cellStyle name="Pattern 3" xfId="303"/>
    <cellStyle name="Pattern 3 10" xfId="3003"/>
    <cellStyle name="Pattern 3 11" xfId="1321"/>
    <cellStyle name="Pattern 3 2" xfId="517"/>
    <cellStyle name="Pattern 3 2 2" xfId="767"/>
    <cellStyle name="Pattern 3 2 2 2" xfId="2472"/>
    <cellStyle name="Pattern 3 2 2 3" xfId="3711"/>
    <cellStyle name="Pattern 3 2 2 4" xfId="1553"/>
    <cellStyle name="Pattern 3 2 2 5" xfId="4657"/>
    <cellStyle name="Pattern 3 2 3" xfId="974"/>
    <cellStyle name="Pattern 3 2 3 2" xfId="3914"/>
    <cellStyle name="Pattern 3 2 3 3" xfId="2675"/>
    <cellStyle name="Pattern 3 2 4" xfId="2226"/>
    <cellStyle name="Pattern 3 2 4 2" xfId="3465"/>
    <cellStyle name="Pattern 3 2 4 3" xfId="4489"/>
    <cellStyle name="Pattern 3 2 5" xfId="1854"/>
    <cellStyle name="Pattern 3 2 5 2" xfId="4333"/>
    <cellStyle name="Pattern 3 2 6" xfId="3093"/>
    <cellStyle name="Pattern 3 2 7" xfId="1408"/>
    <cellStyle name="Pattern 3 3" xfId="575"/>
    <cellStyle name="Pattern 3 3 2" xfId="806"/>
    <cellStyle name="Pattern 3 3 2 2" xfId="1123"/>
    <cellStyle name="Pattern 3 3 2 2 2" xfId="4063"/>
    <cellStyle name="Pattern 3 3 2 2 3" xfId="2824"/>
    <cellStyle name="Pattern 3 3 2 3" xfId="3749"/>
    <cellStyle name="Pattern 3 3 2 4" xfId="2510"/>
    <cellStyle name="Pattern 3 3 3" xfId="334"/>
    <cellStyle name="Pattern 3 3 3 2" xfId="3328"/>
    <cellStyle name="Pattern 3 3 3 3" xfId="2089"/>
    <cellStyle name="Pattern 3 3 4" xfId="2284"/>
    <cellStyle name="Pattern 3 3 4 2" xfId="3523"/>
    <cellStyle name="Pattern 3 3 4 3" xfId="4534"/>
    <cellStyle name="Pattern 3 3 5" xfId="1902"/>
    <cellStyle name="Pattern 3 3 6" xfId="3141"/>
    <cellStyle name="Pattern 3 3 7" xfId="1602"/>
    <cellStyle name="Pattern 3 4" xfId="867"/>
    <cellStyle name="Pattern 3 4 2" xfId="1187"/>
    <cellStyle name="Pattern 3 4 2 2" xfId="4127"/>
    <cellStyle name="Pattern 3 4 2 3" xfId="2888"/>
    <cellStyle name="Pattern 3 4 3" xfId="2571"/>
    <cellStyle name="Pattern 3 4 3 2" xfId="3810"/>
    <cellStyle name="Pattern 3 4 3 3" xfId="4708"/>
    <cellStyle name="Pattern 3 4 4" xfId="1966"/>
    <cellStyle name="Pattern 3 4 5" xfId="3205"/>
    <cellStyle name="Pattern 3 4 6" xfId="1666"/>
    <cellStyle name="Pattern 3 5" xfId="927"/>
    <cellStyle name="Pattern 3 5 2" xfId="1249"/>
    <cellStyle name="Pattern 3 5 2 2" xfId="4189"/>
    <cellStyle name="Pattern 3 5 2 3" xfId="2950"/>
    <cellStyle name="Pattern 3 5 3" xfId="2628"/>
    <cellStyle name="Pattern 3 5 3 2" xfId="3867"/>
    <cellStyle name="Pattern 3 5 3 3" xfId="4764"/>
    <cellStyle name="Pattern 3 5 4" xfId="2028"/>
    <cellStyle name="Pattern 3 5 5" xfId="3267"/>
    <cellStyle name="Pattern 3 5 6" xfId="1728"/>
    <cellStyle name="Pattern 3 6" xfId="647"/>
    <cellStyle name="Pattern 3 6 2" xfId="2354"/>
    <cellStyle name="Pattern 3 6 3" xfId="3593"/>
    <cellStyle name="Pattern 3 6 4" xfId="1410"/>
    <cellStyle name="Pattern 3 6 5" xfId="4572"/>
    <cellStyle name="Pattern 3 7" xfId="329"/>
    <cellStyle name="Pattern 3 7 2" xfId="3323"/>
    <cellStyle name="Pattern 3 7 3" xfId="2084"/>
    <cellStyle name="Pattern 3 8" xfId="2060"/>
    <cellStyle name="Pattern 3 8 2" xfId="3299"/>
    <cellStyle name="Pattern 3 8 3" xfId="4394"/>
    <cellStyle name="Pattern 3 9" xfId="1763"/>
    <cellStyle name="Pattern 3 9 2" xfId="4253"/>
    <cellStyle name="Pattern 4" xfId="321"/>
    <cellStyle name="Pattern 4 2" xfId="703"/>
    <cellStyle name="Pattern 4 2 2" xfId="1043"/>
    <cellStyle name="Pattern 4 2 2 2" xfId="3983"/>
    <cellStyle name="Pattern 4 2 2 3" xfId="2744"/>
    <cellStyle name="Pattern 4 2 3" xfId="3647"/>
    <cellStyle name="Pattern 4 2 3 2" xfId="4613"/>
    <cellStyle name="Pattern 4 2 4" xfId="2408"/>
    <cellStyle name="Pattern 4 3" xfId="956"/>
    <cellStyle name="Pattern 4 3 2" xfId="3896"/>
    <cellStyle name="Pattern 4 3 3" xfId="2657"/>
    <cellStyle name="Pattern 4 4" xfId="2076"/>
    <cellStyle name="Pattern 4 4 2" xfId="3315"/>
    <cellStyle name="Pattern 4 4 3" xfId="4410"/>
    <cellStyle name="Pattern 4 5" xfId="1781"/>
    <cellStyle name="Pattern 4 5 2" xfId="4291"/>
    <cellStyle name="Pattern 4 6" xfId="3021"/>
    <cellStyle name="Pattern 4 7" xfId="1484"/>
    <cellStyle name="Pattern 5" xfId="319"/>
    <cellStyle name="Pattern 5 2" xfId="1146"/>
    <cellStyle name="Pattern 5 2 2" xfId="4086"/>
    <cellStyle name="Pattern 5 2 3" xfId="2847"/>
    <cellStyle name="Pattern 5 3" xfId="2074"/>
    <cellStyle name="Pattern 5 3 2" xfId="3313"/>
    <cellStyle name="Pattern 5 3 3" xfId="4408"/>
    <cellStyle name="Pattern 5 4" xfId="1925"/>
    <cellStyle name="Pattern 5 4 2" xfId="4369"/>
    <cellStyle name="Pattern 5 5" xfId="3164"/>
    <cellStyle name="Pattern 5 6" xfId="1625"/>
    <cellStyle name="Pattern 6" xfId="604"/>
    <cellStyle name="Pattern 6 2" xfId="1023"/>
    <cellStyle name="Pattern 6 2 2" xfId="3963"/>
    <cellStyle name="Pattern 6 2 3" xfId="2724"/>
    <cellStyle name="Pattern 6 3" xfId="2313"/>
    <cellStyle name="Pattern 6 3 2" xfId="3552"/>
    <cellStyle name="Pattern 6 3 3" xfId="4555"/>
    <cellStyle name="Pattern 6 4" xfId="1301"/>
    <cellStyle name="Pattern 6 5" xfId="2986"/>
    <cellStyle name="Pattern 6 6" xfId="1339"/>
    <cellStyle name="Pattern 7" xfId="619"/>
    <cellStyle name="Pattern 7 2" xfId="1056"/>
    <cellStyle name="Pattern 7 2 2" xfId="3996"/>
    <cellStyle name="Pattern 7 2 3" xfId="2757"/>
    <cellStyle name="Pattern 7 3" xfId="2327"/>
    <cellStyle name="Pattern 7 4" xfId="3566"/>
    <cellStyle name="Pattern 7 5" xfId="1356"/>
    <cellStyle name="Pattern 8" xfId="626"/>
    <cellStyle name="Pattern 8 2" xfId="3573"/>
    <cellStyle name="Pattern 8 3" xfId="2334"/>
    <cellStyle name="Pattern 9" xfId="1468"/>
    <cellStyle name="Pattern 9 2" xfId="4288"/>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abeltitel 2" xfId="316"/>
    <cellStyle name="Tabeltitel 2 2" xfId="447"/>
    <cellStyle name="Tabeltitel 2 2 2" xfId="490"/>
    <cellStyle name="Tabeltitel 2 2 2 2" xfId="692"/>
    <cellStyle name="Tabeltitel 2 2 2 2 2" xfId="828"/>
    <cellStyle name="Tabeltitel 2 2 2 2 2 2" xfId="1145"/>
    <cellStyle name="Tabeltitel 2 2 2 2 2 2 2" xfId="4085"/>
    <cellStyle name="Tabeltitel 2 2 2 2 2 2 3" xfId="2846"/>
    <cellStyle name="Tabeltitel 2 2 2 2 2 3" xfId="2532"/>
    <cellStyle name="Tabeltitel 2 2 2 2 2 4" xfId="3771"/>
    <cellStyle name="Tabeltitel 2 2 2 2 2 5" xfId="1624"/>
    <cellStyle name="Tabeltitel 2 2 2 2 3" xfId="1011"/>
    <cellStyle name="Tabeltitel 2 2 2 2 3 2" xfId="3951"/>
    <cellStyle name="Tabeltitel 2 2 2 2 3 3" xfId="2712"/>
    <cellStyle name="Tabeltitel 2 2 2 2 4" xfId="2397"/>
    <cellStyle name="Tabeltitel 2 2 2 2 4 2" xfId="3636"/>
    <cellStyle name="Tabeltitel 2 2 2 2 4 3" xfId="4602"/>
    <cellStyle name="Tabeltitel 2 2 2 2 5" xfId="1924"/>
    <cellStyle name="Tabeltitel 2 2 2 2 5 2" xfId="4368"/>
    <cellStyle name="Tabeltitel 2 2 2 2 6" xfId="3163"/>
    <cellStyle name="Tabeltitel 2 2 2 2 7" xfId="1471"/>
    <cellStyle name="Tabeltitel 2 2 2 3" xfId="889"/>
    <cellStyle name="Tabeltitel 2 2 2 3 2" xfId="1209"/>
    <cellStyle name="Tabeltitel 2 2 2 3 2 2" xfId="4149"/>
    <cellStyle name="Tabeltitel 2 2 2 3 2 3" xfId="2910"/>
    <cellStyle name="Tabeltitel 2 2 2 3 3" xfId="2593"/>
    <cellStyle name="Tabeltitel 2 2 2 3 3 2" xfId="3832"/>
    <cellStyle name="Tabeltitel 2 2 2 3 3 3" xfId="4730"/>
    <cellStyle name="Tabeltitel 2 2 2 3 4" xfId="1988"/>
    <cellStyle name="Tabeltitel 2 2 2 3 5" xfId="3227"/>
    <cellStyle name="Tabeltitel 2 2 2 3 6" xfId="1688"/>
    <cellStyle name="Tabeltitel 2 2 2 4" xfId="674"/>
    <cellStyle name="Tabeltitel 2 2 2 4 2" xfId="3618"/>
    <cellStyle name="Tabeltitel 2 2 2 4 3" xfId="2379"/>
    <cellStyle name="Tabeltitel 2 2 2 4 4" xfId="4592"/>
    <cellStyle name="Tabeltitel 2 2 2 5" xfId="972"/>
    <cellStyle name="Tabeltitel 2 2 2 5 2" xfId="3912"/>
    <cellStyle name="Tabeltitel 2 2 2 5 3" xfId="2673"/>
    <cellStyle name="Tabeltitel 2 2 2 6" xfId="2202"/>
    <cellStyle name="Tabeltitel 2 2 2 6 2" xfId="3441"/>
    <cellStyle name="Tabeltitel 2 2 2 6 3" xfId="4473"/>
    <cellStyle name="Tabeltitel 2 2 2 7" xfId="1446"/>
    <cellStyle name="Tabeltitel 2 2 3" xfId="677"/>
    <cellStyle name="Tabeltitel 2 2 3 2" xfId="757"/>
    <cellStyle name="Tabeltitel 2 2 3 2 2" xfId="2462"/>
    <cellStyle name="Tabeltitel 2 2 3 2 3" xfId="3701"/>
    <cellStyle name="Tabeltitel 2 2 3 2 4" xfId="1543"/>
    <cellStyle name="Tabeltitel 2 2 3 2 5" xfId="4655"/>
    <cellStyle name="Tabeltitel 2 2 3 3" xfId="1076"/>
    <cellStyle name="Tabeltitel 2 2 3 3 2" xfId="4016"/>
    <cellStyle name="Tabeltitel 2 2 3 3 3" xfId="2777"/>
    <cellStyle name="Tabeltitel 2 2 3 4" xfId="2382"/>
    <cellStyle name="Tabeltitel 2 2 3 4 2" xfId="3621"/>
    <cellStyle name="Tabeltitel 2 2 3 4 3" xfId="4593"/>
    <cellStyle name="Tabeltitel 2 2 3 5" xfId="1844"/>
    <cellStyle name="Tabeltitel 2 2 3 6" xfId="3083"/>
    <cellStyle name="Tabeltitel 2 2 3 7" xfId="1450"/>
    <cellStyle name="Tabeltitel 2 2 4" xfId="796"/>
    <cellStyle name="Tabeltitel 2 2 4 2" xfId="1113"/>
    <cellStyle name="Tabeltitel 2 2 4 2 2" xfId="4053"/>
    <cellStyle name="Tabeltitel 2 2 4 2 3" xfId="2814"/>
    <cellStyle name="Tabeltitel 2 2 4 3" xfId="2500"/>
    <cellStyle name="Tabeltitel 2 2 4 3 2" xfId="3739"/>
    <cellStyle name="Tabeltitel 2 2 4 3 3" xfId="4667"/>
    <cellStyle name="Tabeltitel 2 2 4 4" xfId="1892"/>
    <cellStyle name="Tabeltitel 2 2 4 5" xfId="3131"/>
    <cellStyle name="Tabeltitel 2 2 4 6" xfId="1592"/>
    <cellStyle name="Tabeltitel 2 2 5" xfId="857"/>
    <cellStyle name="Tabeltitel 2 2 5 2" xfId="1177"/>
    <cellStyle name="Tabeltitel 2 2 5 2 2" xfId="4117"/>
    <cellStyle name="Tabeltitel 2 2 5 2 3" xfId="2878"/>
    <cellStyle name="Tabeltitel 2 2 5 3" xfId="2561"/>
    <cellStyle name="Tabeltitel 2 2 5 3 2" xfId="3800"/>
    <cellStyle name="Tabeltitel 2 2 5 3 3" xfId="4698"/>
    <cellStyle name="Tabeltitel 2 2 5 4" xfId="1956"/>
    <cellStyle name="Tabeltitel 2 2 5 5" xfId="3195"/>
    <cellStyle name="Tabeltitel 2 2 5 6" xfId="1656"/>
    <cellStyle name="Tabeltitel 2 2 6" xfId="917"/>
    <cellStyle name="Tabeltitel 2 2 6 2" xfId="1239"/>
    <cellStyle name="Tabeltitel 2 2 6 2 2" xfId="4179"/>
    <cellStyle name="Tabeltitel 2 2 6 2 3" xfId="2940"/>
    <cellStyle name="Tabeltitel 2 2 6 3" xfId="2618"/>
    <cellStyle name="Tabeltitel 2 2 6 3 2" xfId="3857"/>
    <cellStyle name="Tabeltitel 2 2 6 3 3" xfId="4754"/>
    <cellStyle name="Tabeltitel 2 2 6 4" xfId="2018"/>
    <cellStyle name="Tabeltitel 2 2 6 5" xfId="3257"/>
    <cellStyle name="Tabeltitel 2 2 6 6" xfId="1718"/>
    <cellStyle name="Tabeltitel 2 2 7" xfId="492"/>
    <cellStyle name="Tabeltitel 2 2 7 2" xfId="3443"/>
    <cellStyle name="Tabeltitel 2 2 7 3" xfId="2204"/>
    <cellStyle name="Tabeltitel 2 2 8" xfId="2161"/>
    <cellStyle name="Tabeltitel 2 2 8 2" xfId="3400"/>
    <cellStyle name="Tabeltitel 2 2 8 3" xfId="4438"/>
    <cellStyle name="Tabeltitel 2 3" xfId="457"/>
    <cellStyle name="Tabeltitel 2 3 2" xfId="839"/>
    <cellStyle name="Tabeltitel 2 3 2 2" xfId="1159"/>
    <cellStyle name="Tabeltitel 2 3 2 2 2" xfId="4099"/>
    <cellStyle name="Tabeltitel 2 3 2 2 3" xfId="2860"/>
    <cellStyle name="Tabeltitel 2 3 2 3" xfId="2543"/>
    <cellStyle name="Tabeltitel 2 3 2 4" xfId="3782"/>
    <cellStyle name="Tabeltitel 2 3 2 5" xfId="1638"/>
    <cellStyle name="Tabeltitel 2 3 3" xfId="644"/>
    <cellStyle name="Tabeltitel 2 3 3 2" xfId="3590"/>
    <cellStyle name="Tabeltitel 2 3 3 3" xfId="2351"/>
    <cellStyle name="Tabeltitel 2 3 3 4" xfId="4570"/>
    <cellStyle name="Tabeltitel 2 3 4" xfId="953"/>
    <cellStyle name="Tabeltitel 2 3 4 2" xfId="3893"/>
    <cellStyle name="Tabeltitel 2 3 4 3" xfId="2654"/>
    <cellStyle name="Tabeltitel 2 3 5" xfId="2169"/>
    <cellStyle name="Tabeltitel 2 3 5 2" xfId="3408"/>
    <cellStyle name="Tabeltitel 2 3 5 3" xfId="4443"/>
    <cellStyle name="Tabeltitel 2 3 6" xfId="1938"/>
    <cellStyle name="Tabeltitel 2 3 6 2" xfId="4382"/>
    <cellStyle name="Tabeltitel 2 3 7" xfId="3177"/>
    <cellStyle name="Tabeltitel 2 3 8" xfId="1403"/>
    <cellStyle name="Tabeltitel 2 4" xfId="471"/>
    <cellStyle name="Tabeltitel 2 4 2" xfId="403"/>
    <cellStyle name="Tabeltitel 2 4 2 2" xfId="3374"/>
    <cellStyle name="Tabeltitel 2 4 2 3" xfId="2135"/>
    <cellStyle name="Tabeltitel 2 4 2 4" xfId="4426"/>
    <cellStyle name="Tabeltitel 2 4 3" xfId="512"/>
    <cellStyle name="Tabeltitel 2 4 3 2" xfId="3461"/>
    <cellStyle name="Tabeltitel 2 4 3 3" xfId="2222"/>
    <cellStyle name="Tabeltitel 2 4 4" xfId="2183"/>
    <cellStyle name="Tabeltitel 2 4 5" xfId="3422"/>
    <cellStyle name="Tabeltitel 2 4 6" xfId="1305"/>
    <cellStyle name="Tabeltitel 2 5" xfId="368"/>
    <cellStyle name="Tabeltitel 2 5 2" xfId="3352"/>
    <cellStyle name="Tabeltitel 2 5 3" xfId="2113"/>
    <cellStyle name="Tabeltitel 2 6" xfId="2073"/>
    <cellStyle name="Tabeltitel 2 6 2" xfId="3312"/>
    <cellStyle name="Tabeltitel 2 6 3" xfId="4407"/>
    <cellStyle name="Tabeltitel 3" xfId="296"/>
    <cellStyle name="Tabeltitel 3 2" xfId="409"/>
    <cellStyle name="Tabeltitel 3 2 2" xfId="687"/>
    <cellStyle name="Tabeltitel 3 2 2 2" xfId="813"/>
    <cellStyle name="Tabeltitel 3 2 2 2 2" xfId="1130"/>
    <cellStyle name="Tabeltitel 3 2 2 2 2 2" xfId="4070"/>
    <cellStyle name="Tabeltitel 3 2 2 2 2 3" xfId="2831"/>
    <cellStyle name="Tabeltitel 3 2 2 2 3" xfId="2517"/>
    <cellStyle name="Tabeltitel 3 2 2 2 4" xfId="3756"/>
    <cellStyle name="Tabeltitel 3 2 2 2 5" xfId="1609"/>
    <cellStyle name="Tabeltitel 3 2 2 3" xfId="996"/>
    <cellStyle name="Tabeltitel 3 2 2 3 2" xfId="3936"/>
    <cellStyle name="Tabeltitel 3 2 2 3 3" xfId="2697"/>
    <cellStyle name="Tabeltitel 3 2 2 4" xfId="2392"/>
    <cellStyle name="Tabeltitel 3 2 2 4 2" xfId="3631"/>
    <cellStyle name="Tabeltitel 3 2 2 4 3" xfId="4600"/>
    <cellStyle name="Tabeltitel 3 2 2 5" xfId="1909"/>
    <cellStyle name="Tabeltitel 3 2 2 5 2" xfId="4366"/>
    <cellStyle name="Tabeltitel 3 2 2 6" xfId="3148"/>
    <cellStyle name="Tabeltitel 3 2 2 7" xfId="1463"/>
    <cellStyle name="Tabeltitel 3 2 3" xfId="874"/>
    <cellStyle name="Tabeltitel 3 2 3 2" xfId="1194"/>
    <cellStyle name="Tabeltitel 3 2 3 2 2" xfId="4134"/>
    <cellStyle name="Tabeltitel 3 2 3 2 3" xfId="2895"/>
    <cellStyle name="Tabeltitel 3 2 3 3" xfId="2578"/>
    <cellStyle name="Tabeltitel 3 2 3 3 2" xfId="3817"/>
    <cellStyle name="Tabeltitel 3 2 3 3 3" xfId="4715"/>
    <cellStyle name="Tabeltitel 3 2 3 4" xfId="1973"/>
    <cellStyle name="Tabeltitel 3 2 3 5" xfId="3212"/>
    <cellStyle name="Tabeltitel 3 2 3 6" xfId="1673"/>
    <cellStyle name="Tabeltitel 3 2 4" xfId="649"/>
    <cellStyle name="Tabeltitel 3 2 4 2" xfId="3595"/>
    <cellStyle name="Tabeltitel 3 2 4 3" xfId="2356"/>
    <cellStyle name="Tabeltitel 3 2 4 4" xfId="4574"/>
    <cellStyle name="Tabeltitel 3 2 5" xfId="623"/>
    <cellStyle name="Tabeltitel 3 2 5 2" xfId="3570"/>
    <cellStyle name="Tabeltitel 3 2 5 3" xfId="2331"/>
    <cellStyle name="Tabeltitel 3 2 6" xfId="2139"/>
    <cellStyle name="Tabeltitel 3 2 6 2" xfId="3378"/>
    <cellStyle name="Tabeltitel 3 2 6 3" xfId="4427"/>
    <cellStyle name="Tabeltitel 3 2 7" xfId="1413"/>
    <cellStyle name="Tabeltitel 3 3" xfId="608"/>
    <cellStyle name="Tabeltitel 3 3 2" xfId="706"/>
    <cellStyle name="Tabeltitel 3 3 2 2" xfId="1046"/>
    <cellStyle name="Tabeltitel 3 3 2 2 2" xfId="3986"/>
    <cellStyle name="Tabeltitel 3 3 2 2 3" xfId="2747"/>
    <cellStyle name="Tabeltitel 3 3 2 3" xfId="2411"/>
    <cellStyle name="Tabeltitel 3 3 2 4" xfId="3650"/>
    <cellStyle name="Tabeltitel 3 3 2 5" xfId="1488"/>
    <cellStyle name="Tabeltitel 3 3 3" xfId="977"/>
    <cellStyle name="Tabeltitel 3 3 3 2" xfId="3917"/>
    <cellStyle name="Tabeltitel 3 3 3 3" xfId="2678"/>
    <cellStyle name="Tabeltitel 3 3 4" xfId="2317"/>
    <cellStyle name="Tabeltitel 3 3 4 2" xfId="3556"/>
    <cellStyle name="Tabeltitel 3 3 4 3" xfId="4558"/>
    <cellStyle name="Tabeltitel 3 3 5" xfId="1785"/>
    <cellStyle name="Tabeltitel 3 3 6" xfId="3024"/>
    <cellStyle name="Tabeltitel 3 3 7" xfId="1345"/>
    <cellStyle name="Tabeltitel 3 4" xfId="695"/>
    <cellStyle name="Tabeltitel 3 4 2" xfId="1036"/>
    <cellStyle name="Tabeltitel 3 4 2 2" xfId="3976"/>
    <cellStyle name="Tabeltitel 3 4 2 3" xfId="2737"/>
    <cellStyle name="Tabeltitel 3 4 3" xfId="2400"/>
    <cellStyle name="Tabeltitel 3 4 3 2" xfId="3639"/>
    <cellStyle name="Tabeltitel 3 4 3 3" xfId="4605"/>
    <cellStyle name="Tabeltitel 3 4 4" xfId="1771"/>
    <cellStyle name="Tabeltitel 3 4 5" xfId="3011"/>
    <cellStyle name="Tabeltitel 3 4 6" xfId="1476"/>
    <cellStyle name="Tabeltitel 3 5" xfId="453"/>
    <cellStyle name="Tabeltitel 3 5 2" xfId="1021"/>
    <cellStyle name="Tabeltitel 3 5 2 2" xfId="3961"/>
    <cellStyle name="Tabeltitel 3 5 2 3" xfId="2722"/>
    <cellStyle name="Tabeltitel 3 5 3" xfId="2166"/>
    <cellStyle name="Tabeltitel 3 5 3 2" xfId="3405"/>
    <cellStyle name="Tabeltitel 3 5 3 3" xfId="4441"/>
    <cellStyle name="Tabeltitel 3 5 4" xfId="1288"/>
    <cellStyle name="Tabeltitel 3 5 5" xfId="2983"/>
    <cellStyle name="Tabeltitel 3 5 6" xfId="1319"/>
    <cellStyle name="Tabeltitel 3 6" xfId="519"/>
    <cellStyle name="Tabeltitel 3 6 2" xfId="1022"/>
    <cellStyle name="Tabeltitel 3 6 2 2" xfId="3962"/>
    <cellStyle name="Tabeltitel 3 6 2 3" xfId="2723"/>
    <cellStyle name="Tabeltitel 3 6 3" xfId="2228"/>
    <cellStyle name="Tabeltitel 3 6 3 2" xfId="3467"/>
    <cellStyle name="Tabeltitel 3 6 3 3" xfId="4491"/>
    <cellStyle name="Tabeltitel 3 6 4" xfId="1415"/>
    <cellStyle name="Tabeltitel 3 6 5" xfId="2984"/>
    <cellStyle name="Tabeltitel 3 6 6" xfId="1331"/>
    <cellStyle name="Tabeltitel 3 7" xfId="1074"/>
    <cellStyle name="Tabeltitel 3 7 2" xfId="4014"/>
    <cellStyle name="Tabeltitel 3 7 3" xfId="2775"/>
    <cellStyle name="Tabeltitel 3 8" xfId="793"/>
    <cellStyle name="Tabeltitel 3 8 2" xfId="3737"/>
    <cellStyle name="Tabeltitel 3 8 3" xfId="2498"/>
    <cellStyle name="Tabeltitel 3 9" xfId="2055"/>
    <cellStyle name="Tabeltitel 3 9 2" xfId="3294"/>
    <cellStyle name="Tabeltitel 3 9 3" xfId="4389"/>
    <cellStyle name="Tabeltitel 4" xfId="367"/>
    <cellStyle name="Tabeltitel 4 2" xfId="641"/>
    <cellStyle name="Tabeltitel 4 2 2" xfId="1017"/>
    <cellStyle name="Tabeltitel 4 2 2 2" xfId="3957"/>
    <cellStyle name="Tabeltitel 4 2 2 3" xfId="2718"/>
    <cellStyle name="Tabeltitel 4 2 3" xfId="2348"/>
    <cellStyle name="Tabeltitel 4 2 4" xfId="3587"/>
    <cellStyle name="Tabeltitel 4 2 5" xfId="1398"/>
    <cellStyle name="Tabeltitel 4 3" xfId="513"/>
    <cellStyle name="Tabeltitel 4 3 2" xfId="3462"/>
    <cellStyle name="Tabeltitel 4 3 3" xfId="2223"/>
    <cellStyle name="Tabeltitel 4 3 4" xfId="4486"/>
    <cellStyle name="Tabeltitel 4 4" xfId="558"/>
    <cellStyle name="Tabeltitel 4 4 2" xfId="3506"/>
    <cellStyle name="Tabeltitel 4 4 3" xfId="2267"/>
    <cellStyle name="Tabeltitel 4 5" xfId="2112"/>
    <cellStyle name="Tabeltitel 4 5 2" xfId="3351"/>
    <cellStyle name="Tabeltitel 4 5 3" xfId="4418"/>
    <cellStyle name="Tabeltitel 4 6" xfId="1299"/>
    <cellStyle name="Tabeltitel 4 6 2" xfId="4234"/>
    <cellStyle name="Tabeltitel 4 7" xfId="2979"/>
    <cellStyle name="Tabeltitel 4 8" xfId="1295"/>
    <cellStyle name="Tabeltitel 5" xfId="402"/>
    <cellStyle name="Tabeltitel 5 2" xfId="606"/>
    <cellStyle name="Tabeltitel 5 2 2" xfId="3554"/>
    <cellStyle name="Tabeltitel 5 2 3" xfId="2315"/>
    <cellStyle name="Tabeltitel 5 2 4" xfId="4556"/>
    <cellStyle name="Tabeltitel 5 3" xfId="565"/>
    <cellStyle name="Tabeltitel 5 3 2" xfId="3513"/>
    <cellStyle name="Tabeltitel 5 3 3" xfId="2274"/>
    <cellStyle name="Tabeltitel 5 4" xfId="2134"/>
    <cellStyle name="Tabeltitel 5 5" xfId="3373"/>
    <cellStyle name="Tabeltitel 5 6" xfId="1342"/>
    <cellStyle name="Tabeltitel 6" xfId="353"/>
    <cellStyle name="Tabeltitel 6 2" xfId="3341"/>
    <cellStyle name="Tabeltitel 6 3" xfId="2102"/>
    <cellStyle name="Tabeltitel 7" xfId="1361"/>
    <cellStyle name="Tabeltitel 7 2" xfId="2987"/>
    <cellStyle name="Tabeltitel 7 3" xfId="421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5">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118907.64508708497</c:v>
                </c:pt>
                <c:pt idx="1">
                  <c:v>49075.577252882344</c:v>
                </c:pt>
                <c:pt idx="2">
                  <c:v>636.673</c:v>
                </c:pt>
                <c:pt idx="3">
                  <c:v>15697.333036598164</c:v>
                </c:pt>
                <c:pt idx="4">
                  <c:v>224615.07144132801</c:v>
                </c:pt>
                <c:pt idx="5">
                  <c:v>136236.30161907867</c:v>
                </c:pt>
                <c:pt idx="6">
                  <c:v>685.12934748123587</c:v>
                </c:pt>
                <c:pt idx="7">
                  <c:v>0</c:v>
                </c:pt>
                <c:pt idx="8">
                  <c:v>0</c:v>
                </c:pt>
                <c:pt idx="9">
                  <c:v>0</c:v>
                </c:pt>
              </c:numCache>
            </c:numRef>
          </c:val>
          <c:extLst>
            <c:ext xmlns:c16="http://schemas.microsoft.com/office/drawing/2014/chart" uri="{C3380CC4-5D6E-409C-BE32-E72D297353CC}">
              <c16:uniqueId val="{00000000-0566-4809-803B-29E633ABF933}"/>
            </c:ext>
          </c:extLst>
        </c:ser>
        <c:dLbls>
          <c:showLegendKey val="0"/>
          <c:showVal val="0"/>
          <c:showCatName val="0"/>
          <c:showSerName val="0"/>
          <c:showPercent val="0"/>
          <c:showBubbleSize val="0"/>
        </c:dLbls>
        <c:gapWidth val="150"/>
        <c:axId val="147704832"/>
        <c:axId val="147714816"/>
      </c:barChart>
      <c:catAx>
        <c:axId val="147704832"/>
        <c:scaling>
          <c:orientation val="minMax"/>
        </c:scaling>
        <c:delete val="0"/>
        <c:axPos val="b"/>
        <c:numFmt formatCode="General" sourceLinked="0"/>
        <c:majorTickMark val="out"/>
        <c:minorTickMark val="none"/>
        <c:tickLblPos val="nextTo"/>
        <c:crossAx val="147714816"/>
        <c:crosses val="autoZero"/>
        <c:auto val="1"/>
        <c:lblAlgn val="ctr"/>
        <c:lblOffset val="100"/>
        <c:noMultiLvlLbl val="0"/>
      </c:catAx>
      <c:valAx>
        <c:axId val="147714816"/>
        <c:scaling>
          <c:orientation val="minMax"/>
        </c:scaling>
        <c:delete val="0"/>
        <c:axPos val="l"/>
        <c:majorGridlines/>
        <c:numFmt formatCode="#,##0" sourceLinked="1"/>
        <c:majorTickMark val="out"/>
        <c:minorTickMark val="none"/>
        <c:tickLblPos val="nextTo"/>
        <c:crossAx val="14770483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73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118907.64508708497</c:v>
                </c:pt>
                <c:pt idx="1">
                  <c:v>49075.577252882344</c:v>
                </c:pt>
                <c:pt idx="2">
                  <c:v>636.673</c:v>
                </c:pt>
                <c:pt idx="3">
                  <c:v>15697.333036598164</c:v>
                </c:pt>
                <c:pt idx="4">
                  <c:v>224615.07144132801</c:v>
                </c:pt>
                <c:pt idx="5">
                  <c:v>136236.30161907867</c:v>
                </c:pt>
                <c:pt idx="6">
                  <c:v>685.12934748123587</c:v>
                </c:pt>
                <c:pt idx="7">
                  <c:v>0</c:v>
                </c:pt>
                <c:pt idx="8">
                  <c:v>0</c:v>
                </c:pt>
                <c:pt idx="9">
                  <c:v>0</c:v>
                </c:pt>
              </c:numCache>
            </c:numRef>
          </c:val>
          <c:extLst>
            <c:ext xmlns:c16="http://schemas.microsoft.com/office/drawing/2014/chart" uri="{C3380CC4-5D6E-409C-BE32-E72D297353CC}">
              <c16:uniqueId val="{00000003-0A16-41E9-9138-01903F7750FF}"/>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20683.038853191683</c:v>
                </c:pt>
                <c:pt idx="2">
                  <c:v>10250.442042516801</c:v>
                </c:pt>
                <c:pt idx="3">
                  <c:v>130.62563488842557</c:v>
                </c:pt>
                <c:pt idx="4">
                  <c:v>3610.1390822555773</c:v>
                </c:pt>
                <c:pt idx="5">
                  <c:v>47021.505703392373</c:v>
                </c:pt>
                <c:pt idx="6">
                  <c:v>34470.100763761155</c:v>
                </c:pt>
                <c:pt idx="7">
                  <c:v>175.13416902697034</c:v>
                </c:pt>
                <c:pt idx="8">
                  <c:v>0</c:v>
                </c:pt>
                <c:pt idx="9">
                  <c:v>0</c:v>
                </c:pt>
              </c:numCache>
            </c:numRef>
          </c:val>
          <c:extLst>
            <c:ext xmlns:c16="http://schemas.microsoft.com/office/drawing/2014/chart" uri="{C3380CC4-5D6E-409C-BE32-E72D297353CC}">
              <c16:uniqueId val="{00000000-B14A-4CF8-997C-EBF941807EBE}"/>
            </c:ext>
          </c:extLst>
        </c:ser>
        <c:dLbls>
          <c:showLegendKey val="0"/>
          <c:showVal val="0"/>
          <c:showCatName val="0"/>
          <c:showSerName val="0"/>
          <c:showPercent val="0"/>
          <c:showBubbleSize val="0"/>
        </c:dLbls>
        <c:gapWidth val="150"/>
        <c:axId val="149731200"/>
        <c:axId val="149732736"/>
      </c:barChart>
      <c:catAx>
        <c:axId val="149731200"/>
        <c:scaling>
          <c:orientation val="minMax"/>
        </c:scaling>
        <c:delete val="0"/>
        <c:axPos val="b"/>
        <c:numFmt formatCode="General" sourceLinked="0"/>
        <c:majorTickMark val="out"/>
        <c:minorTickMark val="none"/>
        <c:tickLblPos val="nextTo"/>
        <c:crossAx val="149732736"/>
        <c:crosses val="autoZero"/>
        <c:auto val="1"/>
        <c:lblAlgn val="ctr"/>
        <c:lblOffset val="100"/>
        <c:noMultiLvlLbl val="0"/>
      </c:catAx>
      <c:valAx>
        <c:axId val="149732736"/>
        <c:scaling>
          <c:orientation val="minMax"/>
        </c:scaling>
        <c:delete val="0"/>
        <c:axPos val="l"/>
        <c:majorGridlines/>
        <c:numFmt formatCode="#,##0" sourceLinked="1"/>
        <c:majorTickMark val="out"/>
        <c:minorTickMark val="none"/>
        <c:tickLblPos val="nextTo"/>
        <c:crossAx val="14973120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20683.038853191683</c:v>
                </c:pt>
                <c:pt idx="2">
                  <c:v>10250.442042516801</c:v>
                </c:pt>
                <c:pt idx="3">
                  <c:v>130.62563488842557</c:v>
                </c:pt>
                <c:pt idx="4">
                  <c:v>3610.1390822555773</c:v>
                </c:pt>
                <c:pt idx="5">
                  <c:v>47021.505703392373</c:v>
                </c:pt>
                <c:pt idx="6">
                  <c:v>34470.100763761155</c:v>
                </c:pt>
                <c:pt idx="7">
                  <c:v>175.13416902697034</c:v>
                </c:pt>
                <c:pt idx="8">
                  <c:v>0</c:v>
                </c:pt>
                <c:pt idx="9">
                  <c:v>0</c:v>
                </c:pt>
              </c:numCache>
            </c:numRef>
          </c:val>
          <c:extLst>
            <c:ext xmlns:c16="http://schemas.microsoft.com/office/drawing/2014/chart" uri="{C3380CC4-5D6E-409C-BE32-E72D297353CC}">
              <c16:uniqueId val="{00000000-526E-4922-A92E-71ABCFEBF1B4}"/>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6" customFormat="1" ht="20.25" customHeight="1">
      <c r="A2" s="398" t="s">
        <v>671</v>
      </c>
      <c r="B2" s="399"/>
      <c r="C2" s="400"/>
    </row>
    <row r="3" spans="1:7" s="11" customFormat="1" ht="15" customHeight="1">
      <c r="A3" s="93"/>
      <c r="B3" s="74"/>
      <c r="C3" s="94"/>
    </row>
    <row r="4" spans="1:7" s="11" customFormat="1" ht="15.75" customHeight="1" thickBot="1">
      <c r="A4" s="105" t="s">
        <v>910</v>
      </c>
      <c r="B4" s="106"/>
      <c r="C4" s="107"/>
    </row>
    <row r="5" spans="1:7" s="393" customFormat="1" ht="15.75" customHeight="1">
      <c r="A5" s="390" t="s">
        <v>0</v>
      </c>
      <c r="B5" s="391"/>
      <c r="C5" s="392"/>
    </row>
    <row r="6" spans="1:7" s="393" customFormat="1" ht="15" customHeight="1">
      <c r="A6" s="394" t="str">
        <f>txtNIS</f>
        <v>13029</v>
      </c>
      <c r="B6" s="395"/>
      <c r="C6" s="396"/>
    </row>
    <row r="7" spans="1:7" s="393" customFormat="1" ht="15.75" customHeight="1">
      <c r="A7" s="397" t="str">
        <f>txtMunicipality</f>
        <v>OLEN</v>
      </c>
      <c r="B7" s="395"/>
      <c r="C7" s="396"/>
    </row>
    <row r="8" spans="1:7" ht="15.75" thickBot="1">
      <c r="A8" s="45"/>
      <c r="B8" s="108"/>
      <c r="C8" s="109"/>
    </row>
    <row r="9" spans="1:7" s="386" customFormat="1" ht="15.75" thickBot="1">
      <c r="A9" s="410" t="s">
        <v>356</v>
      </c>
      <c r="B9" s="413"/>
      <c r="C9" s="414"/>
    </row>
    <row r="10" spans="1:7" s="15" customFormat="1" ht="57.75" customHeight="1" thickBot="1">
      <c r="A10" s="1075" t="s">
        <v>673</v>
      </c>
      <c r="B10" s="1076"/>
      <c r="C10" s="1077"/>
    </row>
    <row r="11" spans="1:7" s="387" customFormat="1" ht="15.75" thickBot="1">
      <c r="A11" s="410" t="s">
        <v>359</v>
      </c>
      <c r="B11" s="413"/>
      <c r="C11" s="414"/>
      <c r="G11" s="388"/>
    </row>
    <row r="12" spans="1:7">
      <c r="A12" s="44"/>
      <c r="B12" s="43"/>
      <c r="C12" s="96"/>
    </row>
    <row r="13" spans="1:7" s="387" customFormat="1">
      <c r="A13" s="767" t="s">
        <v>628</v>
      </c>
      <c r="B13" s="384"/>
      <c r="C13" s="385"/>
      <c r="D13" s="386"/>
      <c r="E13" s="386"/>
      <c r="G13" s="388"/>
    </row>
    <row r="14" spans="1:7" s="387" customFormat="1">
      <c r="A14" s="389"/>
      <c r="B14" s="384"/>
      <c r="C14" s="385"/>
      <c r="D14" s="386"/>
      <c r="E14" s="386"/>
      <c r="G14" s="388"/>
    </row>
    <row r="15" spans="1:7" s="15" customFormat="1" ht="15.75" thickBot="1">
      <c r="A15" s="97"/>
      <c r="B15" s="43"/>
      <c r="C15" s="96"/>
      <c r="D15"/>
      <c r="E15"/>
      <c r="G15" s="68"/>
    </row>
    <row r="16" spans="1:7" s="386" customFormat="1" ht="32.25" customHeight="1" thickBot="1">
      <c r="A16" s="410" t="s">
        <v>360</v>
      </c>
      <c r="B16" s="1078" t="s">
        <v>532</v>
      </c>
      <c r="C16" s="1079"/>
    </row>
    <row r="17" spans="1:3" s="15" customFormat="1" ht="15.75">
      <c r="A17" s="98"/>
      <c r="B17" s="70"/>
      <c r="C17" s="99"/>
    </row>
    <row r="18" spans="1:3">
      <c r="A18" s="95" t="s">
        <v>363</v>
      </c>
      <c r="B18" s="69" t="s">
        <v>375</v>
      </c>
      <c r="C18" s="100" t="s">
        <v>374</v>
      </c>
    </row>
    <row r="19" spans="1:3" s="338" customFormat="1">
      <c r="A19" s="377" t="s">
        <v>361</v>
      </c>
      <c r="B19" s="378" t="s">
        <v>674</v>
      </c>
      <c r="C19" s="379" t="s">
        <v>530</v>
      </c>
    </row>
    <row r="20" spans="1:3" s="338" customFormat="1">
      <c r="A20" s="380"/>
      <c r="B20" s="335"/>
      <c r="C20" s="381"/>
    </row>
    <row r="21" spans="1:3" s="338" customFormat="1">
      <c r="A21" s="382" t="s">
        <v>362</v>
      </c>
      <c r="B21" s="378" t="s">
        <v>527</v>
      </c>
      <c r="C21" s="379" t="s">
        <v>531</v>
      </c>
    </row>
    <row r="22" spans="1:3" s="338" customFormat="1">
      <c r="A22" s="383"/>
      <c r="B22" s="335"/>
      <c r="C22" s="381"/>
    </row>
    <row r="23" spans="1:3" s="338" customFormat="1" ht="30">
      <c r="A23" s="377" t="s">
        <v>444</v>
      </c>
      <c r="B23" s="449" t="s">
        <v>448</v>
      </c>
      <c r="C23" s="379" t="s">
        <v>528</v>
      </c>
    </row>
    <row r="24" spans="1:3" s="338" customFormat="1">
      <c r="A24" s="383"/>
      <c r="B24" s="335"/>
      <c r="C24" s="381"/>
    </row>
    <row r="25" spans="1:3" s="338" customFormat="1">
      <c r="A25" s="377" t="s">
        <v>446</v>
      </c>
      <c r="B25" s="378" t="s">
        <v>445</v>
      </c>
      <c r="C25" s="379" t="s">
        <v>529</v>
      </c>
    </row>
    <row r="26" spans="1:3" s="338" customFormat="1">
      <c r="A26" s="383"/>
      <c r="B26" s="335"/>
      <c r="C26" s="381"/>
    </row>
    <row r="27" spans="1:3" s="338" customFormat="1">
      <c r="A27" s="377" t="s">
        <v>417</v>
      </c>
      <c r="B27" s="378" t="s">
        <v>443</v>
      </c>
      <c r="C27" s="379"/>
    </row>
    <row r="28" spans="1:3" s="338" customFormat="1">
      <c r="A28" s="383"/>
      <c r="B28" s="335" t="s">
        <v>585</v>
      </c>
      <c r="C28" s="381"/>
    </row>
    <row r="29" spans="1:3" ht="15.75" thickBot="1">
      <c r="A29" s="44"/>
      <c r="B29" s="43"/>
      <c r="C29" s="96"/>
    </row>
    <row r="30" spans="1:3" s="386" customFormat="1" ht="15.75" thickBot="1">
      <c r="A30" s="410" t="s">
        <v>372</v>
      </c>
      <c r="B30" s="411"/>
      <c r="C30" s="412"/>
    </row>
    <row r="31" spans="1:3" s="15" customFormat="1" ht="15.75">
      <c r="A31" s="98"/>
      <c r="B31" s="71"/>
      <c r="C31" s="102"/>
    </row>
    <row r="32" spans="1:3" s="15" customFormat="1">
      <c r="A32" s="103" t="s">
        <v>373</v>
      </c>
      <c r="B32" s="73" t="s">
        <v>375</v>
      </c>
      <c r="C32" s="104"/>
    </row>
    <row r="33" spans="1:3" s="404" customFormat="1">
      <c r="A33" s="401" t="s">
        <v>364</v>
      </c>
      <c r="B33" s="402" t="s">
        <v>376</v>
      </c>
      <c r="C33" s="403"/>
    </row>
    <row r="34" spans="1:3" s="404" customFormat="1">
      <c r="A34" s="405" t="s">
        <v>365</v>
      </c>
      <c r="B34" s="406" t="s">
        <v>366</v>
      </c>
      <c r="C34" s="407"/>
    </row>
    <row r="35" spans="1:3" s="404" customFormat="1">
      <c r="A35" s="408" t="s">
        <v>367</v>
      </c>
      <c r="B35" s="406" t="s">
        <v>368</v>
      </c>
      <c r="C35" s="407"/>
    </row>
    <row r="36" spans="1:3" s="404" customFormat="1">
      <c r="A36" s="409" t="s">
        <v>369</v>
      </c>
      <c r="B36" s="406" t="s">
        <v>370</v>
      </c>
      <c r="C36" s="407"/>
    </row>
    <row r="37" spans="1:3" s="404" customFormat="1" ht="30">
      <c r="A37" s="437" t="s">
        <v>371</v>
      </c>
      <c r="B37" s="406" t="s">
        <v>476</v>
      </c>
      <c r="C37" s="407"/>
    </row>
    <row r="38" spans="1:3" ht="15.75" thickBot="1">
      <c r="A38" s="438"/>
      <c r="B38" s="439"/>
      <c r="C38" s="44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6" customFormat="1" ht="55.5" customHeight="1" thickBot="1">
      <c r="A2" s="415" t="s">
        <v>384</v>
      </c>
      <c r="B2" s="789"/>
      <c r="C2" s="414"/>
    </row>
    <row r="3" spans="1:3" s="15" customFormat="1" ht="15.75">
      <c r="A3" s="98"/>
      <c r="B3" s="70"/>
      <c r="C3" s="99"/>
    </row>
    <row r="4" spans="1:3" s="332" customFormat="1">
      <c r="A4" s="394" t="s">
        <v>363</v>
      </c>
      <c r="B4" s="416" t="s">
        <v>375</v>
      </c>
      <c r="C4" s="417" t="s">
        <v>374</v>
      </c>
    </row>
    <row r="5" spans="1:3" s="332" customFormat="1">
      <c r="A5" s="418"/>
      <c r="B5" s="338"/>
      <c r="C5" s="370"/>
    </row>
    <row r="6" spans="1:3" s="332" customFormat="1">
      <c r="A6" s="419" t="s">
        <v>358</v>
      </c>
      <c r="B6" s="420" t="s">
        <v>675</v>
      </c>
      <c r="C6" s="421" t="s">
        <v>357</v>
      </c>
    </row>
    <row r="7" spans="1:3" s="332" customFormat="1">
      <c r="A7" s="422" t="s">
        <v>654</v>
      </c>
      <c r="B7" s="423" t="s">
        <v>614</v>
      </c>
      <c r="C7" s="424" t="s">
        <v>613</v>
      </c>
    </row>
    <row r="8" spans="1:3" s="332" customFormat="1">
      <c r="A8" s="451"/>
      <c r="B8" s="423"/>
      <c r="C8" s="424"/>
    </row>
    <row r="9" spans="1:3" ht="21">
      <c r="A9" s="126" t="s">
        <v>477</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2" customWidth="1"/>
    <col min="2" max="2" width="22.85546875" style="45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2"/>
  </cols>
  <sheetData>
    <row r="2" spans="1:19" ht="15.75">
      <c r="A2" s="1080" t="s">
        <v>220</v>
      </c>
      <c r="B2" s="1080"/>
      <c r="C2" s="1080"/>
      <c r="D2" s="59"/>
      <c r="E2" s="59"/>
      <c r="F2" s="59"/>
      <c r="G2" s="59"/>
      <c r="H2" s="60"/>
      <c r="I2" s="60"/>
      <c r="J2" s="61"/>
      <c r="K2" s="61"/>
      <c r="L2" s="60"/>
      <c r="M2" s="60"/>
      <c r="N2" s="60"/>
      <c r="O2" s="60"/>
      <c r="P2" s="60"/>
      <c r="Q2" s="60"/>
      <c r="R2" s="60"/>
    </row>
    <row r="3" spans="1:19">
      <c r="A3" s="1081"/>
      <c r="B3" s="1081"/>
      <c r="C3" s="1081"/>
      <c r="D3" s="1081"/>
      <c r="E3" s="1081"/>
      <c r="F3" s="1081"/>
      <c r="G3" s="1081"/>
      <c r="H3" s="1081"/>
      <c r="I3" s="1081"/>
      <c r="J3" s="1081"/>
      <c r="K3" s="1081"/>
      <c r="L3" s="1081"/>
      <c r="M3" s="1081"/>
      <c r="N3" s="1081"/>
      <c r="O3" s="1081"/>
      <c r="P3" s="1081"/>
      <c r="Q3" s="1081"/>
      <c r="R3" s="1081"/>
    </row>
    <row r="4" spans="1:19" ht="15.75" thickBot="1">
      <c r="A4" s="453"/>
      <c r="B4" s="453"/>
      <c r="C4" s="63"/>
      <c r="D4" s="63"/>
      <c r="E4" s="63"/>
      <c r="F4" s="63"/>
      <c r="G4" s="63"/>
      <c r="H4" s="63"/>
      <c r="I4" s="63"/>
      <c r="J4" s="63"/>
      <c r="K4" s="63"/>
      <c r="L4" s="63"/>
      <c r="M4" s="63"/>
      <c r="N4" s="63"/>
      <c r="O4" s="63"/>
      <c r="P4" s="63"/>
      <c r="Q4" s="63"/>
      <c r="R4" s="63"/>
    </row>
    <row r="5" spans="1:19" ht="16.5" thickBot="1">
      <c r="A5" s="1082" t="s">
        <v>221</v>
      </c>
      <c r="B5" s="792"/>
      <c r="C5" s="1085" t="s">
        <v>342</v>
      </c>
      <c r="D5" s="1086"/>
      <c r="E5" s="1086"/>
      <c r="F5" s="1086"/>
      <c r="G5" s="1086"/>
      <c r="H5" s="1086"/>
      <c r="I5" s="1086"/>
      <c r="J5" s="1086"/>
      <c r="K5" s="1086"/>
      <c r="L5" s="1086"/>
      <c r="M5" s="1086"/>
      <c r="N5" s="1086"/>
      <c r="O5" s="1086"/>
      <c r="P5" s="1086"/>
      <c r="Q5" s="1086"/>
      <c r="R5" s="1087"/>
    </row>
    <row r="6" spans="1:19" ht="16.5" thickTop="1">
      <c r="A6" s="1083"/>
      <c r="B6" s="793"/>
      <c r="C6" s="1088" t="s">
        <v>20</v>
      </c>
      <c r="D6" s="1090" t="s">
        <v>195</v>
      </c>
      <c r="E6" s="1092" t="s">
        <v>196</v>
      </c>
      <c r="F6" s="1093"/>
      <c r="G6" s="1093"/>
      <c r="H6" s="1093"/>
      <c r="I6" s="1093"/>
      <c r="J6" s="1093"/>
      <c r="K6" s="1093"/>
      <c r="L6" s="1094"/>
      <c r="M6" s="1092" t="s">
        <v>197</v>
      </c>
      <c r="N6" s="1093"/>
      <c r="O6" s="1093"/>
      <c r="P6" s="1093"/>
      <c r="Q6" s="1093"/>
      <c r="R6" s="1095" t="s">
        <v>115</v>
      </c>
    </row>
    <row r="7" spans="1:19" ht="45.75" thickBot="1">
      <c r="A7" s="1084"/>
      <c r="B7" s="794"/>
      <c r="C7" s="1089"/>
      <c r="D7" s="1091"/>
      <c r="E7" s="988" t="s">
        <v>198</v>
      </c>
      <c r="F7" s="988" t="s">
        <v>199</v>
      </c>
      <c r="G7" s="64" t="s">
        <v>200</v>
      </c>
      <c r="H7" s="988" t="s">
        <v>201</v>
      </c>
      <c r="I7" s="988" t="s">
        <v>119</v>
      </c>
      <c r="J7" s="988" t="s">
        <v>202</v>
      </c>
      <c r="K7" s="450" t="s">
        <v>203</v>
      </c>
      <c r="L7" s="450" t="s">
        <v>204</v>
      </c>
      <c r="M7" s="64" t="s">
        <v>205</v>
      </c>
      <c r="N7" s="65" t="s">
        <v>206</v>
      </c>
      <c r="O7" s="65" t="s">
        <v>207</v>
      </c>
      <c r="P7" s="65" t="s">
        <v>208</v>
      </c>
      <c r="Q7" s="66" t="s">
        <v>209</v>
      </c>
      <c r="R7" s="1096"/>
    </row>
    <row r="8" spans="1:19" ht="18.75" customHeight="1" thickTop="1">
      <c r="A8" s="800" t="s">
        <v>343</v>
      </c>
      <c r="B8" s="805"/>
      <c r="C8" s="1101"/>
      <c r="D8" s="1101"/>
      <c r="E8" s="1101"/>
      <c r="F8" s="1101"/>
      <c r="G8" s="1101"/>
      <c r="H8" s="1101"/>
      <c r="I8" s="1101"/>
      <c r="J8" s="1101"/>
      <c r="K8" s="1101"/>
      <c r="L8" s="1101"/>
      <c r="M8" s="1101"/>
      <c r="N8" s="1101"/>
      <c r="O8" s="1101"/>
      <c r="P8" s="1101"/>
      <c r="Q8" s="1101"/>
      <c r="R8" s="308"/>
    </row>
    <row r="9" spans="1:19" s="454" customFormat="1">
      <c r="A9" s="801" t="s">
        <v>222</v>
      </c>
      <c r="B9" s="806"/>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54" customFormat="1">
      <c r="A10" s="802" t="s">
        <v>223</v>
      </c>
      <c r="B10" s="807"/>
      <c r="C10" s="686">
        <f ca="1">tertiair!B16+'openbare verlichting'!B8</f>
        <v>22086.790634579826</v>
      </c>
      <c r="D10" s="686">
        <f ca="1">tertiair!C16</f>
        <v>0</v>
      </c>
      <c r="E10" s="686">
        <f ca="1">tertiair!D16</f>
        <v>23196.79265911007</v>
      </c>
      <c r="F10" s="686">
        <f>tertiair!E16</f>
        <v>318.50371367332571</v>
      </c>
      <c r="G10" s="686">
        <f ca="1">tertiair!F16</f>
        <v>4087.9699121857957</v>
      </c>
      <c r="H10" s="686">
        <f>tertiair!G16</f>
        <v>0</v>
      </c>
      <c r="I10" s="686">
        <f>tertiair!H16</f>
        <v>0</v>
      </c>
      <c r="J10" s="686">
        <f>tertiair!I16</f>
        <v>0</v>
      </c>
      <c r="K10" s="686">
        <f>tertiair!J16</f>
        <v>0</v>
      </c>
      <c r="L10" s="686">
        <f>tertiair!K16</f>
        <v>0</v>
      </c>
      <c r="M10" s="686">
        <f ca="1">tertiair!L16</f>
        <v>0</v>
      </c>
      <c r="N10" s="686">
        <f>tertiair!M16</f>
        <v>0</v>
      </c>
      <c r="O10" s="686">
        <f ca="1">tertiair!N16</f>
        <v>0</v>
      </c>
      <c r="P10" s="686">
        <f>tertiair!O16</f>
        <v>3.1266666666666669</v>
      </c>
      <c r="Q10" s="687">
        <f>tertiair!P16</f>
        <v>19.066666666666666</v>
      </c>
      <c r="R10" s="689">
        <f ca="1">SUM(C10:Q10)</f>
        <v>49712.250252882339</v>
      </c>
      <c r="S10" s="67"/>
    </row>
    <row r="11" spans="1:19" s="454" customFormat="1">
      <c r="A11" s="801" t="s">
        <v>224</v>
      </c>
      <c r="B11" s="806"/>
      <c r="C11" s="686">
        <f>huishoudens!B8</f>
        <v>20151.953215462876</v>
      </c>
      <c r="D11" s="686">
        <f>huishoudens!C8</f>
        <v>0</v>
      </c>
      <c r="E11" s="686">
        <f>huishoudens!D8</f>
        <v>56943.28013095128</v>
      </c>
      <c r="F11" s="686">
        <f>huishoudens!E8</f>
        <v>9215.691087578547</v>
      </c>
      <c r="G11" s="686">
        <f>huishoudens!F8</f>
        <v>11063.580587495509</v>
      </c>
      <c r="H11" s="686">
        <f>huishoudens!G8</f>
        <v>0</v>
      </c>
      <c r="I11" s="686">
        <f>huishoudens!H8</f>
        <v>0</v>
      </c>
      <c r="J11" s="686">
        <f>huishoudens!I8</f>
        <v>0</v>
      </c>
      <c r="K11" s="686">
        <f>huishoudens!J8</f>
        <v>0</v>
      </c>
      <c r="L11" s="686">
        <f>huishoudens!K8</f>
        <v>0</v>
      </c>
      <c r="M11" s="686">
        <f>huishoudens!L8</f>
        <v>0</v>
      </c>
      <c r="N11" s="686">
        <f>huishoudens!M8</f>
        <v>0</v>
      </c>
      <c r="O11" s="686">
        <f>huishoudens!N8</f>
        <v>20831.660065596734</v>
      </c>
      <c r="P11" s="686">
        <f>huishoudens!O8</f>
        <v>243.88000000000002</v>
      </c>
      <c r="Q11" s="687">
        <f>huishoudens!P8</f>
        <v>457.6</v>
      </c>
      <c r="R11" s="689">
        <f>SUM(C11:Q11)</f>
        <v>118907.64508708497</v>
      </c>
      <c r="S11" s="67"/>
    </row>
    <row r="12" spans="1:19" s="454" customFormat="1">
      <c r="A12" s="801" t="s">
        <v>509</v>
      </c>
      <c r="B12" s="806"/>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54" customFormat="1">
      <c r="A13" s="801" t="s">
        <v>658</v>
      </c>
      <c r="B13" s="810" t="s">
        <v>656</v>
      </c>
      <c r="C13" s="686">
        <f>industrie!B18</f>
        <v>73011.189852326323</v>
      </c>
      <c r="D13" s="686">
        <f>industrie!C18</f>
        <v>0</v>
      </c>
      <c r="E13" s="686">
        <f>industrie!D18</f>
        <v>87043.11880259098</v>
      </c>
      <c r="F13" s="686">
        <f>industrie!E18</f>
        <v>5192.9687994590868</v>
      </c>
      <c r="G13" s="686">
        <f>industrie!F18</f>
        <v>49583.619094702291</v>
      </c>
      <c r="H13" s="686">
        <f>industrie!G18</f>
        <v>0</v>
      </c>
      <c r="I13" s="686">
        <f>industrie!H18</f>
        <v>0</v>
      </c>
      <c r="J13" s="686">
        <f>industrie!I18</f>
        <v>0</v>
      </c>
      <c r="K13" s="686">
        <f>industrie!J18</f>
        <v>117.30057810376063</v>
      </c>
      <c r="L13" s="686">
        <f>industrie!K18</f>
        <v>0</v>
      </c>
      <c r="M13" s="686">
        <f>industrie!L18</f>
        <v>0</v>
      </c>
      <c r="N13" s="686">
        <f>industrie!M18</f>
        <v>0</v>
      </c>
      <c r="O13" s="686">
        <f>industrie!N18</f>
        <v>9666.8743141455889</v>
      </c>
      <c r="P13" s="686">
        <f>industrie!O18</f>
        <v>0</v>
      </c>
      <c r="Q13" s="687">
        <f>industrie!P18</f>
        <v>0</v>
      </c>
      <c r="R13" s="689">
        <f>SUM(C13:Q13)</f>
        <v>224615.07144132801</v>
      </c>
      <c r="S13" s="67"/>
    </row>
    <row r="14" spans="1:19" s="454" customFormat="1">
      <c r="A14" s="801"/>
      <c r="B14" s="810" t="s">
        <v>657</v>
      </c>
      <c r="C14" s="686"/>
      <c r="D14" s="686"/>
      <c r="E14" s="686"/>
      <c r="F14" s="686"/>
      <c r="G14" s="686"/>
      <c r="H14" s="686"/>
      <c r="I14" s="686"/>
      <c r="J14" s="686"/>
      <c r="K14" s="686"/>
      <c r="L14" s="686"/>
      <c r="M14" s="686"/>
      <c r="N14" s="686"/>
      <c r="O14" s="686"/>
      <c r="P14" s="686"/>
      <c r="Q14" s="686"/>
      <c r="R14" s="689"/>
      <c r="S14" s="67"/>
    </row>
    <row r="15" spans="1:19" s="454" customFormat="1" ht="15" thickBot="1">
      <c r="A15" s="990" t="s">
        <v>854</v>
      </c>
      <c r="B15" s="991"/>
      <c r="C15" s="992"/>
      <c r="D15" s="992"/>
      <c r="E15" s="992"/>
      <c r="F15" s="992"/>
      <c r="G15" s="992"/>
      <c r="H15" s="992"/>
      <c r="I15" s="992"/>
      <c r="J15" s="992"/>
      <c r="K15" s="992"/>
      <c r="L15" s="992"/>
      <c r="M15" s="992"/>
      <c r="N15" s="992"/>
      <c r="O15" s="992"/>
      <c r="P15" s="992"/>
      <c r="Q15" s="993"/>
      <c r="R15" s="688"/>
      <c r="S15" s="67"/>
    </row>
    <row r="16" spans="1:19" s="454" customFormat="1" ht="15.75" thickBot="1">
      <c r="A16" s="690" t="s">
        <v>225</v>
      </c>
      <c r="B16" s="808"/>
      <c r="C16" s="721">
        <f ca="1">SUM(C9:C15)</f>
        <v>115249.93370236902</v>
      </c>
      <c r="D16" s="721">
        <f t="shared" ref="D16:R16" ca="1" si="0">SUM(D9:D15)</f>
        <v>0</v>
      </c>
      <c r="E16" s="721">
        <f t="shared" ca="1" si="0"/>
        <v>167183.19159265235</v>
      </c>
      <c r="F16" s="721">
        <f t="shared" si="0"/>
        <v>14727.163600710959</v>
      </c>
      <c r="G16" s="721">
        <f t="shared" ca="1" si="0"/>
        <v>64735.169594383595</v>
      </c>
      <c r="H16" s="721">
        <f t="shared" si="0"/>
        <v>0</v>
      </c>
      <c r="I16" s="721">
        <f t="shared" si="0"/>
        <v>0</v>
      </c>
      <c r="J16" s="721">
        <f t="shared" si="0"/>
        <v>0</v>
      </c>
      <c r="K16" s="721">
        <f t="shared" si="0"/>
        <v>117.30057810376063</v>
      </c>
      <c r="L16" s="721">
        <f t="shared" si="0"/>
        <v>0</v>
      </c>
      <c r="M16" s="721">
        <f t="shared" ca="1" si="0"/>
        <v>0</v>
      </c>
      <c r="N16" s="721">
        <f t="shared" si="0"/>
        <v>0</v>
      </c>
      <c r="O16" s="721">
        <f t="shared" ca="1" si="0"/>
        <v>30498.534379742323</v>
      </c>
      <c r="P16" s="721">
        <f t="shared" si="0"/>
        <v>247.00666666666669</v>
      </c>
      <c r="Q16" s="721">
        <f t="shared" si="0"/>
        <v>476.66666666666669</v>
      </c>
      <c r="R16" s="721">
        <f t="shared" ca="1" si="0"/>
        <v>393234.96678129531</v>
      </c>
      <c r="S16" s="67"/>
    </row>
    <row r="17" spans="1:19" s="454" customFormat="1" ht="15.75">
      <c r="A17" s="803" t="s">
        <v>226</v>
      </c>
      <c r="B17" s="725"/>
      <c r="C17" s="1102"/>
      <c r="D17" s="1102"/>
      <c r="E17" s="1102"/>
      <c r="F17" s="1102"/>
      <c r="G17" s="1102"/>
      <c r="H17" s="1102"/>
      <c r="I17" s="1102"/>
      <c r="J17" s="1102"/>
      <c r="K17" s="1102"/>
      <c r="L17" s="1102"/>
      <c r="M17" s="1102"/>
      <c r="N17" s="1102"/>
      <c r="O17" s="1102"/>
      <c r="P17" s="1102"/>
      <c r="Q17" s="1102"/>
      <c r="R17" s="691"/>
      <c r="S17" s="67"/>
    </row>
    <row r="18" spans="1:19" s="454" customFormat="1">
      <c r="A18" s="801" t="s">
        <v>227</v>
      </c>
      <c r="B18" s="806"/>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54" customFormat="1">
      <c r="A19" s="801" t="s">
        <v>228</v>
      </c>
      <c r="B19" s="806"/>
      <c r="C19" s="686">
        <f>transport!B54</f>
        <v>0</v>
      </c>
      <c r="D19" s="686">
        <f>transport!C54</f>
        <v>0</v>
      </c>
      <c r="E19" s="686">
        <f>transport!D54</f>
        <v>0</v>
      </c>
      <c r="F19" s="686">
        <f>transport!E54</f>
        <v>0</v>
      </c>
      <c r="G19" s="686">
        <f>transport!F54</f>
        <v>0</v>
      </c>
      <c r="H19" s="686">
        <f>transport!G54</f>
        <v>655.93321732947686</v>
      </c>
      <c r="I19" s="686">
        <f>transport!H54</f>
        <v>0</v>
      </c>
      <c r="J19" s="686">
        <f>transport!I54</f>
        <v>0</v>
      </c>
      <c r="K19" s="686">
        <f>transport!J54</f>
        <v>0</v>
      </c>
      <c r="L19" s="686">
        <f>transport!K54</f>
        <v>0</v>
      </c>
      <c r="M19" s="686">
        <f>transport!L54</f>
        <v>0</v>
      </c>
      <c r="N19" s="686">
        <f>transport!M54</f>
        <v>29.196130151758958</v>
      </c>
      <c r="O19" s="686">
        <f>transport!N54</f>
        <v>0</v>
      </c>
      <c r="P19" s="686">
        <f>transport!O54</f>
        <v>0</v>
      </c>
      <c r="Q19" s="687">
        <f>transport!P54</f>
        <v>0</v>
      </c>
      <c r="R19" s="689">
        <f>SUM(C19:Q19)</f>
        <v>685.12934748123587</v>
      </c>
      <c r="S19" s="67"/>
    </row>
    <row r="20" spans="1:19" s="454" customFormat="1">
      <c r="A20" s="801" t="s">
        <v>306</v>
      </c>
      <c r="B20" s="806"/>
      <c r="C20" s="686">
        <f>transport!B14</f>
        <v>6.1917463275244309</v>
      </c>
      <c r="D20" s="686">
        <f>transport!C14</f>
        <v>0</v>
      </c>
      <c r="E20" s="686">
        <f>transport!D14</f>
        <v>9.5048119326856231</v>
      </c>
      <c r="F20" s="686">
        <f>transport!E14</f>
        <v>373.47132397669833</v>
      </c>
      <c r="G20" s="686">
        <f>transport!F14</f>
        <v>0</v>
      </c>
      <c r="H20" s="686">
        <f>transport!G14</f>
        <v>112184.93634102448</v>
      </c>
      <c r="I20" s="686">
        <f>transport!H14</f>
        <v>17786.162421889741</v>
      </c>
      <c r="J20" s="686">
        <f>transport!I14</f>
        <v>0</v>
      </c>
      <c r="K20" s="686">
        <f>transport!J14</f>
        <v>0</v>
      </c>
      <c r="L20" s="686">
        <f>transport!K14</f>
        <v>0</v>
      </c>
      <c r="M20" s="686">
        <f>transport!L14</f>
        <v>0</v>
      </c>
      <c r="N20" s="686">
        <f>transport!M14</f>
        <v>5876.0349739275453</v>
      </c>
      <c r="O20" s="686">
        <f>transport!N14</f>
        <v>0</v>
      </c>
      <c r="P20" s="686">
        <f>transport!O14</f>
        <v>0</v>
      </c>
      <c r="Q20" s="687">
        <f>transport!P14</f>
        <v>0</v>
      </c>
      <c r="R20" s="689">
        <f>SUM(C20:Q20)</f>
        <v>136236.30161907867</v>
      </c>
      <c r="S20" s="67"/>
    </row>
    <row r="21" spans="1:19" s="454" customFormat="1" ht="15" thickBot="1">
      <c r="A21" s="823" t="s">
        <v>855</v>
      </c>
      <c r="B21" s="991"/>
      <c r="C21" s="992"/>
      <c r="D21" s="992"/>
      <c r="E21" s="992"/>
      <c r="F21" s="992"/>
      <c r="G21" s="992"/>
      <c r="H21" s="992"/>
      <c r="I21" s="992"/>
      <c r="J21" s="992"/>
      <c r="K21" s="992"/>
      <c r="L21" s="992"/>
      <c r="M21" s="992"/>
      <c r="N21" s="992"/>
      <c r="O21" s="992"/>
      <c r="P21" s="992"/>
      <c r="Q21" s="993"/>
      <c r="R21" s="688"/>
      <c r="S21" s="67"/>
    </row>
    <row r="22" spans="1:19" s="454" customFormat="1" ht="15.75" thickBot="1">
      <c r="A22" s="694" t="s">
        <v>229</v>
      </c>
      <c r="B22" s="809"/>
      <c r="C22" s="804">
        <f>SUM(C18:C21)</f>
        <v>6.1917463275244309</v>
      </c>
      <c r="D22" s="804">
        <f t="shared" ref="D22:R22" si="1">SUM(D18:D21)</f>
        <v>0</v>
      </c>
      <c r="E22" s="804">
        <f t="shared" si="1"/>
        <v>9.5048119326856231</v>
      </c>
      <c r="F22" s="804">
        <f t="shared" si="1"/>
        <v>373.47132397669833</v>
      </c>
      <c r="G22" s="804">
        <f t="shared" si="1"/>
        <v>0</v>
      </c>
      <c r="H22" s="804">
        <f t="shared" si="1"/>
        <v>112840.86955835397</v>
      </c>
      <c r="I22" s="804">
        <f t="shared" si="1"/>
        <v>17786.162421889741</v>
      </c>
      <c r="J22" s="804">
        <f t="shared" si="1"/>
        <v>0</v>
      </c>
      <c r="K22" s="804">
        <f t="shared" si="1"/>
        <v>0</v>
      </c>
      <c r="L22" s="804">
        <f t="shared" si="1"/>
        <v>0</v>
      </c>
      <c r="M22" s="804">
        <f t="shared" si="1"/>
        <v>0</v>
      </c>
      <c r="N22" s="804">
        <f t="shared" si="1"/>
        <v>5905.2311040793038</v>
      </c>
      <c r="O22" s="804">
        <f t="shared" si="1"/>
        <v>0</v>
      </c>
      <c r="P22" s="804">
        <f t="shared" si="1"/>
        <v>0</v>
      </c>
      <c r="Q22" s="804">
        <f t="shared" si="1"/>
        <v>0</v>
      </c>
      <c r="R22" s="804">
        <f t="shared" si="1"/>
        <v>136921.43096655991</v>
      </c>
      <c r="S22" s="67"/>
    </row>
    <row r="23" spans="1:19" s="454" customFormat="1" ht="15.75">
      <c r="A23" s="803" t="s">
        <v>236</v>
      </c>
      <c r="B23" s="725"/>
      <c r="C23" s="1102"/>
      <c r="D23" s="1102"/>
      <c r="E23" s="1102"/>
      <c r="F23" s="1102"/>
      <c r="G23" s="1102"/>
      <c r="H23" s="1102"/>
      <c r="I23" s="1102"/>
      <c r="J23" s="1102"/>
      <c r="K23" s="1102"/>
      <c r="L23" s="1102"/>
      <c r="M23" s="1102"/>
      <c r="N23" s="1102"/>
      <c r="O23" s="1102"/>
      <c r="P23" s="1102"/>
      <c r="Q23" s="1102"/>
      <c r="R23" s="691"/>
      <c r="S23" s="67"/>
    </row>
    <row r="24" spans="1:19" s="454" customFormat="1">
      <c r="A24" s="801" t="s">
        <v>652</v>
      </c>
      <c r="B24" s="806"/>
      <c r="C24" s="686">
        <f>+landbouw!B8</f>
        <v>472.66475898465399</v>
      </c>
      <c r="D24" s="686">
        <f>+landbouw!C8</f>
        <v>9000</v>
      </c>
      <c r="E24" s="686">
        <f>+landbouw!D8</f>
        <v>4516.816857951897</v>
      </c>
      <c r="F24" s="686">
        <f>+landbouw!E8</f>
        <v>5.9561848792213672</v>
      </c>
      <c r="G24" s="686">
        <f>+landbouw!F8</f>
        <v>1630.8118280944454</v>
      </c>
      <c r="H24" s="686">
        <f>+landbouw!G8</f>
        <v>0</v>
      </c>
      <c r="I24" s="686">
        <f>+landbouw!H8</f>
        <v>0</v>
      </c>
      <c r="J24" s="686">
        <f>+landbouw!I8</f>
        <v>0</v>
      </c>
      <c r="K24" s="686">
        <f>+landbouw!J8</f>
        <v>71.083406687944873</v>
      </c>
      <c r="L24" s="686">
        <f>+landbouw!K8</f>
        <v>0</v>
      </c>
      <c r="M24" s="686">
        <f>+landbouw!L8</f>
        <v>0</v>
      </c>
      <c r="N24" s="686">
        <f>+landbouw!M8</f>
        <v>0</v>
      </c>
      <c r="O24" s="686">
        <f>+landbouw!N8</f>
        <v>0</v>
      </c>
      <c r="P24" s="686">
        <f>+landbouw!O8</f>
        <v>0</v>
      </c>
      <c r="Q24" s="687">
        <f>+landbouw!P8</f>
        <v>0</v>
      </c>
      <c r="R24" s="689">
        <f>SUM(C24:Q24)</f>
        <v>15697.333036598164</v>
      </c>
      <c r="S24" s="67"/>
    </row>
    <row r="25" spans="1:19" s="454" customFormat="1" ht="15" thickBot="1">
      <c r="A25" s="823" t="s">
        <v>856</v>
      </c>
      <c r="B25" s="991"/>
      <c r="C25" s="992">
        <f>IF(Onbekend_ele_kWh="---",0,Onbekend_ele_kWh)/1000+IF(REST_rest_ele_kWh="---",0,REST_rest_ele_kWh)/1000</f>
        <v>645.009191538349</v>
      </c>
      <c r="D25" s="992"/>
      <c r="E25" s="992">
        <f>IF(onbekend_gas_kWh="---",0,onbekend_gas_kWh)/1000+IF(REST_rest_gas_kWh="---",0,REST_rest_gas_kWh)/1000</f>
        <v>2087.5706927333199</v>
      </c>
      <c r="F25" s="992"/>
      <c r="G25" s="992"/>
      <c r="H25" s="992"/>
      <c r="I25" s="992"/>
      <c r="J25" s="992"/>
      <c r="K25" s="992"/>
      <c r="L25" s="992"/>
      <c r="M25" s="992"/>
      <c r="N25" s="992"/>
      <c r="O25" s="992"/>
      <c r="P25" s="992"/>
      <c r="Q25" s="993"/>
      <c r="R25" s="689">
        <f>SUM(C25:Q25)</f>
        <v>2732.579884271669</v>
      </c>
      <c r="S25" s="67"/>
    </row>
    <row r="26" spans="1:19" s="454" customFormat="1" ht="15.75" thickBot="1">
      <c r="A26" s="694" t="s">
        <v>857</v>
      </c>
      <c r="B26" s="809"/>
      <c r="C26" s="804">
        <f>SUM(C24:C25)</f>
        <v>1117.673950523003</v>
      </c>
      <c r="D26" s="804">
        <f t="shared" ref="D26:R26" si="2">SUM(D24:D25)</f>
        <v>9000</v>
      </c>
      <c r="E26" s="804">
        <f t="shared" si="2"/>
        <v>6604.3875506852164</v>
      </c>
      <c r="F26" s="804">
        <f t="shared" si="2"/>
        <v>5.9561848792213672</v>
      </c>
      <c r="G26" s="804">
        <f t="shared" si="2"/>
        <v>1630.8118280944454</v>
      </c>
      <c r="H26" s="804">
        <f t="shared" si="2"/>
        <v>0</v>
      </c>
      <c r="I26" s="804">
        <f t="shared" si="2"/>
        <v>0</v>
      </c>
      <c r="J26" s="804">
        <f t="shared" si="2"/>
        <v>0</v>
      </c>
      <c r="K26" s="804">
        <f t="shared" si="2"/>
        <v>71.083406687944873</v>
      </c>
      <c r="L26" s="804">
        <f t="shared" si="2"/>
        <v>0</v>
      </c>
      <c r="M26" s="804">
        <f t="shared" si="2"/>
        <v>0</v>
      </c>
      <c r="N26" s="804">
        <f t="shared" si="2"/>
        <v>0</v>
      </c>
      <c r="O26" s="804">
        <f t="shared" si="2"/>
        <v>0</v>
      </c>
      <c r="P26" s="804">
        <f t="shared" si="2"/>
        <v>0</v>
      </c>
      <c r="Q26" s="804">
        <f t="shared" si="2"/>
        <v>0</v>
      </c>
      <c r="R26" s="804">
        <f t="shared" si="2"/>
        <v>18429.912920869832</v>
      </c>
      <c r="S26" s="67"/>
    </row>
    <row r="27" spans="1:19" s="454" customFormat="1" ht="17.25" thickTop="1" thickBot="1">
      <c r="A27" s="695" t="s">
        <v>115</v>
      </c>
      <c r="B27" s="796"/>
      <c r="C27" s="696">
        <f ca="1">C22+C16+C26</f>
        <v>116373.79939921956</v>
      </c>
      <c r="D27" s="696">
        <f t="shared" ref="D27:R27" ca="1" si="3">D22+D16+D26</f>
        <v>9000</v>
      </c>
      <c r="E27" s="696">
        <f t="shared" ca="1" si="3"/>
        <v>173797.08395527024</v>
      </c>
      <c r="F27" s="696">
        <f t="shared" si="3"/>
        <v>15106.59110956688</v>
      </c>
      <c r="G27" s="696">
        <f t="shared" ca="1" si="3"/>
        <v>66365.981422478042</v>
      </c>
      <c r="H27" s="696">
        <f t="shared" si="3"/>
        <v>112840.86955835397</v>
      </c>
      <c r="I27" s="696">
        <f t="shared" si="3"/>
        <v>17786.162421889741</v>
      </c>
      <c r="J27" s="696">
        <f t="shared" si="3"/>
        <v>0</v>
      </c>
      <c r="K27" s="696">
        <f t="shared" si="3"/>
        <v>188.3839847917055</v>
      </c>
      <c r="L27" s="696">
        <f t="shared" si="3"/>
        <v>0</v>
      </c>
      <c r="M27" s="696">
        <f t="shared" ca="1" si="3"/>
        <v>0</v>
      </c>
      <c r="N27" s="696">
        <f t="shared" si="3"/>
        <v>5905.2311040793038</v>
      </c>
      <c r="O27" s="696">
        <f t="shared" ca="1" si="3"/>
        <v>30498.534379742323</v>
      </c>
      <c r="P27" s="696">
        <f t="shared" si="3"/>
        <v>247.00666666666669</v>
      </c>
      <c r="Q27" s="696">
        <f t="shared" si="3"/>
        <v>476.66666666666669</v>
      </c>
      <c r="R27" s="696">
        <f t="shared" ca="1" si="3"/>
        <v>548586.31066872505</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03"/>
      <c r="B31" s="1103"/>
      <c r="C31" s="1103"/>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04"/>
      <c r="B33" s="1104"/>
      <c r="C33" s="1104"/>
      <c r="D33" s="1104"/>
      <c r="E33" s="1104"/>
      <c r="F33" s="1104"/>
      <c r="G33" s="1104"/>
      <c r="H33" s="1104"/>
      <c r="I33" s="1104"/>
      <c r="J33" s="1104"/>
      <c r="K33" s="1104"/>
      <c r="L33" s="1104"/>
      <c r="M33" s="1104"/>
      <c r="N33" s="1104"/>
      <c r="O33" s="1104"/>
      <c r="P33" s="1104"/>
      <c r="Q33" s="1104"/>
      <c r="R33" s="1104"/>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05"/>
      <c r="B35" s="811"/>
      <c r="C35" s="1107" t="s">
        <v>346</v>
      </c>
      <c r="D35" s="1108"/>
      <c r="E35" s="1108"/>
      <c r="F35" s="1108"/>
      <c r="G35" s="1108"/>
      <c r="H35" s="1108"/>
      <c r="I35" s="1108"/>
      <c r="J35" s="1108"/>
      <c r="K35" s="1108"/>
      <c r="L35" s="1108"/>
      <c r="M35" s="1108"/>
      <c r="N35" s="1108"/>
      <c r="O35" s="1108"/>
      <c r="P35" s="1108"/>
      <c r="Q35" s="1108"/>
      <c r="R35" s="1109"/>
    </row>
    <row r="36" spans="1:18" ht="16.5" thickTop="1">
      <c r="A36" s="1106"/>
      <c r="B36" s="812"/>
      <c r="C36" s="1110" t="s">
        <v>20</v>
      </c>
      <c r="D36" s="1112" t="s">
        <v>231</v>
      </c>
      <c r="E36" s="1114" t="s">
        <v>196</v>
      </c>
      <c r="F36" s="1115"/>
      <c r="G36" s="1115"/>
      <c r="H36" s="1115"/>
      <c r="I36" s="1115"/>
      <c r="J36" s="1115"/>
      <c r="K36" s="1115"/>
      <c r="L36" s="1116"/>
      <c r="M36" s="1114" t="s">
        <v>197</v>
      </c>
      <c r="N36" s="1115"/>
      <c r="O36" s="1115"/>
      <c r="P36" s="1115"/>
      <c r="Q36" s="1115"/>
      <c r="R36" s="1117" t="s">
        <v>115</v>
      </c>
    </row>
    <row r="37" spans="1:18" ht="45.75" thickBot="1">
      <c r="A37" s="1106"/>
      <c r="B37" s="812"/>
      <c r="C37" s="1111"/>
      <c r="D37" s="1113"/>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18"/>
    </row>
    <row r="38" spans="1:18" ht="17.25" thickTop="1" thickBot="1">
      <c r="A38" s="824" t="s">
        <v>343</v>
      </c>
      <c r="B38" s="825"/>
      <c r="C38" s="714" t="s">
        <v>235</v>
      </c>
      <c r="D38" s="715"/>
      <c r="E38" s="716"/>
      <c r="F38" s="716"/>
      <c r="G38" s="716"/>
      <c r="H38" s="716"/>
      <c r="I38" s="716"/>
      <c r="J38" s="716"/>
      <c r="K38" s="716"/>
      <c r="L38" s="716"/>
      <c r="M38" s="994"/>
      <c r="N38" s="994"/>
      <c r="O38" s="716"/>
      <c r="P38" s="994"/>
      <c r="Q38" s="717"/>
      <c r="R38" s="718"/>
    </row>
    <row r="39" spans="1:18" ht="15" thickTop="1">
      <c r="A39" s="797" t="s">
        <v>222</v>
      </c>
      <c r="B39" s="821"/>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3">
        <f>'Eigen gebouwen'!P19</f>
        <v>0</v>
      </c>
      <c r="R39" s="995">
        <f t="shared" ref="R39:R44" ca="1" si="4">SUM(C39:Q39)</f>
        <v>0</v>
      </c>
    </row>
    <row r="40" spans="1:18">
      <c r="A40" s="802" t="s">
        <v>223</v>
      </c>
      <c r="B40" s="822"/>
      <c r="C40" s="686">
        <f ca="1">tertiair!B20+'openbare verlichting'!B12</f>
        <v>4531.5272507075406</v>
      </c>
      <c r="D40" s="686">
        <f ca="1">tertiair!C20</f>
        <v>0</v>
      </c>
      <c r="E40" s="686">
        <f ca="1">tertiair!D20</f>
        <v>4685.7521171402341</v>
      </c>
      <c r="F40" s="686">
        <f>tertiair!E20</f>
        <v>72.300343003844944</v>
      </c>
      <c r="G40" s="686">
        <f ca="1">tertiair!F20</f>
        <v>1091.4879665536075</v>
      </c>
      <c r="H40" s="686">
        <f>tertiair!G20</f>
        <v>0</v>
      </c>
      <c r="I40" s="686">
        <f>tertiair!H20</f>
        <v>0</v>
      </c>
      <c r="J40" s="686">
        <f>tertiair!I20</f>
        <v>0</v>
      </c>
      <c r="K40" s="686">
        <f>tertiair!J20</f>
        <v>0</v>
      </c>
      <c r="L40" s="686">
        <f>tertiair!K20</f>
        <v>0</v>
      </c>
      <c r="M40" s="686">
        <f ca="1">tertiair!L20</f>
        <v>0</v>
      </c>
      <c r="N40" s="686">
        <f>tertiair!M20</f>
        <v>0</v>
      </c>
      <c r="O40" s="686">
        <f ca="1">tertiair!N20</f>
        <v>0</v>
      </c>
      <c r="P40" s="686">
        <f>tertiair!O20</f>
        <v>0</v>
      </c>
      <c r="Q40" s="763">
        <f>tertiair!P20</f>
        <v>0</v>
      </c>
      <c r="R40" s="842">
        <f t="shared" ca="1" si="4"/>
        <v>10381.067677405228</v>
      </c>
    </row>
    <row r="41" spans="1:18">
      <c r="A41" s="814" t="s">
        <v>224</v>
      </c>
      <c r="B41" s="821"/>
      <c r="C41" s="686">
        <f ca="1">huishoudens!B12</f>
        <v>4134.5583729978925</v>
      </c>
      <c r="D41" s="686">
        <f ca="1">huishoudens!C12</f>
        <v>0</v>
      </c>
      <c r="E41" s="686">
        <f>huishoudens!D12</f>
        <v>11502.542586452159</v>
      </c>
      <c r="F41" s="686">
        <f>huishoudens!E12</f>
        <v>2091.9618768803302</v>
      </c>
      <c r="G41" s="686">
        <f>huishoudens!F12</f>
        <v>2953.9760168613011</v>
      </c>
      <c r="H41" s="686">
        <f>huishoudens!G12</f>
        <v>0</v>
      </c>
      <c r="I41" s="686">
        <f>huishoudens!H12</f>
        <v>0</v>
      </c>
      <c r="J41" s="686">
        <f>huishoudens!I12</f>
        <v>0</v>
      </c>
      <c r="K41" s="686">
        <f>huishoudens!J12</f>
        <v>0</v>
      </c>
      <c r="L41" s="686">
        <f>huishoudens!K12</f>
        <v>0</v>
      </c>
      <c r="M41" s="686">
        <f>huishoudens!L12</f>
        <v>0</v>
      </c>
      <c r="N41" s="686">
        <f>huishoudens!M12</f>
        <v>0</v>
      </c>
      <c r="O41" s="686">
        <f>huishoudens!N12</f>
        <v>0</v>
      </c>
      <c r="P41" s="686">
        <f>huishoudens!O12</f>
        <v>0</v>
      </c>
      <c r="Q41" s="763">
        <f>huishoudens!P12</f>
        <v>0</v>
      </c>
      <c r="R41" s="842">
        <f t="shared" ca="1" si="4"/>
        <v>20683.038853191683</v>
      </c>
    </row>
    <row r="42" spans="1:18">
      <c r="A42" s="814" t="s">
        <v>509</v>
      </c>
      <c r="B42" s="821"/>
      <c r="C42" s="686">
        <f ca="1">'Eigen openbare verlichting'!B19</f>
        <v>0</v>
      </c>
      <c r="D42" s="686"/>
      <c r="E42" s="686"/>
      <c r="F42" s="686"/>
      <c r="G42" s="686"/>
      <c r="H42" s="686"/>
      <c r="I42" s="686"/>
      <c r="J42" s="686"/>
      <c r="K42" s="686"/>
      <c r="L42" s="686"/>
      <c r="M42" s="686"/>
      <c r="N42" s="686"/>
      <c r="O42" s="686"/>
      <c r="P42" s="686"/>
      <c r="Q42" s="763"/>
      <c r="R42" s="842">
        <f t="shared" ca="1" si="4"/>
        <v>0</v>
      </c>
    </row>
    <row r="43" spans="1:18">
      <c r="A43" s="814" t="s">
        <v>659</v>
      </c>
      <c r="B43" s="829" t="s">
        <v>656</v>
      </c>
      <c r="C43" s="686">
        <f ca="1">industrie!B22</f>
        <v>14979.641084857534</v>
      </c>
      <c r="D43" s="686">
        <f ca="1">industrie!C22</f>
        <v>0</v>
      </c>
      <c r="E43" s="686">
        <f>industrie!D22</f>
        <v>17582.709998123381</v>
      </c>
      <c r="F43" s="686">
        <f>industrie!E22</f>
        <v>1178.8039174772127</v>
      </c>
      <c r="G43" s="686">
        <f>industrie!F22</f>
        <v>13238.826298285512</v>
      </c>
      <c r="H43" s="686">
        <f>industrie!G22</f>
        <v>0</v>
      </c>
      <c r="I43" s="686">
        <f>industrie!H22</f>
        <v>0</v>
      </c>
      <c r="J43" s="686">
        <f>industrie!I22</f>
        <v>0</v>
      </c>
      <c r="K43" s="686">
        <f>industrie!J22</f>
        <v>41.524404648731263</v>
      </c>
      <c r="L43" s="686">
        <f>industrie!K22</f>
        <v>0</v>
      </c>
      <c r="M43" s="686">
        <f>industrie!L22</f>
        <v>0</v>
      </c>
      <c r="N43" s="686">
        <f>industrie!M22</f>
        <v>0</v>
      </c>
      <c r="O43" s="686">
        <f>industrie!N22</f>
        <v>0</v>
      </c>
      <c r="P43" s="686">
        <f>industrie!O22</f>
        <v>0</v>
      </c>
      <c r="Q43" s="763">
        <f>industrie!P22</f>
        <v>0</v>
      </c>
      <c r="R43" s="841">
        <f t="shared" ca="1" si="4"/>
        <v>47021.505703392373</v>
      </c>
    </row>
    <row r="44" spans="1:18">
      <c r="A44" s="814"/>
      <c r="B44" s="821" t="s">
        <v>657</v>
      </c>
      <c r="C44" s="686"/>
      <c r="D44" s="686"/>
      <c r="E44" s="686"/>
      <c r="F44" s="686"/>
      <c r="G44" s="686"/>
      <c r="H44" s="686"/>
      <c r="I44" s="686"/>
      <c r="J44" s="686"/>
      <c r="K44" s="686"/>
      <c r="L44" s="686"/>
      <c r="M44" s="686"/>
      <c r="N44" s="686"/>
      <c r="O44" s="686"/>
      <c r="P44" s="686"/>
      <c r="Q44" s="763"/>
      <c r="R44" s="842">
        <f t="shared" si="4"/>
        <v>0</v>
      </c>
    </row>
    <row r="45" spans="1:18" ht="15" thickBot="1">
      <c r="A45" s="990" t="s">
        <v>854</v>
      </c>
      <c r="B45" s="996"/>
      <c r="C45" s="992"/>
      <c r="D45" s="992"/>
      <c r="E45" s="992"/>
      <c r="F45" s="992"/>
      <c r="G45" s="992"/>
      <c r="H45" s="992"/>
      <c r="I45" s="992"/>
      <c r="J45" s="992"/>
      <c r="K45" s="992"/>
      <c r="L45" s="992"/>
      <c r="M45" s="992"/>
      <c r="N45" s="992"/>
      <c r="O45" s="992"/>
      <c r="P45" s="992"/>
      <c r="Q45" s="993"/>
      <c r="R45" s="997"/>
    </row>
    <row r="46" spans="1:18" ht="15.75" thickBot="1">
      <c r="A46" s="815" t="s">
        <v>225</v>
      </c>
      <c r="B46" s="828"/>
      <c r="C46" s="721">
        <f ca="1">SUM(C39:C45)</f>
        <v>23645.726708562965</v>
      </c>
      <c r="D46" s="721">
        <f t="shared" ref="D46:Q46" ca="1" si="5">SUM(D39:D45)</f>
        <v>0</v>
      </c>
      <c r="E46" s="721">
        <f t="shared" ca="1" si="5"/>
        <v>33771.004701715778</v>
      </c>
      <c r="F46" s="721">
        <f t="shared" si="5"/>
        <v>3343.0661373613875</v>
      </c>
      <c r="G46" s="721">
        <f t="shared" ca="1" si="5"/>
        <v>17284.290281700421</v>
      </c>
      <c r="H46" s="721">
        <f t="shared" si="5"/>
        <v>0</v>
      </c>
      <c r="I46" s="721">
        <f t="shared" si="5"/>
        <v>0</v>
      </c>
      <c r="J46" s="721">
        <f t="shared" si="5"/>
        <v>0</v>
      </c>
      <c r="K46" s="721">
        <f t="shared" si="5"/>
        <v>41.524404648731263</v>
      </c>
      <c r="L46" s="721">
        <f t="shared" si="5"/>
        <v>0</v>
      </c>
      <c r="M46" s="721">
        <f t="shared" ca="1" si="5"/>
        <v>0</v>
      </c>
      <c r="N46" s="721">
        <f t="shared" si="5"/>
        <v>0</v>
      </c>
      <c r="O46" s="721">
        <f t="shared" ca="1" si="5"/>
        <v>0</v>
      </c>
      <c r="P46" s="721">
        <f t="shared" si="5"/>
        <v>0</v>
      </c>
      <c r="Q46" s="721">
        <f t="shared" si="5"/>
        <v>0</v>
      </c>
      <c r="R46" s="721">
        <f ca="1">SUM(R39:R45)</f>
        <v>78085.61223398929</v>
      </c>
    </row>
    <row r="47" spans="1:18" ht="15.75">
      <c r="A47" s="816" t="s">
        <v>226</v>
      </c>
      <c r="B47" s="826"/>
      <c r="C47" s="714"/>
      <c r="D47" s="715"/>
      <c r="E47" s="715"/>
      <c r="F47" s="715"/>
      <c r="G47" s="715"/>
      <c r="H47" s="715"/>
      <c r="I47" s="715"/>
      <c r="J47" s="715"/>
      <c r="K47" s="715"/>
      <c r="L47" s="715"/>
      <c r="M47" s="724"/>
      <c r="N47" s="724"/>
      <c r="O47" s="715"/>
      <c r="P47" s="724"/>
      <c r="Q47" s="724"/>
      <c r="R47" s="718"/>
    </row>
    <row r="48" spans="1:18">
      <c r="A48" s="814" t="s">
        <v>227</v>
      </c>
      <c r="B48" s="821"/>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19">
        <f ca="1">SUM(C48:Q48)</f>
        <v>0</v>
      </c>
    </row>
    <row r="49" spans="1:18">
      <c r="A49" s="814" t="s">
        <v>228</v>
      </c>
      <c r="B49" s="821"/>
      <c r="C49" s="686">
        <f ca="1">transport!B58</f>
        <v>0</v>
      </c>
      <c r="D49" s="686">
        <f ca="1">transport!C58</f>
        <v>0</v>
      </c>
      <c r="E49" s="686">
        <f>transport!D58</f>
        <v>0</v>
      </c>
      <c r="F49" s="686">
        <f>transport!E58</f>
        <v>0</v>
      </c>
      <c r="G49" s="686">
        <f>transport!F58</f>
        <v>0</v>
      </c>
      <c r="H49" s="686">
        <f>transport!G58</f>
        <v>175.13416902697034</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19">
        <f ca="1">SUM(C49:Q49)</f>
        <v>175.13416902697034</v>
      </c>
    </row>
    <row r="50" spans="1:18">
      <c r="A50" s="817" t="s">
        <v>306</v>
      </c>
      <c r="B50" s="827"/>
      <c r="C50" s="692">
        <f ca="1">transport!B18</f>
        <v>1.2703551039559653</v>
      </c>
      <c r="D50" s="692">
        <f>transport!C18</f>
        <v>0</v>
      </c>
      <c r="E50" s="692">
        <f>transport!D18</f>
        <v>1.919972010402496</v>
      </c>
      <c r="F50" s="692">
        <f>transport!E18</f>
        <v>84.777990542710526</v>
      </c>
      <c r="G50" s="692">
        <f>transport!F18</f>
        <v>0</v>
      </c>
      <c r="H50" s="692">
        <f>transport!G18</f>
        <v>29953.378003053538</v>
      </c>
      <c r="I50" s="692">
        <f>transport!H18</f>
        <v>4428.7544430505459</v>
      </c>
      <c r="J50" s="692">
        <f>transport!I18</f>
        <v>0</v>
      </c>
      <c r="K50" s="692">
        <f>transport!J18</f>
        <v>0</v>
      </c>
      <c r="L50" s="692">
        <f>transport!K18</f>
        <v>0</v>
      </c>
      <c r="M50" s="692">
        <f>transport!L18</f>
        <v>0</v>
      </c>
      <c r="N50" s="692">
        <f>transport!M18</f>
        <v>0</v>
      </c>
      <c r="O50" s="692">
        <f>transport!N18</f>
        <v>0</v>
      </c>
      <c r="P50" s="692">
        <f>transport!O18</f>
        <v>0</v>
      </c>
      <c r="Q50" s="693">
        <f>transport!P18</f>
        <v>0</v>
      </c>
      <c r="R50" s="720">
        <f ca="1">SUM(C50:Q50)</f>
        <v>34470.100763761155</v>
      </c>
    </row>
    <row r="51" spans="1:18" ht="15" thickBot="1">
      <c r="A51" s="814" t="s">
        <v>855</v>
      </c>
      <c r="B51" s="821"/>
      <c r="C51" s="686"/>
      <c r="D51" s="686"/>
      <c r="E51" s="686"/>
      <c r="F51" s="686"/>
      <c r="G51" s="686"/>
      <c r="H51" s="686"/>
      <c r="I51" s="686"/>
      <c r="J51" s="686"/>
      <c r="K51" s="686"/>
      <c r="L51" s="686"/>
      <c r="M51" s="686"/>
      <c r="N51" s="686"/>
      <c r="O51" s="686"/>
      <c r="P51" s="686"/>
      <c r="Q51" s="687"/>
      <c r="R51" s="719"/>
    </row>
    <row r="52" spans="1:18" ht="15.75" thickBot="1">
      <c r="A52" s="815" t="s">
        <v>229</v>
      </c>
      <c r="B52" s="828"/>
      <c r="C52" s="721">
        <f ca="1">SUM(C48:C51)</f>
        <v>1.2703551039559653</v>
      </c>
      <c r="D52" s="721">
        <f t="shared" ref="D52:Q52" ca="1" si="6">SUM(D48:D51)</f>
        <v>0</v>
      </c>
      <c r="E52" s="721">
        <f t="shared" si="6"/>
        <v>1.919972010402496</v>
      </c>
      <c r="F52" s="721">
        <f t="shared" si="6"/>
        <v>84.777990542710526</v>
      </c>
      <c r="G52" s="721">
        <f t="shared" si="6"/>
        <v>0</v>
      </c>
      <c r="H52" s="721">
        <f t="shared" si="6"/>
        <v>30128.512172080507</v>
      </c>
      <c r="I52" s="721">
        <f t="shared" si="6"/>
        <v>4428.7544430505459</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34645.234932788124</v>
      </c>
    </row>
    <row r="53" spans="1:18" ht="15.75">
      <c r="A53" s="816" t="s">
        <v>236</v>
      </c>
      <c r="B53" s="795"/>
      <c r="C53" s="714"/>
      <c r="D53" s="715"/>
      <c r="E53" s="715"/>
      <c r="F53" s="715"/>
      <c r="G53" s="715"/>
      <c r="H53" s="715"/>
      <c r="I53" s="715"/>
      <c r="J53" s="715"/>
      <c r="K53" s="715"/>
      <c r="L53" s="715"/>
      <c r="M53" s="724"/>
      <c r="N53" s="724"/>
      <c r="O53" s="715"/>
      <c r="P53" s="724"/>
      <c r="Q53" s="724"/>
      <c r="R53" s="718"/>
    </row>
    <row r="54" spans="1:18">
      <c r="A54" s="817" t="s">
        <v>652</v>
      </c>
      <c r="B54" s="827"/>
      <c r="C54" s="692">
        <f ca="1">+landbouw!B12</f>
        <v>96.976209501196195</v>
      </c>
      <c r="D54" s="692">
        <f ca="1">+landbouw!C12</f>
        <v>2138.8235294117649</v>
      </c>
      <c r="E54" s="692">
        <f>+landbouw!D12</f>
        <v>912.39700530628329</v>
      </c>
      <c r="F54" s="692">
        <f>+landbouw!E12</f>
        <v>1.3520539675832504</v>
      </c>
      <c r="G54" s="692">
        <f>+landbouw!F12</f>
        <v>435.42675810121693</v>
      </c>
      <c r="H54" s="692">
        <f>+landbouw!G12</f>
        <v>0</v>
      </c>
      <c r="I54" s="692">
        <f>+landbouw!H12</f>
        <v>0</v>
      </c>
      <c r="J54" s="692">
        <f>+landbouw!I12</f>
        <v>0</v>
      </c>
      <c r="K54" s="692">
        <f>+landbouw!J12</f>
        <v>25.163525967532482</v>
      </c>
      <c r="L54" s="692">
        <f>+landbouw!K12</f>
        <v>0</v>
      </c>
      <c r="M54" s="692">
        <f>+landbouw!L12</f>
        <v>0</v>
      </c>
      <c r="N54" s="692">
        <f>+landbouw!M12</f>
        <v>0</v>
      </c>
      <c r="O54" s="692">
        <f>+landbouw!N12</f>
        <v>0</v>
      </c>
      <c r="P54" s="692">
        <f>+landbouw!O12</f>
        <v>0</v>
      </c>
      <c r="Q54" s="693">
        <f>+landbouw!P12</f>
        <v>0</v>
      </c>
      <c r="R54" s="720">
        <f ca="1">SUM(C54:Q54)</f>
        <v>3610.1390822555773</v>
      </c>
    </row>
    <row r="55" spans="1:18" ht="15" thickBot="1">
      <c r="A55" s="817" t="s">
        <v>856</v>
      </c>
      <c r="B55" s="827"/>
      <c r="C55" s="692">
        <f ca="1">C25*'EF ele_warmte'!B12</f>
        <v>132.33596391486199</v>
      </c>
      <c r="D55" s="692"/>
      <c r="E55" s="692">
        <f>E25*EF_CO2_aardgas</f>
        <v>421.68927993213066</v>
      </c>
      <c r="F55" s="692"/>
      <c r="G55" s="692"/>
      <c r="H55" s="692"/>
      <c r="I55" s="692"/>
      <c r="J55" s="692"/>
      <c r="K55" s="692"/>
      <c r="L55" s="692"/>
      <c r="M55" s="692"/>
      <c r="N55" s="692"/>
      <c r="O55" s="692"/>
      <c r="P55" s="692"/>
      <c r="Q55" s="693"/>
      <c r="R55" s="720">
        <f ca="1">SUM(C55:Q55)</f>
        <v>554.02524384699268</v>
      </c>
    </row>
    <row r="56" spans="1:18" ht="15.75" thickBot="1">
      <c r="A56" s="815" t="s">
        <v>857</v>
      </c>
      <c r="B56" s="828"/>
      <c r="C56" s="721">
        <f ca="1">SUM(C54:C55)</f>
        <v>229.31217341605819</v>
      </c>
      <c r="D56" s="721">
        <f t="shared" ref="D56:Q56" ca="1" si="7">SUM(D54:D55)</f>
        <v>2138.8235294117649</v>
      </c>
      <c r="E56" s="721">
        <f t="shared" si="7"/>
        <v>1334.0862852384139</v>
      </c>
      <c r="F56" s="721">
        <f t="shared" si="7"/>
        <v>1.3520539675832504</v>
      </c>
      <c r="G56" s="721">
        <f t="shared" si="7"/>
        <v>435.42675810121693</v>
      </c>
      <c r="H56" s="721">
        <f t="shared" si="7"/>
        <v>0</v>
      </c>
      <c r="I56" s="721">
        <f t="shared" si="7"/>
        <v>0</v>
      </c>
      <c r="J56" s="721">
        <f t="shared" si="7"/>
        <v>0</v>
      </c>
      <c r="K56" s="721">
        <f t="shared" si="7"/>
        <v>25.163525967532482</v>
      </c>
      <c r="L56" s="721">
        <f t="shared" si="7"/>
        <v>0</v>
      </c>
      <c r="M56" s="721">
        <f t="shared" si="7"/>
        <v>0</v>
      </c>
      <c r="N56" s="721">
        <f t="shared" si="7"/>
        <v>0</v>
      </c>
      <c r="O56" s="721">
        <f t="shared" si="7"/>
        <v>0</v>
      </c>
      <c r="P56" s="721">
        <f t="shared" si="7"/>
        <v>0</v>
      </c>
      <c r="Q56" s="722">
        <f t="shared" si="7"/>
        <v>0</v>
      </c>
      <c r="R56" s="723">
        <f ca="1">SUM(R54:R55)</f>
        <v>4164.1643261025702</v>
      </c>
    </row>
    <row r="57" spans="1:18" ht="15.75">
      <c r="A57" s="795" t="s">
        <v>653</v>
      </c>
      <c r="B57" s="795"/>
      <c r="C57" s="726"/>
      <c r="D57" s="715"/>
      <c r="E57" s="715"/>
      <c r="F57" s="715"/>
      <c r="G57" s="715"/>
      <c r="H57" s="715"/>
      <c r="I57" s="715"/>
      <c r="J57" s="715"/>
      <c r="K57" s="715"/>
      <c r="L57" s="715"/>
      <c r="M57" s="724"/>
      <c r="N57" s="724"/>
      <c r="O57" s="715"/>
      <c r="P57" s="724"/>
      <c r="Q57" s="724"/>
      <c r="R57" s="718"/>
    </row>
    <row r="58" spans="1:18" ht="15">
      <c r="A58" s="818" t="s">
        <v>237</v>
      </c>
      <c r="B58" s="832"/>
      <c r="C58" s="1097"/>
      <c r="D58" s="1098"/>
      <c r="E58" s="1098"/>
      <c r="F58" s="1098"/>
      <c r="G58" s="1098"/>
      <c r="H58" s="1098"/>
      <c r="I58" s="1098"/>
      <c r="J58" s="1098"/>
      <c r="K58" s="1098"/>
      <c r="L58" s="1098"/>
      <c r="M58" s="1098"/>
      <c r="N58" s="1098"/>
      <c r="O58" s="1098"/>
      <c r="P58" s="1098"/>
      <c r="Q58" s="1098"/>
      <c r="R58" s="727"/>
    </row>
    <row r="59" spans="1:18" ht="15">
      <c r="A59" s="819" t="s">
        <v>238</v>
      </c>
      <c r="B59" s="806"/>
      <c r="C59" s="1099"/>
      <c r="D59" s="1100"/>
      <c r="E59" s="1100"/>
      <c r="F59" s="1100"/>
      <c r="G59" s="1100"/>
      <c r="H59" s="1100"/>
      <c r="I59" s="1100"/>
      <c r="J59" s="1100"/>
      <c r="K59" s="1100"/>
      <c r="L59" s="1100"/>
      <c r="M59" s="1100"/>
      <c r="N59" s="1100"/>
      <c r="O59" s="1100"/>
      <c r="P59" s="1100"/>
      <c r="Q59" s="1100"/>
      <c r="R59" s="728"/>
    </row>
    <row r="60" spans="1:18" ht="15" thickBot="1">
      <c r="A60" s="830" t="s">
        <v>239</v>
      </c>
      <c r="B60" s="831"/>
      <c r="C60" s="1099"/>
      <c r="D60" s="1100"/>
      <c r="E60" s="1100"/>
      <c r="F60" s="1100"/>
      <c r="G60" s="1100"/>
      <c r="H60" s="1100"/>
      <c r="I60" s="1100"/>
      <c r="J60" s="1100"/>
      <c r="K60" s="1100"/>
      <c r="L60" s="1100"/>
      <c r="M60" s="1100"/>
      <c r="N60" s="1100"/>
      <c r="O60" s="1100"/>
      <c r="P60" s="1100"/>
      <c r="Q60" s="1100"/>
      <c r="R60" s="720"/>
    </row>
    <row r="61" spans="1:18" ht="16.5" thickBot="1">
      <c r="A61" s="833" t="s">
        <v>115</v>
      </c>
      <c r="B61" s="834"/>
      <c r="C61" s="729">
        <f ca="1">C46+C52+C56</f>
        <v>23876.30923708298</v>
      </c>
      <c r="D61" s="729">
        <f t="shared" ref="D61:Q61" ca="1" si="8">D46+D52+D56</f>
        <v>2138.8235294117649</v>
      </c>
      <c r="E61" s="729">
        <f t="shared" ca="1" si="8"/>
        <v>35107.010958964594</v>
      </c>
      <c r="F61" s="729">
        <f t="shared" si="8"/>
        <v>3429.1961818716813</v>
      </c>
      <c r="G61" s="729">
        <f t="shared" ca="1" si="8"/>
        <v>17719.717039801639</v>
      </c>
      <c r="H61" s="729">
        <f t="shared" si="8"/>
        <v>30128.512172080507</v>
      </c>
      <c r="I61" s="729">
        <f t="shared" si="8"/>
        <v>4428.7544430505459</v>
      </c>
      <c r="J61" s="729">
        <f t="shared" si="8"/>
        <v>0</v>
      </c>
      <c r="K61" s="729">
        <f t="shared" si="8"/>
        <v>66.687930616263742</v>
      </c>
      <c r="L61" s="729">
        <f t="shared" si="8"/>
        <v>0</v>
      </c>
      <c r="M61" s="729">
        <f t="shared" ca="1" si="8"/>
        <v>0</v>
      </c>
      <c r="N61" s="729">
        <f t="shared" si="8"/>
        <v>0</v>
      </c>
      <c r="O61" s="729">
        <f t="shared" ca="1" si="8"/>
        <v>0</v>
      </c>
      <c r="P61" s="729">
        <f t="shared" si="8"/>
        <v>0</v>
      </c>
      <c r="Q61" s="729">
        <f t="shared" si="8"/>
        <v>0</v>
      </c>
      <c r="R61" s="729">
        <f ca="1">R46+R52+R56</f>
        <v>116895.01149287999</v>
      </c>
    </row>
    <row r="62" spans="1:18" ht="15.75" thickTop="1" thickBot="1">
      <c r="A62" s="986"/>
      <c r="B62" s="986"/>
      <c r="C62" s="730"/>
      <c r="D62" s="730"/>
      <c r="E62" s="731"/>
      <c r="F62" s="731"/>
      <c r="G62" s="731"/>
      <c r="H62" s="731"/>
      <c r="I62" s="731"/>
      <c r="J62" s="731"/>
      <c r="K62" s="731"/>
      <c r="L62" s="731"/>
      <c r="M62" s="731"/>
      <c r="N62" s="731"/>
      <c r="O62" s="731"/>
      <c r="P62" s="731"/>
      <c r="Q62" s="731"/>
      <c r="R62" s="731"/>
    </row>
    <row r="63" spans="1:18" ht="20.25" thickTop="1" thickBot="1">
      <c r="A63" s="732" t="s">
        <v>347</v>
      </c>
      <c r="B63" s="813"/>
      <c r="C63" s="772">
        <f t="shared" ref="C63:Q63" ca="1" si="9">IF(ISERROR(C61/C27),0,C61/C27)</f>
        <v>0.2051691133257191</v>
      </c>
      <c r="D63" s="772">
        <f t="shared" ca="1" si="9"/>
        <v>0.23764705882352943</v>
      </c>
      <c r="E63" s="998">
        <f t="shared" ca="1" si="9"/>
        <v>0.20200000000000004</v>
      </c>
      <c r="F63" s="772">
        <f t="shared" si="9"/>
        <v>0.22699999999999998</v>
      </c>
      <c r="G63" s="772">
        <f t="shared" ca="1" si="9"/>
        <v>0.26700000000000002</v>
      </c>
      <c r="H63" s="772">
        <f t="shared" si="9"/>
        <v>0.26699999999999996</v>
      </c>
      <c r="I63" s="772">
        <f t="shared" si="9"/>
        <v>0.24900000000000003</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31"/>
    </row>
    <row r="64" spans="1:18" ht="33" thickTop="1" thickBot="1">
      <c r="A64" s="820" t="s">
        <v>348</v>
      </c>
      <c r="B64" s="798"/>
      <c r="C64" s="773">
        <f>'EF ele_warmte'!B6</f>
        <v>0.221</v>
      </c>
      <c r="D64" s="774"/>
      <c r="E64" s="775"/>
      <c r="F64" s="776"/>
      <c r="G64" s="776"/>
      <c r="H64" s="776"/>
      <c r="I64" s="776"/>
      <c r="J64" s="776"/>
      <c r="K64" s="776"/>
      <c r="L64" s="776"/>
      <c r="M64" s="776"/>
      <c r="N64" s="776"/>
      <c r="O64" s="776"/>
      <c r="P64" s="776"/>
      <c r="Q64" s="776"/>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349</v>
      </c>
      <c r="B66" s="734"/>
      <c r="C66" s="707"/>
      <c r="D66" s="735"/>
      <c r="E66" s="707"/>
      <c r="F66" s="707"/>
      <c r="G66" s="707"/>
      <c r="H66" s="707"/>
      <c r="I66" s="707"/>
      <c r="J66" s="707"/>
      <c r="K66" s="707"/>
      <c r="L66" s="707"/>
      <c r="M66" s="707"/>
      <c r="N66" s="707"/>
      <c r="O66" s="707"/>
      <c r="P66" s="736"/>
      <c r="Q66" s="736"/>
      <c r="R66" s="736"/>
    </row>
    <row r="67" spans="1:18">
      <c r="A67" s="1104"/>
      <c r="B67" s="1104"/>
      <c r="C67" s="1104"/>
      <c r="D67" s="1104"/>
      <c r="E67" s="1104"/>
      <c r="F67" s="1104"/>
      <c r="G67" s="1104"/>
      <c r="H67" s="1104"/>
      <c r="I67" s="1104"/>
      <c r="J67" s="1104"/>
      <c r="K67" s="1104"/>
      <c r="L67" s="1104"/>
      <c r="M67" s="1104"/>
      <c r="N67" s="1104"/>
      <c r="O67" s="1104"/>
      <c r="P67" s="1104"/>
      <c r="Q67" s="1104"/>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7" t="s">
        <v>240</v>
      </c>
      <c r="B69" s="1120" t="s">
        <v>350</v>
      </c>
      <c r="C69" s="1121"/>
      <c r="D69" s="1124" t="s">
        <v>351</v>
      </c>
      <c r="E69" s="1125"/>
      <c r="F69" s="1125"/>
      <c r="G69" s="1125"/>
      <c r="H69" s="1125"/>
      <c r="I69" s="1125"/>
      <c r="J69" s="1125"/>
      <c r="K69" s="1125"/>
      <c r="L69" s="1125"/>
      <c r="M69" s="1125"/>
      <c r="N69" s="1125"/>
      <c r="O69" s="1126"/>
      <c r="P69" s="999" t="s">
        <v>662</v>
      </c>
      <c r="Q69" s="1127" t="s">
        <v>661</v>
      </c>
      <c r="R69" s="1128"/>
    </row>
    <row r="70" spans="1:18" ht="61.5" thickTop="1" thickBot="1">
      <c r="A70" s="1119"/>
      <c r="B70" s="1122"/>
      <c r="C70" s="1123"/>
      <c r="D70" s="1129" t="s">
        <v>196</v>
      </c>
      <c r="E70" s="1130"/>
      <c r="F70" s="1130"/>
      <c r="G70" s="1130"/>
      <c r="H70" s="1131"/>
      <c r="I70" s="979" t="s">
        <v>245</v>
      </c>
      <c r="J70" s="979" t="s">
        <v>233</v>
      </c>
      <c r="K70" s="979" t="s">
        <v>208</v>
      </c>
      <c r="L70" s="979" t="s">
        <v>209</v>
      </c>
      <c r="M70" s="738" t="s">
        <v>244</v>
      </c>
      <c r="N70" s="979" t="s">
        <v>246</v>
      </c>
      <c r="O70" s="981" t="s">
        <v>126</v>
      </c>
      <c r="P70" s="1000"/>
      <c r="Q70" s="848"/>
      <c r="R70" s="849"/>
    </row>
    <row r="71" spans="1:18" ht="95.25" customHeight="1" thickTop="1" thickBot="1">
      <c r="A71" s="1118"/>
      <c r="B71" s="984" t="s">
        <v>660</v>
      </c>
      <c r="C71" s="984" t="s">
        <v>858</v>
      </c>
      <c r="D71" s="1001" t="s">
        <v>198</v>
      </c>
      <c r="E71" s="1002" t="s">
        <v>199</v>
      </c>
      <c r="F71" s="979" t="s">
        <v>200</v>
      </c>
      <c r="G71" s="976" t="s">
        <v>202</v>
      </c>
      <c r="H71" s="1003" t="s">
        <v>203</v>
      </c>
      <c r="I71" s="980"/>
      <c r="J71" s="980"/>
      <c r="K71" s="980"/>
      <c r="L71" s="980"/>
      <c r="M71" s="977"/>
      <c r="N71" s="980"/>
      <c r="O71" s="985"/>
      <c r="P71" s="1004"/>
      <c r="Q71" s="987" t="s">
        <v>663</v>
      </c>
      <c r="R71" s="985" t="s">
        <v>664</v>
      </c>
    </row>
    <row r="72" spans="1:18" ht="15.75" thickTop="1">
      <c r="A72" s="739" t="s">
        <v>248</v>
      </c>
      <c r="B72" s="835">
        <f>'lokale energieproductie'!B4</f>
        <v>0</v>
      </c>
      <c r="C72" s="1153"/>
      <c r="D72" s="1153"/>
      <c r="E72" s="1154"/>
      <c r="F72" s="1154"/>
      <c r="G72" s="1144"/>
      <c r="H72" s="1147"/>
      <c r="I72" s="1150"/>
      <c r="J72" s="982"/>
      <c r="K72" s="1132"/>
      <c r="L72" s="1132"/>
      <c r="M72" s="1132"/>
      <c r="N72" s="1132"/>
      <c r="O72" s="1135"/>
      <c r="P72" s="843">
        <v>0</v>
      </c>
      <c r="Q72" s="1005"/>
      <c r="R72" s="843">
        <v>0</v>
      </c>
    </row>
    <row r="73" spans="1:18" ht="15">
      <c r="A73" s="740" t="s">
        <v>249</v>
      </c>
      <c r="B73" s="739">
        <f>'lokale energieproductie'!B5</f>
        <v>0</v>
      </c>
      <c r="C73" s="1151"/>
      <c r="D73" s="1151"/>
      <c r="E73" s="1133"/>
      <c r="F73" s="1133"/>
      <c r="G73" s="1145"/>
      <c r="H73" s="1148"/>
      <c r="I73" s="1151"/>
      <c r="J73" s="983"/>
      <c r="K73" s="1133"/>
      <c r="L73" s="1133"/>
      <c r="M73" s="1133"/>
      <c r="N73" s="1133"/>
      <c r="O73" s="1136"/>
      <c r="P73" s="844">
        <v>0</v>
      </c>
      <c r="Q73" s="850"/>
      <c r="R73" s="844">
        <v>0</v>
      </c>
    </row>
    <row r="74" spans="1:18" ht="15">
      <c r="A74" s="740" t="s">
        <v>250</v>
      </c>
      <c r="B74" s="739">
        <f>'lokale energieproductie'!B6</f>
        <v>7775.7552069356107</v>
      </c>
      <c r="C74" s="1151"/>
      <c r="D74" s="1151"/>
      <c r="E74" s="1133"/>
      <c r="F74" s="1133"/>
      <c r="G74" s="1145"/>
      <c r="H74" s="1148"/>
      <c r="I74" s="1151"/>
      <c r="J74" s="983"/>
      <c r="K74" s="1133"/>
      <c r="L74" s="1133"/>
      <c r="M74" s="1133"/>
      <c r="N74" s="1133"/>
      <c r="O74" s="1136"/>
      <c r="P74" s="844">
        <v>0</v>
      </c>
      <c r="Q74" s="850"/>
      <c r="R74" s="844">
        <v>0</v>
      </c>
    </row>
    <row r="75" spans="1:18" ht="15.75" thickBot="1">
      <c r="A75" s="740" t="s">
        <v>859</v>
      </c>
      <c r="B75" s="739">
        <f>'lokale energieproductie'!B7</f>
        <v>0</v>
      </c>
      <c r="C75" s="1152"/>
      <c r="D75" s="1152"/>
      <c r="E75" s="1134"/>
      <c r="F75" s="1134"/>
      <c r="G75" s="1146"/>
      <c r="H75" s="1149"/>
      <c r="I75" s="1152"/>
      <c r="J75" s="1006"/>
      <c r="K75" s="1134"/>
      <c r="L75" s="1134"/>
      <c r="M75" s="1134"/>
      <c r="N75" s="1134"/>
      <c r="O75" s="1137"/>
      <c r="P75" s="844">
        <v>0</v>
      </c>
      <c r="Q75" s="1007"/>
      <c r="R75" s="844">
        <v>0</v>
      </c>
    </row>
    <row r="76" spans="1:18" ht="15">
      <c r="A76" s="741" t="s">
        <v>251</v>
      </c>
      <c r="B76" s="739">
        <f>'lokale energieproductie'!B8*IFERROR(SUM(I76:O76)/SUM(D76:O76),0)</f>
        <v>0</v>
      </c>
      <c r="C76" s="739">
        <f>'lokale energieproductie'!B8*IFERROR(SUM(D76:H76)/SUM(D76:O76),0)</f>
        <v>6300</v>
      </c>
      <c r="D76" s="1008">
        <f>'lokale energieproductie'!C8</f>
        <v>7411.7647058823522</v>
      </c>
      <c r="E76" s="1009">
        <f>'lokale energieproductie'!D8</f>
        <v>0</v>
      </c>
      <c r="F76" s="1009">
        <f>'lokale energieproductie'!E8</f>
        <v>0</v>
      </c>
      <c r="G76" s="1009">
        <f>'lokale energieproductie'!F8</f>
        <v>0</v>
      </c>
      <c r="H76" s="1009">
        <f>'lokale energieproductie'!G8</f>
        <v>0</v>
      </c>
      <c r="I76" s="1009">
        <f>'lokale energieproductie'!I8</f>
        <v>0</v>
      </c>
      <c r="J76" s="1009">
        <f>'lokale energieproductie'!J8</f>
        <v>0</v>
      </c>
      <c r="K76" s="1009">
        <f>'lokale energieproductie'!M8</f>
        <v>0</v>
      </c>
      <c r="L76" s="1009">
        <f>'lokale energieproductie'!N8</f>
        <v>0</v>
      </c>
      <c r="M76" s="1009">
        <f>'lokale energieproductie'!H8</f>
        <v>0</v>
      </c>
      <c r="N76" s="1009">
        <f>'lokale energieproductie'!K8</f>
        <v>0</v>
      </c>
      <c r="O76" s="1010">
        <f>'lokale energieproductie'!L8</f>
        <v>0</v>
      </c>
      <c r="P76" s="1011"/>
      <c r="Q76" s="845">
        <f>D76*EF_CO2_aardgas+E76*EF_VLgas_CO2+'SEAP template'!F76*EF_stookolie_CO2+EF_bruinkool_CO2*'SEAP template'!G76+'SEAP template'!H76*EF_steenkool_CO2+'EF brandstof'!M4*'SEAP template'!M76+'SEAP template'!O76*EF_anderfossiel_CO2</f>
        <v>1497.1764705882354</v>
      </c>
      <c r="R76" s="844">
        <v>0</v>
      </c>
    </row>
    <row r="77" spans="1:18" ht="30.75" thickBot="1">
      <c r="A77" s="742" t="s">
        <v>352</v>
      </c>
      <c r="B77" s="739">
        <f>'lokale energieproductie'!B9*IFERROR(SUM(I77:O77)/SUM(D77:O77),0)</f>
        <v>1035</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09">
        <f>'lokale energieproductie'!I9</f>
        <v>0</v>
      </c>
      <c r="J77" s="1009">
        <f>'lokale energieproductie'!J9</f>
        <v>2957.1428571428573</v>
      </c>
      <c r="K77" s="1009">
        <f>'lokale energieproductie'!M9</f>
        <v>0</v>
      </c>
      <c r="L77" s="1009">
        <f>'lokale energieproductie'!N9</f>
        <v>0</v>
      </c>
      <c r="M77" s="1009">
        <f>'lokale energieproductie'!H9</f>
        <v>0</v>
      </c>
      <c r="N77" s="1009">
        <f>'lokale energieproductie'!K9</f>
        <v>0</v>
      </c>
      <c r="O77" s="1010">
        <f>'lokale energieproductie'!L9</f>
        <v>0</v>
      </c>
      <c r="P77" s="837"/>
      <c r="Q77" s="845">
        <f>D77*EF_CO2_aardgas+E77*EF_VLgas_CO2+'SEAP template'!F77*EF_stookolie_CO2+EF_bruinkool_CO2*'SEAP template'!G77+'SEAP template'!H77*EF_steenkool_CO2+'EF brandstof'!M4*'SEAP template'!M77+'SEAP template'!O77*EF_anderfossiel_CO2</f>
        <v>0</v>
      </c>
      <c r="R77" s="847">
        <v>0</v>
      </c>
    </row>
    <row r="78" spans="1:18" ht="16.5" thickTop="1" thickBot="1">
      <c r="A78" s="743" t="s">
        <v>115</v>
      </c>
      <c r="B78" s="744">
        <f>SUM(B72:B77)</f>
        <v>8810.7552069356097</v>
      </c>
      <c r="C78" s="744">
        <f>SUM(C72:C77)</f>
        <v>6300</v>
      </c>
      <c r="D78" s="745">
        <f t="shared" ref="D78:H78" si="10">SUM(D76:D77)</f>
        <v>7411.7647058823522</v>
      </c>
      <c r="E78" s="745">
        <f t="shared" si="10"/>
        <v>0</v>
      </c>
      <c r="F78" s="745">
        <f t="shared" si="10"/>
        <v>0</v>
      </c>
      <c r="G78" s="745">
        <f t="shared" si="10"/>
        <v>0</v>
      </c>
      <c r="H78" s="745">
        <f t="shared" si="10"/>
        <v>0</v>
      </c>
      <c r="I78" s="745">
        <f>SUM(I76:I77)</f>
        <v>0</v>
      </c>
      <c r="J78" s="745">
        <f>SUM(J76:J77)</f>
        <v>2957.1428571428573</v>
      </c>
      <c r="K78" s="745">
        <f t="shared" ref="K78:L78" si="11">SUM(K76:K77)</f>
        <v>0</v>
      </c>
      <c r="L78" s="745">
        <f t="shared" si="11"/>
        <v>0</v>
      </c>
      <c r="M78" s="745">
        <f>SUM(M76:M77)</f>
        <v>0</v>
      </c>
      <c r="N78" s="745">
        <f>SUM(N76:N77)</f>
        <v>0</v>
      </c>
      <c r="O78" s="852">
        <f>SUM(O76:O77)</f>
        <v>0</v>
      </c>
      <c r="P78" s="746">
        <v>0</v>
      </c>
      <c r="Q78" s="746">
        <f>SUM(Q76:Q77)</f>
        <v>1497.1764705882354</v>
      </c>
      <c r="R78" s="746">
        <f>SUM(R72:R77)</f>
        <v>0</v>
      </c>
    </row>
    <row r="79" spans="1:18" ht="15.75" thickTop="1">
      <c r="A79" s="747"/>
      <c r="B79" s="799"/>
      <c r="C79" s="748"/>
      <c r="D79" s="748"/>
      <c r="E79" s="708"/>
      <c r="F79" s="707"/>
      <c r="G79" s="707"/>
      <c r="H79" s="707"/>
      <c r="I79" s="749"/>
      <c r="J79" s="707"/>
      <c r="K79" s="707"/>
      <c r="L79" s="707"/>
      <c r="M79" s="707"/>
      <c r="N79" s="750"/>
      <c r="O79" s="707"/>
      <c r="P79" s="707"/>
      <c r="Q79" s="707"/>
      <c r="R79" s="707"/>
    </row>
    <row r="80" spans="1:18" ht="15">
      <c r="A80" s="986"/>
      <c r="B80" s="986"/>
      <c r="C80" s="748"/>
      <c r="D80" s="748"/>
      <c r="E80" s="707"/>
      <c r="F80" s="707"/>
      <c r="G80" s="707"/>
      <c r="H80" s="707"/>
      <c r="I80" s="707"/>
      <c r="J80" s="707"/>
      <c r="K80" s="707"/>
      <c r="L80" s="707"/>
      <c r="M80" s="707"/>
      <c r="N80" s="707"/>
      <c r="O80" s="707"/>
      <c r="P80" s="707"/>
      <c r="Q80" s="707"/>
      <c r="R80" s="707"/>
    </row>
    <row r="81" spans="1:19" ht="18.75">
      <c r="A81" s="751" t="s">
        <v>353</v>
      </c>
      <c r="B81" s="751"/>
      <c r="C81" s="752"/>
      <c r="D81" s="735"/>
      <c r="E81" s="707"/>
      <c r="F81" s="707"/>
      <c r="G81" s="707"/>
      <c r="H81" s="707"/>
      <c r="I81" s="707"/>
      <c r="J81" s="707"/>
      <c r="K81" s="707"/>
      <c r="L81" s="707"/>
      <c r="M81" s="707"/>
      <c r="N81" s="707"/>
      <c r="O81" s="707"/>
      <c r="P81" s="707"/>
      <c r="Q81" s="707"/>
      <c r="R81" s="707"/>
    </row>
    <row r="82" spans="1:19">
      <c r="A82" s="1104"/>
      <c r="B82" s="1104"/>
      <c r="C82" s="1104"/>
      <c r="D82" s="1104"/>
      <c r="E82" s="1104"/>
      <c r="F82" s="1104"/>
      <c r="G82" s="1104"/>
      <c r="H82" s="1104"/>
      <c r="I82" s="1104"/>
      <c r="J82" s="1104"/>
      <c r="K82" s="1104"/>
      <c r="L82" s="1104"/>
      <c r="M82" s="1104"/>
      <c r="N82" s="1104"/>
      <c r="O82" s="1104"/>
      <c r="P82" s="1104"/>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7" t="s">
        <v>252</v>
      </c>
      <c r="B84" s="1120" t="s">
        <v>354</v>
      </c>
      <c r="C84" s="1138"/>
      <c r="D84" s="1141" t="s">
        <v>355</v>
      </c>
      <c r="E84" s="1142"/>
      <c r="F84" s="1142"/>
      <c r="G84" s="1142"/>
      <c r="H84" s="1142"/>
      <c r="I84" s="1142"/>
      <c r="J84" s="1142"/>
      <c r="K84" s="1142"/>
      <c r="L84" s="1142"/>
      <c r="M84" s="1142"/>
      <c r="N84" s="1142"/>
      <c r="O84" s="1143"/>
      <c r="P84" s="999" t="s">
        <v>662</v>
      </c>
      <c r="Q84" s="1120" t="s">
        <v>661</v>
      </c>
      <c r="R84" s="1121"/>
    </row>
    <row r="85" spans="1:19" ht="16.5" customHeight="1" thickTop="1" thickBot="1">
      <c r="A85" s="1119"/>
      <c r="B85" s="1139"/>
      <c r="C85" s="1140"/>
      <c r="D85" s="1158" t="s">
        <v>196</v>
      </c>
      <c r="E85" s="1159"/>
      <c r="F85" s="1159"/>
      <c r="G85" s="1159"/>
      <c r="H85" s="1160"/>
      <c r="I85" s="1161" t="s">
        <v>245</v>
      </c>
      <c r="J85" s="1112" t="s">
        <v>233</v>
      </c>
      <c r="K85" s="1164" t="s">
        <v>208</v>
      </c>
      <c r="L85" s="1164" t="s">
        <v>209</v>
      </c>
      <c r="M85" s="1165" t="s">
        <v>244</v>
      </c>
      <c r="N85" s="1164" t="s">
        <v>256</v>
      </c>
      <c r="O85" s="1167" t="s">
        <v>126</v>
      </c>
      <c r="P85" s="1000"/>
      <c r="Q85" s="848"/>
      <c r="R85" s="849"/>
    </row>
    <row r="86" spans="1:19" ht="110.25" customHeight="1" thickTop="1" thickBot="1">
      <c r="A86" s="1118"/>
      <c r="B86" s="836" t="s">
        <v>660</v>
      </c>
      <c r="C86" s="836" t="s">
        <v>858</v>
      </c>
      <c r="D86" s="987" t="s">
        <v>198</v>
      </c>
      <c r="E86" s="980" t="s">
        <v>199</v>
      </c>
      <c r="F86" s="978" t="s">
        <v>200</v>
      </c>
      <c r="G86" s="980" t="s">
        <v>202</v>
      </c>
      <c r="H86" s="753" t="s">
        <v>203</v>
      </c>
      <c r="I86" s="1162"/>
      <c r="J86" s="1163"/>
      <c r="K86" s="1113"/>
      <c r="L86" s="1113"/>
      <c r="M86" s="1166"/>
      <c r="N86" s="1113"/>
      <c r="O86" s="1168"/>
      <c r="P86" s="1004"/>
      <c r="Q86" s="987" t="s">
        <v>663</v>
      </c>
      <c r="R86" s="985" t="s">
        <v>664</v>
      </c>
    </row>
    <row r="87" spans="1:19" ht="15.75" thickTop="1">
      <c r="A87" s="754" t="s">
        <v>251</v>
      </c>
      <c r="B87" s="755">
        <f>'lokale energieproductie'!B17*IFERROR(SUM(I87:O87)/SUM(D87:O87),0)</f>
        <v>0</v>
      </c>
      <c r="C87" s="755">
        <f>'lokale energieproductie'!B17*IFERROR(SUM(D87:H87)/SUM(D87:O87),0)</f>
        <v>9000</v>
      </c>
      <c r="D87" s="766">
        <f>'lokale energieproductie'!C17</f>
        <v>10588.235294117647</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155"/>
      <c r="Q87" s="851">
        <f>D87*EF_CO2_aardgas+E87*EF_VLgas_CO2+'SEAP template'!F87*EF_stookolie_CO2+EF_bruinkool_CO2*'SEAP template'!G87+'SEAP template'!H87*EF_steenkool_CO2+'EF brandstof'!M4*'SEAP template'!M87+'SEAP template'!O87*EF_anderfossiel_CO2</f>
        <v>2138.8235294117649</v>
      </c>
      <c r="R87" s="838">
        <v>0</v>
      </c>
    </row>
    <row r="88" spans="1:19" ht="15">
      <c r="A88" s="756" t="s">
        <v>257</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56"/>
      <c r="Q88" s="845">
        <f>D88*EF_CO2_aardgas+E88*EF_VLgas_CO2+'SEAP template'!F88*EF_stookolie_CO2+EF_bruinkool_CO2*'SEAP template'!G88+'SEAP template'!H88*EF_steenkool_CO2+'EF brandstof'!M4*'SEAP template'!M88+'SEAP template'!O88*EF_anderfossiel_CO2</f>
        <v>0</v>
      </c>
      <c r="R88" s="839">
        <v>0</v>
      </c>
    </row>
    <row r="89" spans="1:19" ht="30" thickBot="1">
      <c r="A89" s="742" t="s">
        <v>352</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57"/>
      <c r="Q89" s="846">
        <f>D89*EF_CO2_aardgas+E89*EF_VLgas_CO2+'SEAP template'!F89*EF_stookolie_CO2+EF_bruinkool_CO2*'SEAP template'!G89+'SEAP template'!H89*EF_steenkool_CO2+'EF brandstof'!M4*'SEAP template'!M89+'SEAP template'!O89*EF_anderfossiel_CO2</f>
        <v>0</v>
      </c>
      <c r="R89" s="840">
        <v>0</v>
      </c>
    </row>
    <row r="90" spans="1:19" ht="16.5" thickTop="1" thickBot="1">
      <c r="A90" s="757" t="s">
        <v>115</v>
      </c>
      <c r="B90" s="744">
        <f>SUM(B87:B89)</f>
        <v>0</v>
      </c>
      <c r="C90" s="744">
        <f>SUM(C87:C89)</f>
        <v>9000</v>
      </c>
      <c r="D90" s="744">
        <f t="shared" ref="D90:H90" si="12">SUM(D87:D89)</f>
        <v>10588.235294117647</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2138.8235294117649</v>
      </c>
      <c r="R90" s="852">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B14" sqref="B14"/>
    </sheetView>
  </sheetViews>
  <sheetFormatPr defaultColWidth="9.140625" defaultRowHeight="15"/>
  <cols>
    <col min="1" max="1" width="35.7109375" style="456" bestFit="1" customWidth="1"/>
    <col min="2" max="2" width="11.28515625" style="456" bestFit="1" customWidth="1"/>
    <col min="3" max="3" width="15.42578125" style="456" bestFit="1" customWidth="1"/>
    <col min="4" max="4" width="9.140625" style="456"/>
    <col min="5" max="5" width="16.28515625" style="456" customWidth="1"/>
    <col min="6" max="8" width="9.140625" style="456"/>
    <col min="9" max="9" width="14.28515625" style="456" customWidth="1"/>
    <col min="10" max="10" width="18.5703125" style="456" customWidth="1"/>
    <col min="11" max="11" width="15.140625" style="456" customWidth="1"/>
    <col min="12" max="12" width="15.42578125" style="456" customWidth="1"/>
    <col min="13" max="13" width="17" style="456" customWidth="1"/>
    <col min="14" max="14" width="16.42578125" style="456" customWidth="1"/>
    <col min="15" max="15" width="13.42578125" style="456" customWidth="1"/>
    <col min="16" max="16" width="18.28515625" style="456" customWidth="1"/>
    <col min="17" max="17" width="10.5703125" style="456" bestFit="1" customWidth="1"/>
    <col min="18" max="18" width="9.5703125" style="456" bestFit="1" customWidth="1"/>
    <col min="19" max="16384" width="9.140625" style="456"/>
  </cols>
  <sheetData>
    <row r="1" spans="1:17" ht="15.75">
      <c r="A1" s="1169" t="s">
        <v>562</v>
      </c>
      <c r="B1" s="1170" t="s">
        <v>558</v>
      </c>
      <c r="C1" s="1170"/>
      <c r="D1" s="1170"/>
      <c r="E1" s="1170"/>
      <c r="F1" s="1170"/>
      <c r="G1" s="1170"/>
      <c r="H1" s="1170"/>
      <c r="I1" s="1170"/>
      <c r="J1" s="1170"/>
      <c r="K1" s="1170"/>
      <c r="L1" s="1170"/>
      <c r="M1" s="1170"/>
      <c r="N1" s="1170"/>
      <c r="O1" s="1170"/>
      <c r="P1" s="1171"/>
      <c r="Q1" s="1012"/>
    </row>
    <row r="2" spans="1:17">
      <c r="A2" s="1169"/>
      <c r="B2" s="1172" t="s">
        <v>20</v>
      </c>
      <c r="C2" s="1174" t="s">
        <v>195</v>
      </c>
      <c r="D2" s="1176" t="s">
        <v>196</v>
      </c>
      <c r="E2" s="1177"/>
      <c r="F2" s="1177"/>
      <c r="G2" s="1177"/>
      <c r="H2" s="1177"/>
      <c r="I2" s="1177"/>
      <c r="J2" s="1177"/>
      <c r="K2" s="1173"/>
      <c r="L2" s="1176" t="s">
        <v>197</v>
      </c>
      <c r="M2" s="1177"/>
      <c r="N2" s="1177"/>
      <c r="O2" s="1177"/>
      <c r="P2" s="1173"/>
      <c r="Q2" s="1012"/>
    </row>
    <row r="3" spans="1:17" ht="45">
      <c r="A3" s="1169"/>
      <c r="B3" s="1173"/>
      <c r="C3" s="1175"/>
      <c r="D3" s="1012" t="s">
        <v>198</v>
      </c>
      <c r="E3" s="1012" t="s">
        <v>199</v>
      </c>
      <c r="F3" s="1012" t="s">
        <v>200</v>
      </c>
      <c r="G3" s="1012" t="s">
        <v>201</v>
      </c>
      <c r="H3" s="1012" t="s">
        <v>119</v>
      </c>
      <c r="I3" s="1012" t="s">
        <v>202</v>
      </c>
      <c r="J3" s="1012" t="s">
        <v>203</v>
      </c>
      <c r="K3" s="1012" t="s">
        <v>204</v>
      </c>
      <c r="L3" s="1012" t="s">
        <v>205</v>
      </c>
      <c r="M3" s="1012" t="s">
        <v>206</v>
      </c>
      <c r="N3" s="1012" t="s">
        <v>207</v>
      </c>
      <c r="O3" s="1012" t="s">
        <v>208</v>
      </c>
      <c r="P3" s="1012" t="s">
        <v>209</v>
      </c>
      <c r="Q3" s="1012" t="s">
        <v>115</v>
      </c>
    </row>
    <row r="4" spans="1:17">
      <c r="A4" s="457" t="s">
        <v>154</v>
      </c>
      <c r="B4" s="458">
        <f>huishoudens!B8</f>
        <v>20151.953215462876</v>
      </c>
      <c r="C4" s="458">
        <f>huishoudens!C8</f>
        <v>0</v>
      </c>
      <c r="D4" s="458">
        <f>huishoudens!D8</f>
        <v>56943.28013095128</v>
      </c>
      <c r="E4" s="458">
        <f>huishoudens!E8</f>
        <v>9215.691087578547</v>
      </c>
      <c r="F4" s="458">
        <f>huishoudens!F8</f>
        <v>11063.580587495509</v>
      </c>
      <c r="G4" s="458">
        <f>huishoudens!G8</f>
        <v>0</v>
      </c>
      <c r="H4" s="458">
        <f>huishoudens!H8</f>
        <v>0</v>
      </c>
      <c r="I4" s="458">
        <f>huishoudens!I8</f>
        <v>0</v>
      </c>
      <c r="J4" s="458">
        <f>huishoudens!J8</f>
        <v>0</v>
      </c>
      <c r="K4" s="458">
        <f>huishoudens!K8</f>
        <v>0</v>
      </c>
      <c r="L4" s="458">
        <f>huishoudens!L8</f>
        <v>0</v>
      </c>
      <c r="M4" s="458">
        <f>huishoudens!M8</f>
        <v>0</v>
      </c>
      <c r="N4" s="458">
        <f>huishoudens!N8</f>
        <v>20831.660065596734</v>
      </c>
      <c r="O4" s="458">
        <f>huishoudens!O8</f>
        <v>243.88000000000002</v>
      </c>
      <c r="P4" s="459">
        <f>huishoudens!P8</f>
        <v>457.6</v>
      </c>
      <c r="Q4" s="460">
        <f>SUM(B4:P4)</f>
        <v>118907.64508708497</v>
      </c>
    </row>
    <row r="5" spans="1:17">
      <c r="A5" s="457" t="s">
        <v>155</v>
      </c>
      <c r="B5" s="458">
        <f ca="1">tertiair!B16</f>
        <v>21450.117634579827</v>
      </c>
      <c r="C5" s="458">
        <f ca="1">tertiair!C16</f>
        <v>0</v>
      </c>
      <c r="D5" s="458">
        <f ca="1">tertiair!D16</f>
        <v>23196.79265911007</v>
      </c>
      <c r="E5" s="458">
        <f>tertiair!E16</f>
        <v>318.50371367332571</v>
      </c>
      <c r="F5" s="458">
        <f ca="1">tertiair!F16</f>
        <v>4087.9699121857957</v>
      </c>
      <c r="G5" s="458">
        <f>tertiair!G16</f>
        <v>0</v>
      </c>
      <c r="H5" s="458">
        <f>tertiair!H16</f>
        <v>0</v>
      </c>
      <c r="I5" s="458">
        <f>tertiair!I16</f>
        <v>0</v>
      </c>
      <c r="J5" s="458">
        <f>tertiair!J16</f>
        <v>0</v>
      </c>
      <c r="K5" s="458">
        <f>tertiair!K16</f>
        <v>0</v>
      </c>
      <c r="L5" s="458">
        <f ca="1">tertiair!L16</f>
        <v>0</v>
      </c>
      <c r="M5" s="458">
        <f>tertiair!M16</f>
        <v>0</v>
      </c>
      <c r="N5" s="458">
        <f ca="1">tertiair!N16</f>
        <v>0</v>
      </c>
      <c r="O5" s="458">
        <f>tertiair!O16</f>
        <v>3.1266666666666669</v>
      </c>
      <c r="P5" s="459">
        <f>tertiair!P16</f>
        <v>19.066666666666666</v>
      </c>
      <c r="Q5" s="457">
        <f t="shared" ref="Q5:Q14" ca="1" si="0">SUM(B5:P5)</f>
        <v>49075.577252882344</v>
      </c>
    </row>
    <row r="6" spans="1:17">
      <c r="A6" s="457" t="s">
        <v>193</v>
      </c>
      <c r="B6" s="458">
        <f>'openbare verlichting'!B8</f>
        <v>636.673</v>
      </c>
      <c r="C6" s="458"/>
      <c r="D6" s="458"/>
      <c r="E6" s="458"/>
      <c r="F6" s="458"/>
      <c r="G6" s="458"/>
      <c r="H6" s="458"/>
      <c r="I6" s="458"/>
      <c r="J6" s="458"/>
      <c r="K6" s="458"/>
      <c r="L6" s="458"/>
      <c r="M6" s="458"/>
      <c r="N6" s="458"/>
      <c r="O6" s="458"/>
      <c r="P6" s="459"/>
      <c r="Q6" s="457">
        <f t="shared" si="0"/>
        <v>636.673</v>
      </c>
    </row>
    <row r="7" spans="1:17">
      <c r="A7" s="457" t="s">
        <v>111</v>
      </c>
      <c r="B7" s="458">
        <f>landbouw!B8</f>
        <v>472.66475898465399</v>
      </c>
      <c r="C7" s="458">
        <f>landbouw!C8</f>
        <v>9000</v>
      </c>
      <c r="D7" s="458">
        <f>landbouw!D8</f>
        <v>4516.816857951897</v>
      </c>
      <c r="E7" s="458">
        <f>landbouw!E8</f>
        <v>5.9561848792213672</v>
      </c>
      <c r="F7" s="458">
        <f>landbouw!F8</f>
        <v>1630.8118280944454</v>
      </c>
      <c r="G7" s="458">
        <f>landbouw!G8</f>
        <v>0</v>
      </c>
      <c r="H7" s="458">
        <f>landbouw!H8</f>
        <v>0</v>
      </c>
      <c r="I7" s="458">
        <f>landbouw!I8</f>
        <v>0</v>
      </c>
      <c r="J7" s="458">
        <f>landbouw!J8</f>
        <v>71.083406687944873</v>
      </c>
      <c r="K7" s="458">
        <f>landbouw!K8</f>
        <v>0</v>
      </c>
      <c r="L7" s="458">
        <f>landbouw!L8</f>
        <v>0</v>
      </c>
      <c r="M7" s="458">
        <f>landbouw!M8</f>
        <v>0</v>
      </c>
      <c r="N7" s="458">
        <f>landbouw!N8</f>
        <v>0</v>
      </c>
      <c r="O7" s="458">
        <f>landbouw!O8</f>
        <v>0</v>
      </c>
      <c r="P7" s="459">
        <f>landbouw!P8</f>
        <v>0</v>
      </c>
      <c r="Q7" s="457">
        <f t="shared" si="0"/>
        <v>15697.333036598164</v>
      </c>
    </row>
    <row r="8" spans="1:17">
      <c r="A8" s="457" t="s">
        <v>655</v>
      </c>
      <c r="B8" s="458">
        <f>industrie!B18</f>
        <v>73011.189852326323</v>
      </c>
      <c r="C8" s="458">
        <f>industrie!C18</f>
        <v>0</v>
      </c>
      <c r="D8" s="458">
        <f>industrie!D18</f>
        <v>87043.11880259098</v>
      </c>
      <c r="E8" s="458">
        <f>industrie!E18</f>
        <v>5192.9687994590868</v>
      </c>
      <c r="F8" s="458">
        <f>industrie!F18</f>
        <v>49583.619094702291</v>
      </c>
      <c r="G8" s="458">
        <f>industrie!G18</f>
        <v>0</v>
      </c>
      <c r="H8" s="458">
        <f>industrie!H18</f>
        <v>0</v>
      </c>
      <c r="I8" s="458">
        <f>industrie!I18</f>
        <v>0</v>
      </c>
      <c r="J8" s="458">
        <f>industrie!J18</f>
        <v>117.30057810376063</v>
      </c>
      <c r="K8" s="458">
        <f>industrie!K18</f>
        <v>0</v>
      </c>
      <c r="L8" s="458">
        <f>industrie!L18</f>
        <v>0</v>
      </c>
      <c r="M8" s="458">
        <f>industrie!M18</f>
        <v>0</v>
      </c>
      <c r="N8" s="458">
        <f>industrie!N18</f>
        <v>9666.8743141455889</v>
      </c>
      <c r="O8" s="458">
        <f>industrie!O18</f>
        <v>0</v>
      </c>
      <c r="P8" s="459">
        <f>industrie!P18</f>
        <v>0</v>
      </c>
      <c r="Q8" s="457">
        <f t="shared" si="0"/>
        <v>224615.07144132801</v>
      </c>
    </row>
    <row r="9" spans="1:17" s="463" customFormat="1">
      <c r="A9" s="461" t="s">
        <v>573</v>
      </c>
      <c r="B9" s="462">
        <f>transport!B14</f>
        <v>6.1917463275244309</v>
      </c>
      <c r="C9" s="462">
        <f>transport!C14</f>
        <v>0</v>
      </c>
      <c r="D9" s="462">
        <f>transport!D14</f>
        <v>9.5048119326856231</v>
      </c>
      <c r="E9" s="462">
        <f>transport!E14</f>
        <v>373.47132397669833</v>
      </c>
      <c r="F9" s="462">
        <f>transport!F14</f>
        <v>0</v>
      </c>
      <c r="G9" s="462">
        <f>transport!G14</f>
        <v>112184.93634102448</v>
      </c>
      <c r="H9" s="462">
        <f>transport!H14</f>
        <v>17786.162421889741</v>
      </c>
      <c r="I9" s="462">
        <f>transport!I14</f>
        <v>0</v>
      </c>
      <c r="J9" s="462">
        <f>transport!J14</f>
        <v>0</v>
      </c>
      <c r="K9" s="462">
        <f>transport!K14</f>
        <v>0</v>
      </c>
      <c r="L9" s="462">
        <f>transport!L14</f>
        <v>0</v>
      </c>
      <c r="M9" s="462">
        <f>transport!M14</f>
        <v>5876.0349739275453</v>
      </c>
      <c r="N9" s="462">
        <f>transport!N14</f>
        <v>0</v>
      </c>
      <c r="O9" s="462">
        <f>transport!O14</f>
        <v>0</v>
      </c>
      <c r="P9" s="462">
        <f>transport!P14</f>
        <v>0</v>
      </c>
      <c r="Q9" s="461">
        <f>SUM(B9:P9)</f>
        <v>136236.30161907867</v>
      </c>
    </row>
    <row r="10" spans="1:17">
      <c r="A10" s="457" t="s">
        <v>563</v>
      </c>
      <c r="B10" s="458">
        <f>transport!B54</f>
        <v>0</v>
      </c>
      <c r="C10" s="458">
        <f>transport!C54</f>
        <v>0</v>
      </c>
      <c r="D10" s="458">
        <f>transport!D54</f>
        <v>0</v>
      </c>
      <c r="E10" s="458">
        <f>transport!E54</f>
        <v>0</v>
      </c>
      <c r="F10" s="458">
        <f>transport!F54</f>
        <v>0</v>
      </c>
      <c r="G10" s="458">
        <f>transport!G54</f>
        <v>655.93321732947686</v>
      </c>
      <c r="H10" s="458">
        <f>transport!H54</f>
        <v>0</v>
      </c>
      <c r="I10" s="458">
        <f>transport!I54</f>
        <v>0</v>
      </c>
      <c r="J10" s="458">
        <f>transport!J54</f>
        <v>0</v>
      </c>
      <c r="K10" s="458">
        <f>transport!K54</f>
        <v>0</v>
      </c>
      <c r="L10" s="458">
        <f>transport!L54</f>
        <v>0</v>
      </c>
      <c r="M10" s="458">
        <f>transport!M54</f>
        <v>29.196130151758958</v>
      </c>
      <c r="N10" s="458">
        <f>transport!N54</f>
        <v>0</v>
      </c>
      <c r="O10" s="458">
        <f>transport!O54</f>
        <v>0</v>
      </c>
      <c r="P10" s="459">
        <f>transport!P54</f>
        <v>0</v>
      </c>
      <c r="Q10" s="457">
        <f t="shared" si="0"/>
        <v>685.12934748123587</v>
      </c>
    </row>
    <row r="11" spans="1:17">
      <c r="A11" s="457" t="s">
        <v>564</v>
      </c>
      <c r="B11" s="458">
        <f>'Eigen gebouwen'!B15</f>
        <v>0</v>
      </c>
      <c r="C11" s="458">
        <f>'Eigen gebouwen'!C15</f>
        <v>0</v>
      </c>
      <c r="D11" s="458">
        <f>'Eigen gebouwen'!D15</f>
        <v>0</v>
      </c>
      <c r="E11" s="458">
        <f>'Eigen gebouwen'!E15</f>
        <v>0</v>
      </c>
      <c r="F11" s="458">
        <f>'Eigen gebouwen'!F15</f>
        <v>0</v>
      </c>
      <c r="G11" s="458">
        <f>'Eigen gebouwen'!G15</f>
        <v>0</v>
      </c>
      <c r="H11" s="458">
        <f>'Eigen gebouwen'!H15</f>
        <v>0</v>
      </c>
      <c r="I11" s="458">
        <f>'Eigen gebouwen'!I15</f>
        <v>0</v>
      </c>
      <c r="J11" s="458">
        <f>'Eigen gebouwen'!J15</f>
        <v>0</v>
      </c>
      <c r="K11" s="458">
        <f>'Eigen gebouwen'!K15</f>
        <v>0</v>
      </c>
      <c r="L11" s="458">
        <f>'Eigen gebouwen'!L15</f>
        <v>0</v>
      </c>
      <c r="M11" s="458">
        <f>'Eigen gebouwen'!M15</f>
        <v>0</v>
      </c>
      <c r="N11" s="458">
        <f>'Eigen gebouwen'!N15</f>
        <v>0</v>
      </c>
      <c r="O11" s="458">
        <f>'Eigen gebouwen'!O15</f>
        <v>0</v>
      </c>
      <c r="P11" s="459">
        <f>'Eigen gebouwen'!P15</f>
        <v>0</v>
      </c>
      <c r="Q11" s="457">
        <f t="shared" si="0"/>
        <v>0</v>
      </c>
    </row>
    <row r="12" spans="1:17">
      <c r="A12" s="457" t="s">
        <v>565</v>
      </c>
      <c r="B12" s="458">
        <f>'Eigen openbare verlichting'!B15</f>
        <v>0</v>
      </c>
      <c r="C12" s="458"/>
      <c r="D12" s="458"/>
      <c r="E12" s="458"/>
      <c r="F12" s="458"/>
      <c r="G12" s="458"/>
      <c r="H12" s="458"/>
      <c r="I12" s="458"/>
      <c r="J12" s="458"/>
      <c r="K12" s="458"/>
      <c r="L12" s="458"/>
      <c r="M12" s="458"/>
      <c r="N12" s="458"/>
      <c r="O12" s="458"/>
      <c r="P12" s="459"/>
      <c r="Q12" s="457">
        <f t="shared" si="0"/>
        <v>0</v>
      </c>
    </row>
    <row r="13" spans="1:17">
      <c r="A13" s="457" t="s">
        <v>566</v>
      </c>
      <c r="B13" s="458">
        <f>'Eigen vloot'!B27</f>
        <v>0</v>
      </c>
      <c r="C13" s="458">
        <f>'Eigen vloot'!C27</f>
        <v>0</v>
      </c>
      <c r="D13" s="458">
        <f>'Eigen vloot'!D27</f>
        <v>0</v>
      </c>
      <c r="E13" s="458">
        <f>'Eigen vloot'!E27</f>
        <v>0</v>
      </c>
      <c r="F13" s="458">
        <f>'Eigen vloot'!F27</f>
        <v>0</v>
      </c>
      <c r="G13" s="458">
        <f>'Eigen vloot'!G27</f>
        <v>0</v>
      </c>
      <c r="H13" s="458">
        <f>'Eigen vloot'!H27</f>
        <v>0</v>
      </c>
      <c r="I13" s="458">
        <f>'Eigen vloot'!I27</f>
        <v>0</v>
      </c>
      <c r="J13" s="458">
        <f>'Eigen vloot'!J27</f>
        <v>0</v>
      </c>
      <c r="K13" s="458">
        <f>'Eigen vloot'!K27</f>
        <v>0</v>
      </c>
      <c r="L13" s="458">
        <f>'Eigen vloot'!L27</f>
        <v>0</v>
      </c>
      <c r="M13" s="458">
        <f>'Eigen vloot'!M27</f>
        <v>0</v>
      </c>
      <c r="N13" s="458">
        <f>'Eigen vloot'!N27</f>
        <v>0</v>
      </c>
      <c r="O13" s="458">
        <f>'Eigen vloot'!O27</f>
        <v>0</v>
      </c>
      <c r="P13" s="459">
        <f>'Eigen vloot'!P27</f>
        <v>0</v>
      </c>
      <c r="Q13" s="457">
        <f t="shared" si="0"/>
        <v>0</v>
      </c>
    </row>
    <row r="14" spans="1:17">
      <c r="A14" s="464" t="s">
        <v>862</v>
      </c>
      <c r="B14" s="465">
        <f>'SEAP template'!C25</f>
        <v>645.009191538349</v>
      </c>
      <c r="C14" s="465"/>
      <c r="D14" s="465">
        <f>'SEAP template'!E25</f>
        <v>2087.5706927333199</v>
      </c>
      <c r="E14" s="465"/>
      <c r="F14" s="465"/>
      <c r="G14" s="465"/>
      <c r="H14" s="465"/>
      <c r="I14" s="465"/>
      <c r="J14" s="465"/>
      <c r="K14" s="465"/>
      <c r="L14" s="465"/>
      <c r="M14" s="465"/>
      <c r="N14" s="465"/>
      <c r="O14" s="465"/>
      <c r="P14" s="466"/>
      <c r="Q14" s="457">
        <f t="shared" si="0"/>
        <v>2732.579884271669</v>
      </c>
    </row>
    <row r="15" spans="1:17" s="470" customFormat="1">
      <c r="A15" s="467" t="s">
        <v>567</v>
      </c>
      <c r="B15" s="468">
        <f ca="1">SUM(B4:B14)</f>
        <v>116373.79939921957</v>
      </c>
      <c r="C15" s="468">
        <f t="shared" ref="C15:Q15" ca="1" si="1">SUM(C4:C14)</f>
        <v>9000</v>
      </c>
      <c r="D15" s="468">
        <f t="shared" ca="1" si="1"/>
        <v>173797.08395527021</v>
      </c>
      <c r="E15" s="468">
        <f t="shared" si="1"/>
        <v>15106.59110956688</v>
      </c>
      <c r="F15" s="468">
        <f t="shared" ca="1" si="1"/>
        <v>66365.981422478042</v>
      </c>
      <c r="G15" s="468">
        <f t="shared" si="1"/>
        <v>112840.86955835397</v>
      </c>
      <c r="H15" s="468">
        <f t="shared" si="1"/>
        <v>17786.162421889741</v>
      </c>
      <c r="I15" s="468">
        <f t="shared" si="1"/>
        <v>0</v>
      </c>
      <c r="J15" s="468">
        <f t="shared" si="1"/>
        <v>188.3839847917055</v>
      </c>
      <c r="K15" s="468">
        <f t="shared" si="1"/>
        <v>0</v>
      </c>
      <c r="L15" s="468">
        <f t="shared" ca="1" si="1"/>
        <v>0</v>
      </c>
      <c r="M15" s="468">
        <f t="shared" si="1"/>
        <v>5905.2311040793038</v>
      </c>
      <c r="N15" s="468">
        <f t="shared" ca="1" si="1"/>
        <v>30498.534379742323</v>
      </c>
      <c r="O15" s="468">
        <f t="shared" si="1"/>
        <v>247.00666666666669</v>
      </c>
      <c r="P15" s="468">
        <f t="shared" si="1"/>
        <v>476.66666666666669</v>
      </c>
      <c r="Q15" s="468">
        <f t="shared" ca="1" si="1"/>
        <v>548586.31066872505</v>
      </c>
    </row>
    <row r="17" spans="1:17">
      <c r="A17" s="471" t="s">
        <v>568</v>
      </c>
      <c r="B17" s="777">
        <f ca="1">huishoudens!B10</f>
        <v>0.20516911332571913</v>
      </c>
      <c r="C17" s="777">
        <f ca="1">huishoudens!C10</f>
        <v>0.23764705882352943</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69" t="s">
        <v>570</v>
      </c>
      <c r="B19" s="1170" t="s">
        <v>569</v>
      </c>
      <c r="C19" s="1170"/>
      <c r="D19" s="1170"/>
      <c r="E19" s="1170"/>
      <c r="F19" s="1170"/>
      <c r="G19" s="1170"/>
      <c r="H19" s="1170"/>
      <c r="I19" s="1170"/>
      <c r="J19" s="1170"/>
      <c r="K19" s="1170"/>
      <c r="L19" s="1170"/>
      <c r="M19" s="1170"/>
      <c r="N19" s="1170"/>
      <c r="O19" s="1170"/>
      <c r="P19" s="1171"/>
      <c r="Q19" s="1012"/>
    </row>
    <row r="20" spans="1:17" ht="15" customHeight="1">
      <c r="A20" s="1169"/>
      <c r="B20" s="1172" t="s">
        <v>20</v>
      </c>
      <c r="C20" s="1174" t="s">
        <v>195</v>
      </c>
      <c r="D20" s="1176" t="s">
        <v>196</v>
      </c>
      <c r="E20" s="1177"/>
      <c r="F20" s="1177"/>
      <c r="G20" s="1177"/>
      <c r="H20" s="1177"/>
      <c r="I20" s="1177"/>
      <c r="J20" s="1177"/>
      <c r="K20" s="1173"/>
      <c r="L20" s="1176" t="s">
        <v>197</v>
      </c>
      <c r="M20" s="1177"/>
      <c r="N20" s="1177"/>
      <c r="O20" s="1177"/>
      <c r="P20" s="1173"/>
      <c r="Q20" s="1012"/>
    </row>
    <row r="21" spans="1:17" ht="45">
      <c r="A21" s="1169"/>
      <c r="B21" s="1173"/>
      <c r="C21" s="1175"/>
      <c r="D21" s="1012" t="s">
        <v>198</v>
      </c>
      <c r="E21" s="1012" t="s">
        <v>199</v>
      </c>
      <c r="F21" s="1012" t="s">
        <v>200</v>
      </c>
      <c r="G21" s="1012" t="s">
        <v>201</v>
      </c>
      <c r="H21" s="1012" t="s">
        <v>119</v>
      </c>
      <c r="I21" s="1012" t="s">
        <v>202</v>
      </c>
      <c r="J21" s="1012" t="s">
        <v>203</v>
      </c>
      <c r="K21" s="1012" t="s">
        <v>204</v>
      </c>
      <c r="L21" s="1012" t="s">
        <v>205</v>
      </c>
      <c r="M21" s="1012" t="s">
        <v>206</v>
      </c>
      <c r="N21" s="1012" t="s">
        <v>207</v>
      </c>
      <c r="O21" s="1012" t="s">
        <v>208</v>
      </c>
      <c r="P21" s="1012" t="s">
        <v>209</v>
      </c>
      <c r="Q21" s="1012" t="s">
        <v>115</v>
      </c>
    </row>
    <row r="22" spans="1:17">
      <c r="A22" s="457" t="s">
        <v>154</v>
      </c>
      <c r="B22" s="458">
        <f t="shared" ref="B22:B32" ca="1" si="2">B4*$B$17</f>
        <v>4134.5583729978925</v>
      </c>
      <c r="C22" s="458">
        <f t="shared" ref="C22:C32" ca="1" si="3">C4*$C$17</f>
        <v>0</v>
      </c>
      <c r="D22" s="458">
        <f t="shared" ref="D22:D32" si="4">D4*$D$17</f>
        <v>11502.542586452159</v>
      </c>
      <c r="E22" s="458">
        <f t="shared" ref="E22:E32" si="5">E4*$E$17</f>
        <v>2091.9618768803302</v>
      </c>
      <c r="F22" s="458">
        <f t="shared" ref="F22:F32" si="6">F4*$F$17</f>
        <v>2953.9760168613011</v>
      </c>
      <c r="G22" s="458">
        <f t="shared" ref="G22:G32" si="7">G4*$G$17</f>
        <v>0</v>
      </c>
      <c r="H22" s="458">
        <f t="shared" ref="H22:H32" si="8">H4*$H$17</f>
        <v>0</v>
      </c>
      <c r="I22" s="458">
        <f t="shared" ref="I22:I32" si="9">I4*$I$17</f>
        <v>0</v>
      </c>
      <c r="J22" s="458">
        <f t="shared" ref="J22:J32" si="10">J4*$J$17</f>
        <v>0</v>
      </c>
      <c r="K22" s="458">
        <f t="shared" ref="K22:K32" si="11">K4*$K$17</f>
        <v>0</v>
      </c>
      <c r="L22" s="458">
        <f t="shared" ref="L22:L32" si="12">L4*$L$17</f>
        <v>0</v>
      </c>
      <c r="M22" s="458">
        <f t="shared" ref="M22:M32" si="13">M4*$M$17</f>
        <v>0</v>
      </c>
      <c r="N22" s="458">
        <f t="shared" ref="N22:N32" si="14">N4*$N$17</f>
        <v>0</v>
      </c>
      <c r="O22" s="458">
        <f t="shared" ref="O22:O32" si="15">O4*$O$17</f>
        <v>0</v>
      </c>
      <c r="P22" s="472">
        <f t="shared" ref="P22:P32" si="16">P4*$P$17</f>
        <v>0</v>
      </c>
      <c r="Q22" s="460">
        <f ca="1">SUM(B22:P22)</f>
        <v>20683.038853191683</v>
      </c>
    </row>
    <row r="23" spans="1:17">
      <c r="A23" s="457" t="s">
        <v>155</v>
      </c>
      <c r="B23" s="458">
        <f t="shared" ca="1" si="2"/>
        <v>4400.9016158191152</v>
      </c>
      <c r="C23" s="458">
        <f t="shared" ca="1" si="3"/>
        <v>0</v>
      </c>
      <c r="D23" s="458">
        <f t="shared" ca="1" si="4"/>
        <v>4685.7521171402341</v>
      </c>
      <c r="E23" s="458">
        <f t="shared" si="5"/>
        <v>72.300343003844944</v>
      </c>
      <c r="F23" s="458">
        <f t="shared" ca="1" si="6"/>
        <v>1091.4879665536075</v>
      </c>
      <c r="G23" s="458">
        <f t="shared" si="7"/>
        <v>0</v>
      </c>
      <c r="H23" s="458">
        <f t="shared" si="8"/>
        <v>0</v>
      </c>
      <c r="I23" s="458">
        <f t="shared" si="9"/>
        <v>0</v>
      </c>
      <c r="J23" s="458">
        <f t="shared" si="10"/>
        <v>0</v>
      </c>
      <c r="K23" s="458">
        <f t="shared" si="11"/>
        <v>0</v>
      </c>
      <c r="L23" s="458">
        <f t="shared" ca="1" si="12"/>
        <v>0</v>
      </c>
      <c r="M23" s="458">
        <f t="shared" si="13"/>
        <v>0</v>
      </c>
      <c r="N23" s="458">
        <f t="shared" ca="1" si="14"/>
        <v>0</v>
      </c>
      <c r="O23" s="458">
        <f t="shared" si="15"/>
        <v>0</v>
      </c>
      <c r="P23" s="459">
        <f t="shared" si="16"/>
        <v>0</v>
      </c>
      <c r="Q23" s="457">
        <f t="shared" ref="Q23:Q32" ca="1" si="17">SUM(B23:P23)</f>
        <v>10250.442042516801</v>
      </c>
    </row>
    <row r="24" spans="1:17">
      <c r="A24" s="457" t="s">
        <v>193</v>
      </c>
      <c r="B24" s="458">
        <f t="shared" ca="1" si="2"/>
        <v>130.62563488842557</v>
      </c>
      <c r="C24" s="458">
        <f t="shared" ca="1" si="3"/>
        <v>0</v>
      </c>
      <c r="D24" s="458">
        <f t="shared" si="4"/>
        <v>0</v>
      </c>
      <c r="E24" s="458">
        <f t="shared" si="5"/>
        <v>0</v>
      </c>
      <c r="F24" s="458">
        <f t="shared" si="6"/>
        <v>0</v>
      </c>
      <c r="G24" s="458">
        <f t="shared" si="7"/>
        <v>0</v>
      </c>
      <c r="H24" s="458">
        <f t="shared" si="8"/>
        <v>0</v>
      </c>
      <c r="I24" s="458">
        <f t="shared" si="9"/>
        <v>0</v>
      </c>
      <c r="J24" s="458">
        <f t="shared" si="10"/>
        <v>0</v>
      </c>
      <c r="K24" s="458">
        <f t="shared" si="11"/>
        <v>0</v>
      </c>
      <c r="L24" s="458">
        <f t="shared" si="12"/>
        <v>0</v>
      </c>
      <c r="M24" s="458">
        <f t="shared" si="13"/>
        <v>0</v>
      </c>
      <c r="N24" s="458">
        <f t="shared" si="14"/>
        <v>0</v>
      </c>
      <c r="O24" s="458">
        <f t="shared" si="15"/>
        <v>0</v>
      </c>
      <c r="P24" s="459">
        <f t="shared" si="16"/>
        <v>0</v>
      </c>
      <c r="Q24" s="457">
        <f t="shared" ca="1" si="17"/>
        <v>130.62563488842557</v>
      </c>
    </row>
    <row r="25" spans="1:17">
      <c r="A25" s="457" t="s">
        <v>111</v>
      </c>
      <c r="B25" s="458">
        <f t="shared" ca="1" si="2"/>
        <v>96.976209501196195</v>
      </c>
      <c r="C25" s="458">
        <f t="shared" ca="1" si="3"/>
        <v>2138.8235294117649</v>
      </c>
      <c r="D25" s="458">
        <f t="shared" si="4"/>
        <v>912.39700530628329</v>
      </c>
      <c r="E25" s="458">
        <f t="shared" si="5"/>
        <v>1.3520539675832504</v>
      </c>
      <c r="F25" s="458">
        <f t="shared" si="6"/>
        <v>435.42675810121693</v>
      </c>
      <c r="G25" s="458">
        <f t="shared" si="7"/>
        <v>0</v>
      </c>
      <c r="H25" s="458">
        <f t="shared" si="8"/>
        <v>0</v>
      </c>
      <c r="I25" s="458">
        <f t="shared" si="9"/>
        <v>0</v>
      </c>
      <c r="J25" s="458">
        <f t="shared" si="10"/>
        <v>25.163525967532482</v>
      </c>
      <c r="K25" s="458">
        <f t="shared" si="11"/>
        <v>0</v>
      </c>
      <c r="L25" s="458">
        <f t="shared" si="12"/>
        <v>0</v>
      </c>
      <c r="M25" s="458">
        <f t="shared" si="13"/>
        <v>0</v>
      </c>
      <c r="N25" s="458">
        <f t="shared" si="14"/>
        <v>0</v>
      </c>
      <c r="O25" s="458">
        <f t="shared" si="15"/>
        <v>0</v>
      </c>
      <c r="P25" s="459">
        <f t="shared" si="16"/>
        <v>0</v>
      </c>
      <c r="Q25" s="457">
        <f t="shared" ca="1" si="17"/>
        <v>3610.1390822555773</v>
      </c>
    </row>
    <row r="26" spans="1:17">
      <c r="A26" s="457" t="s">
        <v>655</v>
      </c>
      <c r="B26" s="458">
        <f t="shared" ca="1" si="2"/>
        <v>14979.641084857534</v>
      </c>
      <c r="C26" s="458">
        <f t="shared" ca="1" si="3"/>
        <v>0</v>
      </c>
      <c r="D26" s="458">
        <f t="shared" si="4"/>
        <v>17582.709998123381</v>
      </c>
      <c r="E26" s="458">
        <f t="shared" si="5"/>
        <v>1178.8039174772127</v>
      </c>
      <c r="F26" s="458">
        <f t="shared" si="6"/>
        <v>13238.826298285512</v>
      </c>
      <c r="G26" s="458">
        <f t="shared" si="7"/>
        <v>0</v>
      </c>
      <c r="H26" s="458">
        <f t="shared" si="8"/>
        <v>0</v>
      </c>
      <c r="I26" s="458">
        <f t="shared" si="9"/>
        <v>0</v>
      </c>
      <c r="J26" s="458">
        <f t="shared" si="10"/>
        <v>41.524404648731263</v>
      </c>
      <c r="K26" s="458">
        <f t="shared" si="11"/>
        <v>0</v>
      </c>
      <c r="L26" s="458">
        <f t="shared" si="12"/>
        <v>0</v>
      </c>
      <c r="M26" s="458">
        <f t="shared" si="13"/>
        <v>0</v>
      </c>
      <c r="N26" s="458">
        <f t="shared" si="14"/>
        <v>0</v>
      </c>
      <c r="O26" s="458">
        <f t="shared" si="15"/>
        <v>0</v>
      </c>
      <c r="P26" s="459">
        <f t="shared" si="16"/>
        <v>0</v>
      </c>
      <c r="Q26" s="457">
        <f t="shared" ca="1" si="17"/>
        <v>47021.505703392373</v>
      </c>
    </row>
    <row r="27" spans="1:17" s="463" customFormat="1">
      <c r="A27" s="461" t="s">
        <v>573</v>
      </c>
      <c r="B27" s="771">
        <f t="shared" ca="1" si="2"/>
        <v>1.2703551039559653</v>
      </c>
      <c r="C27" s="462">
        <f t="shared" ca="1" si="3"/>
        <v>0</v>
      </c>
      <c r="D27" s="462">
        <f t="shared" si="4"/>
        <v>1.919972010402496</v>
      </c>
      <c r="E27" s="462">
        <f t="shared" si="5"/>
        <v>84.777990542710526</v>
      </c>
      <c r="F27" s="462">
        <f t="shared" si="6"/>
        <v>0</v>
      </c>
      <c r="G27" s="462">
        <f t="shared" si="7"/>
        <v>29953.378003053538</v>
      </c>
      <c r="H27" s="462">
        <f t="shared" si="8"/>
        <v>4428.7544430505459</v>
      </c>
      <c r="I27" s="462">
        <f t="shared" si="9"/>
        <v>0</v>
      </c>
      <c r="J27" s="462">
        <f t="shared" si="10"/>
        <v>0</v>
      </c>
      <c r="K27" s="462">
        <f t="shared" si="11"/>
        <v>0</v>
      </c>
      <c r="L27" s="462">
        <f t="shared" si="12"/>
        <v>0</v>
      </c>
      <c r="M27" s="462">
        <f t="shared" si="13"/>
        <v>0</v>
      </c>
      <c r="N27" s="462">
        <f t="shared" si="14"/>
        <v>0</v>
      </c>
      <c r="O27" s="462">
        <f t="shared" si="15"/>
        <v>0</v>
      </c>
      <c r="P27" s="473">
        <f t="shared" si="16"/>
        <v>0</v>
      </c>
      <c r="Q27" s="461">
        <f t="shared" ca="1" si="17"/>
        <v>34470.100763761155</v>
      </c>
    </row>
    <row r="28" spans="1:17">
      <c r="A28" s="457" t="s">
        <v>563</v>
      </c>
      <c r="B28" s="458">
        <f t="shared" ca="1" si="2"/>
        <v>0</v>
      </c>
      <c r="C28" s="458">
        <f t="shared" ca="1" si="3"/>
        <v>0</v>
      </c>
      <c r="D28" s="458">
        <f t="shared" si="4"/>
        <v>0</v>
      </c>
      <c r="E28" s="458">
        <f t="shared" si="5"/>
        <v>0</v>
      </c>
      <c r="F28" s="458">
        <f t="shared" si="6"/>
        <v>0</v>
      </c>
      <c r="G28" s="458">
        <f t="shared" si="7"/>
        <v>175.13416902697034</v>
      </c>
      <c r="H28" s="458">
        <f t="shared" si="8"/>
        <v>0</v>
      </c>
      <c r="I28" s="458">
        <f t="shared" si="9"/>
        <v>0</v>
      </c>
      <c r="J28" s="458">
        <f t="shared" si="10"/>
        <v>0</v>
      </c>
      <c r="K28" s="458">
        <f t="shared" si="11"/>
        <v>0</v>
      </c>
      <c r="L28" s="458">
        <f t="shared" si="12"/>
        <v>0</v>
      </c>
      <c r="M28" s="458">
        <f t="shared" si="13"/>
        <v>0</v>
      </c>
      <c r="N28" s="458">
        <f t="shared" si="14"/>
        <v>0</v>
      </c>
      <c r="O28" s="458">
        <f t="shared" si="15"/>
        <v>0</v>
      </c>
      <c r="P28" s="459">
        <f t="shared" si="16"/>
        <v>0</v>
      </c>
      <c r="Q28" s="457">
        <f t="shared" ca="1" si="17"/>
        <v>175.13416902697034</v>
      </c>
    </row>
    <row r="29" spans="1:17">
      <c r="A29" s="457" t="s">
        <v>564</v>
      </c>
      <c r="B29" s="458">
        <f t="shared" ca="1" si="2"/>
        <v>0</v>
      </c>
      <c r="C29" s="458">
        <f t="shared" ca="1" si="3"/>
        <v>0</v>
      </c>
      <c r="D29" s="458">
        <f t="shared" si="4"/>
        <v>0</v>
      </c>
      <c r="E29" s="458">
        <f t="shared" si="5"/>
        <v>0</v>
      </c>
      <c r="F29" s="458">
        <f t="shared" si="6"/>
        <v>0</v>
      </c>
      <c r="G29" s="458">
        <f t="shared" si="7"/>
        <v>0</v>
      </c>
      <c r="H29" s="458">
        <f t="shared" si="8"/>
        <v>0</v>
      </c>
      <c r="I29" s="458">
        <f t="shared" si="9"/>
        <v>0</v>
      </c>
      <c r="J29" s="458">
        <f t="shared" si="10"/>
        <v>0</v>
      </c>
      <c r="K29" s="458">
        <f t="shared" si="11"/>
        <v>0</v>
      </c>
      <c r="L29" s="458">
        <f t="shared" si="12"/>
        <v>0</v>
      </c>
      <c r="M29" s="458">
        <f t="shared" si="13"/>
        <v>0</v>
      </c>
      <c r="N29" s="458">
        <f t="shared" si="14"/>
        <v>0</v>
      </c>
      <c r="O29" s="458">
        <f t="shared" si="15"/>
        <v>0</v>
      </c>
      <c r="P29" s="459">
        <f t="shared" si="16"/>
        <v>0</v>
      </c>
      <c r="Q29" s="457">
        <f t="shared" ca="1" si="17"/>
        <v>0</v>
      </c>
    </row>
    <row r="30" spans="1:17">
      <c r="A30" s="457" t="s">
        <v>565</v>
      </c>
      <c r="B30" s="458">
        <f t="shared" ca="1" si="2"/>
        <v>0</v>
      </c>
      <c r="C30" s="458">
        <f t="shared" ca="1" si="3"/>
        <v>0</v>
      </c>
      <c r="D30" s="458">
        <f t="shared" si="4"/>
        <v>0</v>
      </c>
      <c r="E30" s="458">
        <f t="shared" si="5"/>
        <v>0</v>
      </c>
      <c r="F30" s="458">
        <f t="shared" si="6"/>
        <v>0</v>
      </c>
      <c r="G30" s="458">
        <f t="shared" si="7"/>
        <v>0</v>
      </c>
      <c r="H30" s="458">
        <f t="shared" si="8"/>
        <v>0</v>
      </c>
      <c r="I30" s="458">
        <f t="shared" si="9"/>
        <v>0</v>
      </c>
      <c r="J30" s="458">
        <f t="shared" si="10"/>
        <v>0</v>
      </c>
      <c r="K30" s="458">
        <f t="shared" si="11"/>
        <v>0</v>
      </c>
      <c r="L30" s="458">
        <f t="shared" si="12"/>
        <v>0</v>
      </c>
      <c r="M30" s="458">
        <f t="shared" si="13"/>
        <v>0</v>
      </c>
      <c r="N30" s="458">
        <f t="shared" si="14"/>
        <v>0</v>
      </c>
      <c r="O30" s="458">
        <f t="shared" si="15"/>
        <v>0</v>
      </c>
      <c r="P30" s="459">
        <f t="shared" si="16"/>
        <v>0</v>
      </c>
      <c r="Q30" s="457">
        <f t="shared" ca="1" si="17"/>
        <v>0</v>
      </c>
    </row>
    <row r="31" spans="1:17">
      <c r="A31" s="457" t="s">
        <v>566</v>
      </c>
      <c r="B31" s="458">
        <f t="shared" ca="1" si="2"/>
        <v>0</v>
      </c>
      <c r="C31" s="458">
        <f t="shared" ca="1" si="3"/>
        <v>0</v>
      </c>
      <c r="D31" s="458">
        <f t="shared" si="4"/>
        <v>0</v>
      </c>
      <c r="E31" s="458">
        <f t="shared" si="5"/>
        <v>0</v>
      </c>
      <c r="F31" s="458">
        <f t="shared" si="6"/>
        <v>0</v>
      </c>
      <c r="G31" s="458">
        <f t="shared" si="7"/>
        <v>0</v>
      </c>
      <c r="H31" s="458">
        <f t="shared" si="8"/>
        <v>0</v>
      </c>
      <c r="I31" s="458">
        <f t="shared" si="9"/>
        <v>0</v>
      </c>
      <c r="J31" s="458">
        <f t="shared" si="10"/>
        <v>0</v>
      </c>
      <c r="K31" s="458">
        <f t="shared" si="11"/>
        <v>0</v>
      </c>
      <c r="L31" s="458">
        <f t="shared" si="12"/>
        <v>0</v>
      </c>
      <c r="M31" s="458">
        <f t="shared" si="13"/>
        <v>0</v>
      </c>
      <c r="N31" s="458">
        <f t="shared" si="14"/>
        <v>0</v>
      </c>
      <c r="O31" s="458">
        <f t="shared" si="15"/>
        <v>0</v>
      </c>
      <c r="P31" s="459">
        <f t="shared" si="16"/>
        <v>0</v>
      </c>
      <c r="Q31" s="457">
        <f t="shared" ca="1" si="17"/>
        <v>0</v>
      </c>
    </row>
    <row r="32" spans="1:17">
      <c r="A32" s="457" t="s">
        <v>862</v>
      </c>
      <c r="B32" s="458">
        <f t="shared" ca="1" si="2"/>
        <v>132.33596391486199</v>
      </c>
      <c r="C32" s="458">
        <f t="shared" ca="1" si="3"/>
        <v>0</v>
      </c>
      <c r="D32" s="458">
        <f t="shared" si="4"/>
        <v>421.68927993213066</v>
      </c>
      <c r="E32" s="458">
        <f t="shared" si="5"/>
        <v>0</v>
      </c>
      <c r="F32" s="458">
        <f t="shared" si="6"/>
        <v>0</v>
      </c>
      <c r="G32" s="458">
        <f t="shared" si="7"/>
        <v>0</v>
      </c>
      <c r="H32" s="458">
        <f t="shared" si="8"/>
        <v>0</v>
      </c>
      <c r="I32" s="458">
        <f t="shared" si="9"/>
        <v>0</v>
      </c>
      <c r="J32" s="458">
        <f t="shared" si="10"/>
        <v>0</v>
      </c>
      <c r="K32" s="458">
        <f t="shared" si="11"/>
        <v>0</v>
      </c>
      <c r="L32" s="458">
        <f t="shared" si="12"/>
        <v>0</v>
      </c>
      <c r="M32" s="458">
        <f t="shared" si="13"/>
        <v>0</v>
      </c>
      <c r="N32" s="458">
        <f t="shared" si="14"/>
        <v>0</v>
      </c>
      <c r="O32" s="458">
        <f t="shared" si="15"/>
        <v>0</v>
      </c>
      <c r="P32" s="459">
        <f t="shared" si="16"/>
        <v>0</v>
      </c>
      <c r="Q32" s="457">
        <f t="shared" ca="1" si="17"/>
        <v>554.02524384699268</v>
      </c>
    </row>
    <row r="33" spans="1:17" s="470" customFormat="1">
      <c r="A33" s="467" t="s">
        <v>567</v>
      </c>
      <c r="B33" s="468">
        <f ca="1">SUM(B22:B32)</f>
        <v>23876.30923708298</v>
      </c>
      <c r="C33" s="468">
        <f t="shared" ref="C33:Q33" ca="1" si="18">SUM(C22:C32)</f>
        <v>2138.8235294117649</v>
      </c>
      <c r="D33" s="468">
        <f t="shared" ca="1" si="18"/>
        <v>35107.010958964587</v>
      </c>
      <c r="E33" s="468">
        <f t="shared" si="18"/>
        <v>3429.1961818716818</v>
      </c>
      <c r="F33" s="468">
        <f t="shared" ca="1" si="18"/>
        <v>17719.717039801639</v>
      </c>
      <c r="G33" s="468">
        <f t="shared" si="18"/>
        <v>30128.512172080507</v>
      </c>
      <c r="H33" s="468">
        <f t="shared" si="18"/>
        <v>4428.7544430505459</v>
      </c>
      <c r="I33" s="468">
        <f t="shared" si="18"/>
        <v>0</v>
      </c>
      <c r="J33" s="468">
        <f t="shared" si="18"/>
        <v>66.687930616263742</v>
      </c>
      <c r="K33" s="468">
        <f t="shared" si="18"/>
        <v>0</v>
      </c>
      <c r="L33" s="468">
        <f t="shared" ca="1" si="18"/>
        <v>0</v>
      </c>
      <c r="M33" s="468">
        <f t="shared" si="18"/>
        <v>0</v>
      </c>
      <c r="N33" s="468">
        <f t="shared" ca="1" si="18"/>
        <v>0</v>
      </c>
      <c r="O33" s="468">
        <f t="shared" si="18"/>
        <v>0</v>
      </c>
      <c r="P33" s="468">
        <f t="shared" si="18"/>
        <v>0</v>
      </c>
      <c r="Q33" s="468">
        <f t="shared" ca="1" si="18"/>
        <v>116895.01149287997</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56" customWidth="1"/>
    <col min="2" max="8" width="26.28515625" style="456" customWidth="1"/>
    <col min="9" max="9" width="32" style="456" customWidth="1"/>
    <col min="10" max="11" width="26.28515625" style="456" customWidth="1"/>
    <col min="12" max="12" width="23.7109375" style="456" customWidth="1"/>
    <col min="13" max="15" width="26.28515625" style="456" customWidth="1"/>
    <col min="16" max="16" width="42" style="456" customWidth="1"/>
    <col min="17" max="17" width="26.28515625" style="456" customWidth="1"/>
    <col min="18" max="18" width="9.5703125" style="456" bestFit="1" customWidth="1"/>
    <col min="19" max="16384" width="9.140625" style="456"/>
  </cols>
  <sheetData>
    <row r="1" spans="1:17" s="931" customFormat="1" ht="21">
      <c r="A1" s="1178" t="s">
        <v>562</v>
      </c>
      <c r="B1" s="1179" t="s">
        <v>817</v>
      </c>
      <c r="C1" s="1179"/>
      <c r="D1" s="1179"/>
      <c r="E1" s="1179"/>
      <c r="F1" s="1179"/>
      <c r="G1" s="1179"/>
      <c r="H1" s="1179"/>
      <c r="I1" s="1179"/>
      <c r="J1" s="1179"/>
      <c r="K1" s="1179"/>
      <c r="L1" s="1179"/>
      <c r="M1" s="1179"/>
      <c r="N1" s="1179"/>
      <c r="O1" s="1179"/>
      <c r="P1" s="1180"/>
      <c r="Q1" s="930"/>
    </row>
    <row r="2" spans="1:17" s="931" customFormat="1" ht="21">
      <c r="A2" s="1178"/>
      <c r="B2" s="1181" t="s">
        <v>20</v>
      </c>
      <c r="C2" s="1183" t="s">
        <v>195</v>
      </c>
      <c r="D2" s="1185" t="s">
        <v>196</v>
      </c>
      <c r="E2" s="1186"/>
      <c r="F2" s="1186"/>
      <c r="G2" s="1186"/>
      <c r="H2" s="1186"/>
      <c r="I2" s="1186"/>
      <c r="J2" s="1186"/>
      <c r="K2" s="1182"/>
      <c r="L2" s="1185" t="s">
        <v>197</v>
      </c>
      <c r="M2" s="1186"/>
      <c r="N2" s="1186"/>
      <c r="O2" s="1186"/>
      <c r="P2" s="1182"/>
      <c r="Q2" s="930"/>
    </row>
    <row r="3" spans="1:17" s="931" customFormat="1" ht="42">
      <c r="A3" s="1178"/>
      <c r="B3" s="1182"/>
      <c r="C3" s="1184"/>
      <c r="D3" s="932" t="s">
        <v>198</v>
      </c>
      <c r="E3" s="932" t="s">
        <v>199</v>
      </c>
      <c r="F3" s="932" t="s">
        <v>200</v>
      </c>
      <c r="G3" s="932" t="s">
        <v>201</v>
      </c>
      <c r="H3" s="932" t="s">
        <v>119</v>
      </c>
      <c r="I3" s="932" t="s">
        <v>202</v>
      </c>
      <c r="J3" s="932" t="s">
        <v>203</v>
      </c>
      <c r="K3" s="932" t="s">
        <v>204</v>
      </c>
      <c r="L3" s="932" t="s">
        <v>205</v>
      </c>
      <c r="M3" s="932" t="s">
        <v>206</v>
      </c>
      <c r="N3" s="932" t="s">
        <v>207</v>
      </c>
      <c r="O3" s="932" t="s">
        <v>208</v>
      </c>
      <c r="P3" s="932" t="s">
        <v>209</v>
      </c>
      <c r="Q3" s="930" t="s">
        <v>115</v>
      </c>
    </row>
    <row r="4" spans="1:17" ht="124.35" customHeight="1">
      <c r="A4" s="933" t="s">
        <v>154</v>
      </c>
      <c r="B4" s="934" t="s">
        <v>818</v>
      </c>
      <c r="C4" s="935" t="s">
        <v>819</v>
      </c>
      <c r="D4" s="936" t="s">
        <v>820</v>
      </c>
      <c r="E4" s="937" t="s">
        <v>821</v>
      </c>
      <c r="F4" s="937" t="s">
        <v>822</v>
      </c>
      <c r="G4" s="938" t="s">
        <v>825</v>
      </c>
      <c r="H4" s="938" t="s">
        <v>825</v>
      </c>
      <c r="I4" s="938" t="s">
        <v>825</v>
      </c>
      <c r="J4" s="937" t="s">
        <v>824</v>
      </c>
      <c r="K4" s="938" t="s">
        <v>825</v>
      </c>
      <c r="L4" s="938" t="s">
        <v>825</v>
      </c>
      <c r="M4" s="938" t="s">
        <v>825</v>
      </c>
      <c r="N4" s="937" t="s">
        <v>826</v>
      </c>
      <c r="O4" s="939" t="s">
        <v>827</v>
      </c>
      <c r="P4" s="940" t="s">
        <v>828</v>
      </c>
      <c r="Q4" s="941"/>
    </row>
    <row r="5" spans="1:17" ht="124.35" customHeight="1">
      <c r="A5" s="942" t="s">
        <v>155</v>
      </c>
      <c r="B5" s="943" t="s">
        <v>829</v>
      </c>
      <c r="C5" s="944" t="s">
        <v>830</v>
      </c>
      <c r="D5" s="944" t="s">
        <v>831</v>
      </c>
      <c r="E5" s="945" t="s">
        <v>832</v>
      </c>
      <c r="F5" s="945" t="s">
        <v>833</v>
      </c>
      <c r="G5" s="946" t="s">
        <v>825</v>
      </c>
      <c r="H5" s="946" t="s">
        <v>825</v>
      </c>
      <c r="I5" s="946" t="s">
        <v>825</v>
      </c>
      <c r="J5" s="945" t="s">
        <v>834</v>
      </c>
      <c r="K5" s="943" t="s">
        <v>835</v>
      </c>
      <c r="L5" s="946" t="s">
        <v>825</v>
      </c>
      <c r="M5" s="946" t="s">
        <v>825</v>
      </c>
      <c r="N5" s="945" t="s">
        <v>836</v>
      </c>
      <c r="O5" s="947" t="s">
        <v>827</v>
      </c>
      <c r="P5" s="948" t="s">
        <v>828</v>
      </c>
      <c r="Q5" s="949"/>
    </row>
    <row r="6" spans="1:17" ht="124.35" customHeight="1">
      <c r="A6" s="942" t="s">
        <v>193</v>
      </c>
      <c r="B6" s="950" t="s">
        <v>837</v>
      </c>
      <c r="C6" s="951" t="s">
        <v>823</v>
      </c>
      <c r="D6" s="946" t="s">
        <v>823</v>
      </c>
      <c r="E6" s="946" t="s">
        <v>823</v>
      </c>
      <c r="F6" s="946" t="s">
        <v>823</v>
      </c>
      <c r="G6" s="946" t="s">
        <v>823</v>
      </c>
      <c r="H6" s="946" t="s">
        <v>823</v>
      </c>
      <c r="I6" s="946" t="s">
        <v>823</v>
      </c>
      <c r="J6" s="946" t="s">
        <v>823</v>
      </c>
      <c r="K6" s="946" t="s">
        <v>823</v>
      </c>
      <c r="L6" s="946" t="s">
        <v>823</v>
      </c>
      <c r="M6" s="946" t="s">
        <v>823</v>
      </c>
      <c r="N6" s="946" t="s">
        <v>823</v>
      </c>
      <c r="O6" s="952" t="s">
        <v>823</v>
      </c>
      <c r="P6" s="953" t="s">
        <v>823</v>
      </c>
      <c r="Q6" s="954"/>
    </row>
    <row r="7" spans="1:17" ht="124.35" customHeight="1">
      <c r="A7" s="942" t="s">
        <v>111</v>
      </c>
      <c r="B7" s="950" t="s">
        <v>837</v>
      </c>
      <c r="C7" s="944" t="s">
        <v>830</v>
      </c>
      <c r="D7" s="944" t="s">
        <v>831</v>
      </c>
      <c r="E7" s="945" t="s">
        <v>832</v>
      </c>
      <c r="F7" s="945" t="s">
        <v>833</v>
      </c>
      <c r="G7" s="946" t="s">
        <v>825</v>
      </c>
      <c r="H7" s="946" t="s">
        <v>825</v>
      </c>
      <c r="I7" s="946" t="s">
        <v>825</v>
      </c>
      <c r="J7" s="945" t="s">
        <v>834</v>
      </c>
      <c r="K7" s="946" t="s">
        <v>825</v>
      </c>
      <c r="L7" s="946" t="s">
        <v>825</v>
      </c>
      <c r="M7" s="946" t="s">
        <v>825</v>
      </c>
      <c r="N7" s="955" t="s">
        <v>825</v>
      </c>
      <c r="O7" s="951" t="s">
        <v>825</v>
      </c>
      <c r="P7" s="956" t="s">
        <v>825</v>
      </c>
      <c r="Q7" s="949"/>
    </row>
    <row r="8" spans="1:17" ht="124.35" customHeight="1">
      <c r="A8" s="942" t="s">
        <v>655</v>
      </c>
      <c r="B8" s="943" t="s">
        <v>838</v>
      </c>
      <c r="C8" s="944" t="s">
        <v>830</v>
      </c>
      <c r="D8" s="944" t="s">
        <v>831</v>
      </c>
      <c r="E8" s="945" t="s">
        <v>832</v>
      </c>
      <c r="F8" s="945" t="s">
        <v>833</v>
      </c>
      <c r="G8" s="946" t="s">
        <v>825</v>
      </c>
      <c r="H8" s="946" t="s">
        <v>825</v>
      </c>
      <c r="I8" s="946" t="s">
        <v>825</v>
      </c>
      <c r="J8" s="945" t="s">
        <v>834</v>
      </c>
      <c r="K8" s="943" t="s">
        <v>835</v>
      </c>
      <c r="L8" s="946" t="s">
        <v>825</v>
      </c>
      <c r="M8" s="946" t="s">
        <v>825</v>
      </c>
      <c r="N8" s="945" t="s">
        <v>836</v>
      </c>
      <c r="O8" s="947" t="s">
        <v>827</v>
      </c>
      <c r="P8" s="948" t="s">
        <v>828</v>
      </c>
      <c r="Q8" s="949"/>
    </row>
    <row r="9" spans="1:17" s="463" customFormat="1" ht="124.35" customHeight="1">
      <c r="A9" s="957" t="s">
        <v>573</v>
      </c>
      <c r="B9" s="945" t="s">
        <v>839</v>
      </c>
      <c r="C9" s="952" t="s">
        <v>823</v>
      </c>
      <c r="D9" s="945" t="s">
        <v>840</v>
      </c>
      <c r="E9" s="945" t="s">
        <v>841</v>
      </c>
      <c r="F9" s="946" t="s">
        <v>823</v>
      </c>
      <c r="G9" s="945" t="s">
        <v>842</v>
      </c>
      <c r="H9" s="945" t="s">
        <v>843</v>
      </c>
      <c r="I9" s="946" t="s">
        <v>823</v>
      </c>
      <c r="J9" s="946" t="s">
        <v>823</v>
      </c>
      <c r="K9" s="946" t="s">
        <v>823</v>
      </c>
      <c r="L9" s="946" t="s">
        <v>823</v>
      </c>
      <c r="M9" s="945" t="s">
        <v>839</v>
      </c>
      <c r="N9" s="946" t="s">
        <v>823</v>
      </c>
      <c r="O9" s="946" t="s">
        <v>823</v>
      </c>
      <c r="P9" s="958" t="s">
        <v>823</v>
      </c>
      <c r="Q9" s="959"/>
    </row>
    <row r="10" spans="1:17" ht="124.35" customHeight="1">
      <c r="A10" s="942" t="s">
        <v>563</v>
      </c>
      <c r="B10" s="943" t="s">
        <v>851</v>
      </c>
      <c r="C10" s="952" t="s">
        <v>823</v>
      </c>
      <c r="D10" s="952" t="s">
        <v>823</v>
      </c>
      <c r="E10" s="952" t="s">
        <v>823</v>
      </c>
      <c r="F10" s="946" t="s">
        <v>823</v>
      </c>
      <c r="G10" s="943" t="s">
        <v>844</v>
      </c>
      <c r="H10" s="946" t="s">
        <v>823</v>
      </c>
      <c r="I10" s="946" t="s">
        <v>823</v>
      </c>
      <c r="J10" s="946" t="s">
        <v>823</v>
      </c>
      <c r="K10" s="946" t="s">
        <v>823</v>
      </c>
      <c r="L10" s="946" t="s">
        <v>823</v>
      </c>
      <c r="M10" s="943" t="s">
        <v>845</v>
      </c>
      <c r="N10" s="946" t="s">
        <v>823</v>
      </c>
      <c r="O10" s="946" t="s">
        <v>823</v>
      </c>
      <c r="P10" s="958" t="s">
        <v>823</v>
      </c>
      <c r="Q10" s="949"/>
    </row>
    <row r="11" spans="1:17" ht="21">
      <c r="A11" s="942" t="s">
        <v>564</v>
      </c>
      <c r="B11" s="960" t="s">
        <v>846</v>
      </c>
      <c r="C11" s="960" t="s">
        <v>846</v>
      </c>
      <c r="D11" s="960" t="s">
        <v>846</v>
      </c>
      <c r="E11" s="960" t="s">
        <v>846</v>
      </c>
      <c r="F11" s="960" t="s">
        <v>846</v>
      </c>
      <c r="G11" s="960" t="s">
        <v>846</v>
      </c>
      <c r="H11" s="960" t="s">
        <v>846</v>
      </c>
      <c r="I11" s="960" t="s">
        <v>846</v>
      </c>
      <c r="J11" s="960" t="s">
        <v>846</v>
      </c>
      <c r="K11" s="960" t="s">
        <v>846</v>
      </c>
      <c r="L11" s="960" t="s">
        <v>846</v>
      </c>
      <c r="M11" s="960" t="s">
        <v>846</v>
      </c>
      <c r="N11" s="960" t="s">
        <v>846</v>
      </c>
      <c r="O11" s="960" t="s">
        <v>846</v>
      </c>
      <c r="P11" s="974" t="s">
        <v>846</v>
      </c>
      <c r="Q11" s="975"/>
    </row>
    <row r="12" spans="1:17" ht="21">
      <c r="A12" s="942" t="s">
        <v>565</v>
      </c>
      <c r="B12" s="960" t="s">
        <v>846</v>
      </c>
      <c r="C12" s="960" t="s">
        <v>823</v>
      </c>
      <c r="D12" s="960" t="s">
        <v>823</v>
      </c>
      <c r="E12" s="960" t="s">
        <v>823</v>
      </c>
      <c r="F12" s="960" t="s">
        <v>823</v>
      </c>
      <c r="G12" s="960" t="s">
        <v>823</v>
      </c>
      <c r="H12" s="960" t="s">
        <v>823</v>
      </c>
      <c r="I12" s="960" t="s">
        <v>823</v>
      </c>
      <c r="J12" s="960" t="s">
        <v>823</v>
      </c>
      <c r="K12" s="960" t="s">
        <v>823</v>
      </c>
      <c r="L12" s="960" t="s">
        <v>823</v>
      </c>
      <c r="M12" s="960" t="s">
        <v>823</v>
      </c>
      <c r="N12" s="960" t="s">
        <v>823</v>
      </c>
      <c r="O12" s="960" t="s">
        <v>823</v>
      </c>
      <c r="P12" s="961" t="s">
        <v>823</v>
      </c>
      <c r="Q12" s="459"/>
    </row>
    <row r="13" spans="1:17" ht="21">
      <c r="A13" s="942" t="s">
        <v>566</v>
      </c>
      <c r="B13" s="960" t="s">
        <v>846</v>
      </c>
      <c r="C13" s="960" t="s">
        <v>823</v>
      </c>
      <c r="D13" s="960" t="s">
        <v>846</v>
      </c>
      <c r="E13" s="960" t="s">
        <v>846</v>
      </c>
      <c r="F13" s="960" t="s">
        <v>823</v>
      </c>
      <c r="G13" s="960" t="s">
        <v>846</v>
      </c>
      <c r="H13" s="960" t="s">
        <v>846</v>
      </c>
      <c r="I13" s="960" t="s">
        <v>823</v>
      </c>
      <c r="J13" s="960" t="s">
        <v>823</v>
      </c>
      <c r="K13" s="960" t="s">
        <v>823</v>
      </c>
      <c r="L13" s="960" t="s">
        <v>823</v>
      </c>
      <c r="M13" s="960" t="s">
        <v>846</v>
      </c>
      <c r="N13" s="960" t="s">
        <v>823</v>
      </c>
      <c r="O13" s="960" t="s">
        <v>823</v>
      </c>
      <c r="P13" s="961" t="s">
        <v>823</v>
      </c>
      <c r="Q13" s="459"/>
    </row>
    <row r="14" spans="1:17" ht="30">
      <c r="A14" s="962" t="s">
        <v>862</v>
      </c>
      <c r="B14" s="950" t="s">
        <v>837</v>
      </c>
      <c r="C14" s="960" t="s">
        <v>823</v>
      </c>
      <c r="D14" s="950" t="s">
        <v>837</v>
      </c>
      <c r="E14" s="960" t="s">
        <v>823</v>
      </c>
      <c r="F14" s="960" t="s">
        <v>823</v>
      </c>
      <c r="G14" s="960" t="s">
        <v>823</v>
      </c>
      <c r="H14" s="960" t="s">
        <v>823</v>
      </c>
      <c r="I14" s="960" t="s">
        <v>823</v>
      </c>
      <c r="J14" s="960" t="s">
        <v>823</v>
      </c>
      <c r="K14" s="960" t="s">
        <v>823</v>
      </c>
      <c r="L14" s="960" t="s">
        <v>823</v>
      </c>
      <c r="M14" s="960" t="s">
        <v>823</v>
      </c>
      <c r="N14" s="960" t="s">
        <v>823</v>
      </c>
      <c r="O14" s="960" t="s">
        <v>823</v>
      </c>
      <c r="P14" s="974" t="s">
        <v>823</v>
      </c>
      <c r="Q14" s="1031"/>
    </row>
    <row r="15" spans="1:17" s="470" customFormat="1" ht="21">
      <c r="A15" s="963" t="s">
        <v>567</v>
      </c>
      <c r="B15" s="468"/>
      <c r="C15" s="468"/>
      <c r="D15" s="468"/>
      <c r="E15" s="468"/>
      <c r="F15" s="468"/>
      <c r="G15" s="468"/>
      <c r="H15" s="468"/>
      <c r="I15" s="468"/>
      <c r="J15" s="468"/>
      <c r="K15" s="468"/>
      <c r="L15" s="468"/>
      <c r="M15" s="964"/>
      <c r="N15" s="468"/>
      <c r="O15" s="468"/>
      <c r="P15" s="469"/>
      <c r="Q15" s="965"/>
    </row>
    <row r="16" spans="1:17">
      <c r="M16" s="966"/>
    </row>
    <row r="17" spans="1:4">
      <c r="B17" s="967">
        <v>1</v>
      </c>
      <c r="C17" s="968">
        <v>2</v>
      </c>
      <c r="D17" s="969">
        <v>3</v>
      </c>
    </row>
    <row r="18" spans="1:4" ht="252">
      <c r="A18" s="970" t="s">
        <v>847</v>
      </c>
      <c r="B18" s="971" t="s">
        <v>848</v>
      </c>
      <c r="C18" s="972" t="s">
        <v>849</v>
      </c>
      <c r="D18" s="973" t="s">
        <v>850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B19" sqref="B19"/>
    </sheetView>
  </sheetViews>
  <sheetFormatPr defaultColWidth="9.140625" defaultRowHeight="15"/>
  <cols>
    <col min="1" max="1" width="51" style="880" bestFit="1" customWidth="1"/>
    <col min="2" max="2" width="27" style="880" customWidth="1"/>
    <col min="3" max="3" width="30.42578125" style="880" customWidth="1"/>
    <col min="4" max="4" width="9.140625" style="880"/>
    <col min="5" max="5" width="15" style="880" customWidth="1"/>
    <col min="6" max="6" width="17" style="880" customWidth="1"/>
    <col min="7" max="7" width="18.140625" style="880" customWidth="1"/>
    <col min="8" max="8" width="16.140625" style="880" customWidth="1"/>
    <col min="9" max="15" width="9.140625" style="880"/>
    <col min="16" max="16" width="26.4257812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60">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c r="A4" s="1033" t="s">
        <v>248</v>
      </c>
      <c r="B4" s="1034">
        <f>'SEAP template'!B72</f>
        <v>0</v>
      </c>
      <c r="C4" s="1034"/>
      <c r="D4" s="1034"/>
      <c r="E4" s="1034"/>
      <c r="F4" s="1034"/>
      <c r="G4" s="1034"/>
      <c r="H4" s="1034"/>
      <c r="I4" s="1034"/>
      <c r="J4" s="1034"/>
      <c r="K4" s="1034"/>
      <c r="L4" s="1034"/>
      <c r="M4" s="1034"/>
      <c r="N4" s="1034"/>
      <c r="O4" s="1034"/>
      <c r="P4" s="1035">
        <f>'SEAP template'!Q72</f>
        <v>0</v>
      </c>
    </row>
    <row r="5" spans="1:16">
      <c r="A5" s="1036" t="s">
        <v>249</v>
      </c>
      <c r="B5" s="1034">
        <f>'SEAP template'!B73</f>
        <v>0</v>
      </c>
      <c r="C5" s="1034"/>
      <c r="D5" s="1034"/>
      <c r="E5" s="1034"/>
      <c r="F5" s="1034"/>
      <c r="G5" s="1034"/>
      <c r="H5" s="1034"/>
      <c r="I5" s="1034"/>
      <c r="J5" s="1034"/>
      <c r="K5" s="1034"/>
      <c r="L5" s="1034"/>
      <c r="M5" s="1034"/>
      <c r="N5" s="1034"/>
      <c r="O5" s="1034"/>
      <c r="P5" s="1035">
        <f>'SEAP template'!Q73</f>
        <v>0</v>
      </c>
    </row>
    <row r="6" spans="1:16">
      <c r="A6" s="1036" t="s">
        <v>250</v>
      </c>
      <c r="B6" s="1034">
        <f>'SEAP template'!B74</f>
        <v>7775.7552069356107</v>
      </c>
      <c r="C6" s="1034"/>
      <c r="D6" s="1034"/>
      <c r="E6" s="1034"/>
      <c r="F6" s="1034"/>
      <c r="G6" s="1034"/>
      <c r="H6" s="1034"/>
      <c r="I6" s="1034"/>
      <c r="J6" s="1034"/>
      <c r="K6" s="1034"/>
      <c r="L6" s="1034"/>
      <c r="M6" s="1034"/>
      <c r="N6" s="1034"/>
      <c r="O6" s="1034"/>
      <c r="P6" s="1035">
        <f>'SEAP template'!Q74</f>
        <v>0</v>
      </c>
    </row>
    <row r="7" spans="1:16">
      <c r="A7" s="1036" t="s">
        <v>859</v>
      </c>
      <c r="B7" s="1034">
        <f>'SEAP template'!B75</f>
        <v>0</v>
      </c>
      <c r="C7" s="1034"/>
      <c r="D7" s="1034"/>
      <c r="E7" s="1034"/>
      <c r="F7" s="1034"/>
      <c r="G7" s="1034"/>
      <c r="H7" s="1034"/>
      <c r="I7" s="1034"/>
      <c r="J7" s="1034"/>
      <c r="K7" s="1034"/>
      <c r="L7" s="1034"/>
      <c r="M7" s="1034"/>
      <c r="N7" s="1034"/>
      <c r="O7" s="1034"/>
      <c r="P7" s="1035">
        <f>'SEAP template'!Q75</f>
        <v>0</v>
      </c>
    </row>
    <row r="8" spans="1:16">
      <c r="A8" s="1033" t="s">
        <v>251</v>
      </c>
      <c r="B8" s="1034">
        <f>'SEAP template'!B76</f>
        <v>0</v>
      </c>
      <c r="C8" s="1034">
        <f>'SEAP template'!C76</f>
        <v>6300</v>
      </c>
      <c r="D8" s="1034">
        <f>'SEAP template'!D76</f>
        <v>7411.7647058823522</v>
      </c>
      <c r="E8" s="1034">
        <f>'SEAP template'!E76</f>
        <v>0</v>
      </c>
      <c r="F8" s="1034">
        <f>'SEAP template'!F76</f>
        <v>0</v>
      </c>
      <c r="G8" s="1034">
        <f>'SEAP template'!G76</f>
        <v>0</v>
      </c>
      <c r="H8" s="1034">
        <f>'SEAP template'!H76</f>
        <v>0</v>
      </c>
      <c r="I8" s="1034">
        <f>'SEAP template'!I76</f>
        <v>0</v>
      </c>
      <c r="J8" s="1034">
        <f>'SEAP template'!J76</f>
        <v>0</v>
      </c>
      <c r="K8" s="1034">
        <f>'SEAP template'!K76</f>
        <v>0</v>
      </c>
      <c r="L8" s="1034">
        <f>'SEAP template'!L76</f>
        <v>0</v>
      </c>
      <c r="M8" s="1034">
        <f>'SEAP template'!M76</f>
        <v>0</v>
      </c>
      <c r="N8" s="1034">
        <f>'SEAP template'!N76</f>
        <v>0</v>
      </c>
      <c r="O8" s="1034">
        <f>'SEAP template'!O76</f>
        <v>0</v>
      </c>
      <c r="P8" s="1035">
        <f>'SEAP template'!Q76</f>
        <v>1497.1764705882354</v>
      </c>
    </row>
    <row r="9" spans="1:16">
      <c r="A9" s="1037" t="s">
        <v>871</v>
      </c>
      <c r="B9" s="1034">
        <f>'SEAP template'!B77</f>
        <v>1035</v>
      </c>
      <c r="C9" s="1034">
        <f>'SEAP template'!C77</f>
        <v>0</v>
      </c>
      <c r="D9" s="1034">
        <f>'SEAP template'!D77</f>
        <v>0</v>
      </c>
      <c r="E9" s="1034">
        <f>'SEAP template'!E77</f>
        <v>0</v>
      </c>
      <c r="F9" s="1034">
        <f>'SEAP template'!F77</f>
        <v>0</v>
      </c>
      <c r="G9" s="1034">
        <f>'SEAP template'!G77</f>
        <v>0</v>
      </c>
      <c r="H9" s="1034">
        <f>'SEAP template'!H77</f>
        <v>0</v>
      </c>
      <c r="I9" s="1034">
        <f>'SEAP template'!I77</f>
        <v>0</v>
      </c>
      <c r="J9" s="1034">
        <f>'SEAP template'!J77</f>
        <v>2957.1428571428573</v>
      </c>
      <c r="K9" s="1034">
        <f>'SEAP template'!K77</f>
        <v>0</v>
      </c>
      <c r="L9" s="1034">
        <f>'SEAP template'!L77</f>
        <v>0</v>
      </c>
      <c r="M9" s="1034">
        <f>'SEAP template'!M77</f>
        <v>0</v>
      </c>
      <c r="N9" s="1034">
        <f>'SEAP template'!N77</f>
        <v>0</v>
      </c>
      <c r="O9" s="1034">
        <f>'SEAP template'!O77</f>
        <v>0</v>
      </c>
      <c r="P9" s="1035">
        <f>'SEAP template'!Q77</f>
        <v>0</v>
      </c>
    </row>
    <row r="10" spans="1:16">
      <c r="A10" s="1036" t="s">
        <v>115</v>
      </c>
      <c r="B10" s="1038">
        <f>SUM(B4:B9)</f>
        <v>8810.7552069356097</v>
      </c>
      <c r="C10" s="1038">
        <f>SUM(C4:C9)</f>
        <v>6300</v>
      </c>
      <c r="D10" s="1038">
        <f t="shared" ref="D10:H10" si="0">SUM(D8:D9)</f>
        <v>7411.7647058823522</v>
      </c>
      <c r="E10" s="1038">
        <f t="shared" si="0"/>
        <v>0</v>
      </c>
      <c r="F10" s="1038">
        <f t="shared" si="0"/>
        <v>0</v>
      </c>
      <c r="G10" s="1038">
        <f t="shared" si="0"/>
        <v>0</v>
      </c>
      <c r="H10" s="1038">
        <f t="shared" si="0"/>
        <v>0</v>
      </c>
      <c r="I10" s="1038">
        <f>SUM(I8:I9)</f>
        <v>0</v>
      </c>
      <c r="J10" s="1038">
        <f>SUM(J8:J9)</f>
        <v>2957.1428571428573</v>
      </c>
      <c r="K10" s="1038">
        <f t="shared" ref="K10:L10" si="1">SUM(K8:K9)</f>
        <v>0</v>
      </c>
      <c r="L10" s="1038">
        <f t="shared" si="1"/>
        <v>0</v>
      </c>
      <c r="M10" s="1038">
        <f>SUM(M8:M9)</f>
        <v>0</v>
      </c>
      <c r="N10" s="1038">
        <f>SUM(N8:N9)</f>
        <v>0</v>
      </c>
      <c r="O10" s="1038">
        <f>SUM(O8:O9)</f>
        <v>0</v>
      </c>
      <c r="P10" s="1038">
        <f>SUM(P8:P9)</f>
        <v>1497.1764705882354</v>
      </c>
    </row>
    <row r="11" spans="1:16">
      <c r="A11" s="888"/>
      <c r="B11" s="888"/>
      <c r="C11" s="888"/>
      <c r="D11" s="888"/>
      <c r="E11" s="888"/>
      <c r="F11" s="888"/>
      <c r="G11" s="888"/>
      <c r="H11" s="888"/>
      <c r="I11" s="888"/>
      <c r="J11" s="888"/>
      <c r="K11" s="888"/>
      <c r="L11" s="888"/>
      <c r="M11" s="888"/>
      <c r="N11" s="888"/>
      <c r="O11" s="888"/>
      <c r="P11" s="888"/>
    </row>
    <row r="12" spans="1:16">
      <c r="A12" s="471" t="s">
        <v>872</v>
      </c>
      <c r="B12" s="777" t="s">
        <v>873</v>
      </c>
      <c r="C12" s="777">
        <f ca="1">'EF ele_warmte'!B12</f>
        <v>0.20516911332571913</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c r="A17" s="1039" t="s">
        <v>251</v>
      </c>
      <c r="B17" s="1040">
        <f>'SEAP template'!B87</f>
        <v>0</v>
      </c>
      <c r="C17" s="1040">
        <f>'SEAP template'!C87</f>
        <v>9000</v>
      </c>
      <c r="D17" s="1035">
        <f>'SEAP template'!D87</f>
        <v>10588.235294117647</v>
      </c>
      <c r="E17" s="1035">
        <f>'SEAP template'!E87</f>
        <v>0</v>
      </c>
      <c r="F17" s="1035">
        <f>'SEAP template'!F87</f>
        <v>0</v>
      </c>
      <c r="G17" s="1035">
        <f>'SEAP template'!G87</f>
        <v>0</v>
      </c>
      <c r="H17" s="1035">
        <f>'SEAP template'!H87</f>
        <v>0</v>
      </c>
      <c r="I17" s="1035">
        <f>'SEAP template'!I87</f>
        <v>0</v>
      </c>
      <c r="J17" s="1035">
        <f>'SEAP template'!J87</f>
        <v>0</v>
      </c>
      <c r="K17" s="1035">
        <f>'SEAP template'!K87</f>
        <v>0</v>
      </c>
      <c r="L17" s="1035">
        <f>'SEAP template'!L87</f>
        <v>0</v>
      </c>
      <c r="M17" s="1035">
        <f>'SEAP template'!M87</f>
        <v>0</v>
      </c>
      <c r="N17" s="1035">
        <f>'SEAP template'!N87</f>
        <v>0</v>
      </c>
      <c r="O17" s="1035">
        <f>'SEAP template'!O87</f>
        <v>0</v>
      </c>
      <c r="P17" s="1035">
        <f>'SEAP template'!Q87</f>
        <v>2138.8235294117649</v>
      </c>
    </row>
    <row r="18" spans="1:16">
      <c r="A18" s="1041" t="s">
        <v>257</v>
      </c>
      <c r="B18" s="1040">
        <f>'SEAP template'!B88</f>
        <v>0</v>
      </c>
      <c r="C18" s="1040">
        <f>'SEAP template'!C88</f>
        <v>0</v>
      </c>
      <c r="D18" s="1035">
        <f>'SEAP template'!D88</f>
        <v>0</v>
      </c>
      <c r="E18" s="1035">
        <f>'SEAP template'!E88</f>
        <v>0</v>
      </c>
      <c r="F18" s="1035">
        <f>'SEAP template'!F88</f>
        <v>0</v>
      </c>
      <c r="G18" s="1035">
        <f>'SEAP template'!G88</f>
        <v>0</v>
      </c>
      <c r="H18" s="1035">
        <f>'SEAP template'!H88</f>
        <v>0</v>
      </c>
      <c r="I18" s="1035">
        <f>'SEAP template'!I88</f>
        <v>0</v>
      </c>
      <c r="J18" s="1035">
        <f>'SEAP template'!J88</f>
        <v>0</v>
      </c>
      <c r="K18" s="1035">
        <f>'SEAP template'!K88</f>
        <v>0</v>
      </c>
      <c r="L18" s="1035">
        <f>'SEAP template'!L88</f>
        <v>0</v>
      </c>
      <c r="M18" s="1035">
        <f>'SEAP template'!M88</f>
        <v>0</v>
      </c>
      <c r="N18" s="1035">
        <f>'SEAP template'!N88</f>
        <v>0</v>
      </c>
      <c r="O18" s="1035">
        <f>'SEAP template'!O88</f>
        <v>0</v>
      </c>
      <c r="P18" s="1035">
        <f>'SEAP template'!Q88</f>
        <v>0</v>
      </c>
    </row>
    <row r="19" spans="1:16">
      <c r="A19" s="1037" t="s">
        <v>878</v>
      </c>
      <c r="B19" s="1040">
        <f>'SEAP template'!B89</f>
        <v>0</v>
      </c>
      <c r="C19" s="1040">
        <f>'SEAP template'!C89</f>
        <v>0</v>
      </c>
      <c r="D19" s="1035">
        <f>'SEAP template'!D89</f>
        <v>0</v>
      </c>
      <c r="E19" s="1035">
        <f>'SEAP template'!E89</f>
        <v>0</v>
      </c>
      <c r="F19" s="1035">
        <f>'SEAP template'!F89</f>
        <v>0</v>
      </c>
      <c r="G19" s="1035">
        <f>'SEAP template'!G89</f>
        <v>0</v>
      </c>
      <c r="H19" s="1035">
        <f>'SEAP template'!H89</f>
        <v>0</v>
      </c>
      <c r="I19" s="1035">
        <f>'SEAP template'!I89</f>
        <v>0</v>
      </c>
      <c r="J19" s="1035">
        <f>'SEAP template'!J89</f>
        <v>0</v>
      </c>
      <c r="K19" s="1035">
        <f>'SEAP template'!K89</f>
        <v>0</v>
      </c>
      <c r="L19" s="1035">
        <f>'SEAP template'!L89</f>
        <v>0</v>
      </c>
      <c r="M19" s="1035">
        <f>'SEAP template'!M89</f>
        <v>0</v>
      </c>
      <c r="N19" s="1035">
        <f>'SEAP template'!N89</f>
        <v>0</v>
      </c>
      <c r="O19" s="1035">
        <f>'SEAP template'!O89</f>
        <v>0</v>
      </c>
      <c r="P19" s="1035">
        <f>'SEAP template'!Q89</f>
        <v>0</v>
      </c>
    </row>
    <row r="20" spans="1:16">
      <c r="A20" s="1042" t="s">
        <v>115</v>
      </c>
      <c r="B20" s="1038">
        <f>SUM(B17:B19)</f>
        <v>0</v>
      </c>
      <c r="C20" s="1038">
        <f>SUM(C17:C19)</f>
        <v>9000</v>
      </c>
      <c r="D20" s="1038">
        <f t="shared" ref="D20:H20" si="2">SUM(D17:D19)</f>
        <v>10588.235294117647</v>
      </c>
      <c r="E20" s="1038">
        <f t="shared" si="2"/>
        <v>0</v>
      </c>
      <c r="F20" s="1038">
        <f t="shared" si="2"/>
        <v>0</v>
      </c>
      <c r="G20" s="1038">
        <f t="shared" si="2"/>
        <v>0</v>
      </c>
      <c r="H20" s="1038">
        <f t="shared" si="2"/>
        <v>0</v>
      </c>
      <c r="I20" s="1038">
        <f>SUM(I17:I19)</f>
        <v>0</v>
      </c>
      <c r="J20" s="1038">
        <f>SUM(J17:J19)</f>
        <v>0</v>
      </c>
      <c r="K20" s="1038">
        <f t="shared" ref="K20:L20" si="3">SUM(K17:K19)</f>
        <v>0</v>
      </c>
      <c r="L20" s="1038">
        <f t="shared" si="3"/>
        <v>0</v>
      </c>
      <c r="M20" s="1038">
        <f>SUM(M17:M19)</f>
        <v>0</v>
      </c>
      <c r="N20" s="1038">
        <f>SUM(N17:N19)</f>
        <v>0</v>
      </c>
      <c r="O20" s="1038">
        <f>SUM(O17:O19)</f>
        <v>0</v>
      </c>
      <c r="P20" s="1038">
        <f>SUM(P17:P19)</f>
        <v>2138.8235294117649</v>
      </c>
    </row>
    <row r="22" spans="1:16">
      <c r="A22" s="471" t="s">
        <v>879</v>
      </c>
      <c r="B22" s="777" t="s">
        <v>873</v>
      </c>
      <c r="C22" s="777">
        <f ca="1">'EF ele_warmte'!B22</f>
        <v>0.23764705882352943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D6" sqref="D6"/>
    </sheetView>
  </sheetViews>
  <sheetFormatPr defaultColWidth="9.140625" defaultRowHeight="15"/>
  <cols>
    <col min="1" max="1" width="49.5703125" style="880" customWidth="1"/>
    <col min="2" max="2" width="23.5703125" style="880" customWidth="1"/>
    <col min="3" max="3" width="25.28515625" style="880" customWidth="1"/>
    <col min="4" max="10" width="18.42578125" style="880" bestFit="1" customWidth="1"/>
    <col min="11" max="11" width="24.28515625" style="880" bestFit="1" customWidth="1"/>
    <col min="12" max="12" width="22.42578125" style="880" bestFit="1" customWidth="1"/>
    <col min="13" max="13" width="18.42578125" style="880" bestFit="1" customWidth="1"/>
    <col min="14" max="14" width="28.42578125" style="880" bestFit="1" customWidth="1"/>
    <col min="15" max="15" width="18.42578125" style="880" bestFit="1" customWidth="1"/>
    <col min="16" max="16" width="16.710937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15.75">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ht="135">
      <c r="A4" s="1043" t="s">
        <v>248</v>
      </c>
      <c r="B4" s="1044" t="s">
        <v>880</v>
      </c>
      <c r="C4" s="1045" t="s">
        <v>823</v>
      </c>
      <c r="D4" s="1045" t="s">
        <v>823</v>
      </c>
      <c r="E4" s="1045" t="s">
        <v>823</v>
      </c>
      <c r="F4" s="1045" t="s">
        <v>823</v>
      </c>
      <c r="G4" s="1045" t="s">
        <v>823</v>
      </c>
      <c r="H4" s="1045" t="s">
        <v>823</v>
      </c>
      <c r="I4" s="1045" t="s">
        <v>823</v>
      </c>
      <c r="J4" s="1045" t="s">
        <v>823</v>
      </c>
      <c r="K4" s="1045" t="s">
        <v>823</v>
      </c>
      <c r="L4" s="1045" t="s">
        <v>823</v>
      </c>
      <c r="M4" s="1045" t="s">
        <v>823</v>
      </c>
      <c r="N4" s="1045" t="s">
        <v>823</v>
      </c>
      <c r="O4" s="1045" t="s">
        <v>823</v>
      </c>
      <c r="P4" s="1046" t="s">
        <v>881</v>
      </c>
    </row>
    <row r="5" spans="1:16" ht="135">
      <c r="A5" s="1047" t="s">
        <v>249</v>
      </c>
      <c r="B5" s="1044" t="s">
        <v>880</v>
      </c>
      <c r="C5" s="1045" t="s">
        <v>823</v>
      </c>
      <c r="D5" s="1045" t="s">
        <v>823</v>
      </c>
      <c r="E5" s="1045" t="s">
        <v>823</v>
      </c>
      <c r="F5" s="1045" t="s">
        <v>823</v>
      </c>
      <c r="G5" s="1045" t="s">
        <v>823</v>
      </c>
      <c r="H5" s="1045" t="s">
        <v>823</v>
      </c>
      <c r="I5" s="1045" t="s">
        <v>823</v>
      </c>
      <c r="J5" s="1045" t="s">
        <v>823</v>
      </c>
      <c r="K5" s="1045" t="s">
        <v>823</v>
      </c>
      <c r="L5" s="1045" t="s">
        <v>823</v>
      </c>
      <c r="M5" s="1045" t="s">
        <v>823</v>
      </c>
      <c r="N5" s="1045" t="s">
        <v>823</v>
      </c>
      <c r="O5" s="1045" t="s">
        <v>823</v>
      </c>
      <c r="P5" s="1046" t="s">
        <v>881</v>
      </c>
    </row>
    <row r="6" spans="1:16" ht="135">
      <c r="A6" s="1047" t="s">
        <v>250</v>
      </c>
      <c r="B6" s="1044" t="s">
        <v>880</v>
      </c>
      <c r="C6" s="1045" t="s">
        <v>823</v>
      </c>
      <c r="D6" s="1045" t="s">
        <v>823</v>
      </c>
      <c r="E6" s="1045" t="s">
        <v>823</v>
      </c>
      <c r="F6" s="1045" t="s">
        <v>823</v>
      </c>
      <c r="G6" s="1045" t="s">
        <v>823</v>
      </c>
      <c r="H6" s="1045" t="s">
        <v>823</v>
      </c>
      <c r="I6" s="1045" t="s">
        <v>823</v>
      </c>
      <c r="J6" s="1045" t="s">
        <v>823</v>
      </c>
      <c r="K6" s="1045" t="s">
        <v>823</v>
      </c>
      <c r="L6" s="1045" t="s">
        <v>823</v>
      </c>
      <c r="M6" s="1045" t="s">
        <v>823</v>
      </c>
      <c r="N6" s="1045" t="s">
        <v>823</v>
      </c>
      <c r="O6" s="1045" t="s">
        <v>823</v>
      </c>
      <c r="P6" s="1046" t="s">
        <v>881</v>
      </c>
    </row>
    <row r="7" spans="1:16" ht="135">
      <c r="A7" s="1047" t="s">
        <v>859</v>
      </c>
      <c r="B7" s="1045" t="s">
        <v>823</v>
      </c>
      <c r="C7" s="1045" t="s">
        <v>823</v>
      </c>
      <c r="D7" s="1045" t="s">
        <v>823</v>
      </c>
      <c r="E7" s="1045" t="s">
        <v>823</v>
      </c>
      <c r="F7" s="1045" t="s">
        <v>823</v>
      </c>
      <c r="G7" s="1045" t="s">
        <v>823</v>
      </c>
      <c r="H7" s="1045" t="s">
        <v>823</v>
      </c>
      <c r="I7" s="1045" t="s">
        <v>823</v>
      </c>
      <c r="J7" s="1045" t="s">
        <v>823</v>
      </c>
      <c r="K7" s="1045" t="s">
        <v>823</v>
      </c>
      <c r="L7" s="1045" t="s">
        <v>823</v>
      </c>
      <c r="M7" s="1045" t="s">
        <v>823</v>
      </c>
      <c r="N7" s="1045" t="s">
        <v>823</v>
      </c>
      <c r="O7" s="1045" t="s">
        <v>823</v>
      </c>
      <c r="P7" s="1046" t="s">
        <v>881</v>
      </c>
    </row>
    <row r="8" spans="1:16" ht="210">
      <c r="A8" s="1043" t="s">
        <v>251</v>
      </c>
      <c r="B8" s="1044" t="s">
        <v>882</v>
      </c>
      <c r="C8" s="1044" t="s">
        <v>882</v>
      </c>
      <c r="D8" s="1044" t="s">
        <v>882</v>
      </c>
      <c r="E8" s="1044" t="s">
        <v>882</v>
      </c>
      <c r="F8" s="1044" t="s">
        <v>882</v>
      </c>
      <c r="G8" s="1044" t="s">
        <v>882</v>
      </c>
      <c r="H8" s="1044" t="s">
        <v>882</v>
      </c>
      <c r="I8" s="1044" t="s">
        <v>882</v>
      </c>
      <c r="J8" s="1044" t="s">
        <v>882</v>
      </c>
      <c r="K8" s="1045" t="s">
        <v>823</v>
      </c>
      <c r="L8" s="1045" t="s">
        <v>823</v>
      </c>
      <c r="M8" s="1045" t="s">
        <v>823</v>
      </c>
      <c r="N8" s="1044" t="s">
        <v>883</v>
      </c>
      <c r="O8" s="1044" t="s">
        <v>883</v>
      </c>
      <c r="P8" s="1048"/>
    </row>
    <row r="9" spans="1:16" ht="210">
      <c r="A9" s="1049" t="s">
        <v>871</v>
      </c>
      <c r="B9" s="1044" t="s">
        <v>883</v>
      </c>
      <c r="C9" s="1044" t="s">
        <v>883</v>
      </c>
      <c r="D9" s="1044" t="s">
        <v>883</v>
      </c>
      <c r="E9" s="1044" t="s">
        <v>883</v>
      </c>
      <c r="F9" s="1044" t="s">
        <v>883</v>
      </c>
      <c r="G9" s="1044" t="s">
        <v>883</v>
      </c>
      <c r="H9" s="1044" t="s">
        <v>883</v>
      </c>
      <c r="I9" s="1044" t="s">
        <v>883</v>
      </c>
      <c r="J9" s="1044" t="s">
        <v>883</v>
      </c>
      <c r="K9" s="1045" t="s">
        <v>823</v>
      </c>
      <c r="L9" s="1044" t="s">
        <v>883</v>
      </c>
      <c r="M9" s="1044" t="s">
        <v>883</v>
      </c>
      <c r="N9" s="1044" t="s">
        <v>883</v>
      </c>
      <c r="O9" s="1044" t="s">
        <v>883</v>
      </c>
      <c r="P9" s="1048"/>
    </row>
    <row r="10" spans="1:16">
      <c r="A10" s="1047" t="s">
        <v>115</v>
      </c>
      <c r="B10" s="1050"/>
      <c r="C10" s="1050"/>
      <c r="D10" s="1050"/>
      <c r="E10" s="1050"/>
      <c r="F10" s="1050"/>
      <c r="G10" s="1050"/>
      <c r="H10" s="1050"/>
      <c r="I10" s="1050"/>
      <c r="J10" s="1050"/>
      <c r="K10" s="1050"/>
      <c r="L10" s="1050"/>
      <c r="M10" s="1050"/>
      <c r="N10" s="1050"/>
      <c r="O10" s="1050"/>
      <c r="P10" s="1050"/>
    </row>
    <row r="11" spans="1:16">
      <c r="A11" s="888"/>
      <c r="B11" s="888"/>
      <c r="C11" s="888"/>
      <c r="D11" s="888"/>
      <c r="E11" s="888"/>
      <c r="F11" s="888"/>
      <c r="G11" s="888"/>
      <c r="H11" s="888"/>
      <c r="I11" s="888"/>
      <c r="J11" s="888"/>
      <c r="K11" s="888"/>
      <c r="L11" s="888"/>
      <c r="M11" s="888"/>
      <c r="N11" s="888"/>
      <c r="O11" s="888"/>
      <c r="P11" s="888"/>
    </row>
    <row r="12" spans="1:16" ht="150">
      <c r="A12" s="471" t="s">
        <v>872</v>
      </c>
      <c r="B12" s="777" t="s">
        <v>873</v>
      </c>
      <c r="C12" s="1051" t="s">
        <v>884</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ht="210">
      <c r="A17" s="1039" t="s">
        <v>251</v>
      </c>
      <c r="B17" s="1044" t="s">
        <v>883</v>
      </c>
      <c r="C17" s="1044" t="s">
        <v>883</v>
      </c>
      <c r="D17" s="1044" t="s">
        <v>883</v>
      </c>
      <c r="E17" s="1044" t="s">
        <v>883</v>
      </c>
      <c r="F17" s="1044" t="s">
        <v>883</v>
      </c>
      <c r="G17" s="1044" t="s">
        <v>883</v>
      </c>
      <c r="H17" s="1044" t="s">
        <v>883</v>
      </c>
      <c r="I17" s="1044" t="s">
        <v>883</v>
      </c>
      <c r="J17" s="1044" t="s">
        <v>883</v>
      </c>
      <c r="K17" s="1045" t="s">
        <v>823</v>
      </c>
      <c r="L17" s="1045" t="s">
        <v>823</v>
      </c>
      <c r="M17" s="1045" t="s">
        <v>823</v>
      </c>
      <c r="N17" s="1044" t="s">
        <v>883</v>
      </c>
      <c r="O17" s="1044" t="s">
        <v>883</v>
      </c>
      <c r="P17" s="1052"/>
    </row>
    <row r="18" spans="1:16" ht="45">
      <c r="A18" s="1041" t="s">
        <v>257</v>
      </c>
      <c r="B18" s="1046" t="s">
        <v>846</v>
      </c>
      <c r="C18" s="1046" t="s">
        <v>846</v>
      </c>
      <c r="D18" s="1046" t="s">
        <v>846</v>
      </c>
      <c r="E18" s="1046" t="s">
        <v>846</v>
      </c>
      <c r="F18" s="1046" t="s">
        <v>846</v>
      </c>
      <c r="G18" s="1046" t="s">
        <v>846</v>
      </c>
      <c r="H18" s="1046" t="s">
        <v>846</v>
      </c>
      <c r="I18" s="1046" t="s">
        <v>846</v>
      </c>
      <c r="J18" s="1046" t="s">
        <v>846</v>
      </c>
      <c r="K18" s="1046" t="s">
        <v>846</v>
      </c>
      <c r="L18" s="1046" t="s">
        <v>846</v>
      </c>
      <c r="M18" s="1046" t="s">
        <v>846</v>
      </c>
      <c r="N18" s="1046" t="s">
        <v>846</v>
      </c>
      <c r="O18" s="1046" t="s">
        <v>846</v>
      </c>
      <c r="P18" s="1046" t="s">
        <v>846</v>
      </c>
    </row>
    <row r="19" spans="1:16" ht="45">
      <c r="A19" s="1037" t="s">
        <v>878</v>
      </c>
      <c r="B19" s="1046" t="s">
        <v>846</v>
      </c>
      <c r="C19" s="1046" t="s">
        <v>846</v>
      </c>
      <c r="D19" s="1046" t="s">
        <v>846</v>
      </c>
      <c r="E19" s="1046" t="s">
        <v>846</v>
      </c>
      <c r="F19" s="1046" t="s">
        <v>846</v>
      </c>
      <c r="G19" s="1046" t="s">
        <v>846</v>
      </c>
      <c r="H19" s="1046" t="s">
        <v>846</v>
      </c>
      <c r="I19" s="1046" t="s">
        <v>846</v>
      </c>
      <c r="J19" s="1046" t="s">
        <v>846</v>
      </c>
      <c r="K19" s="1046" t="s">
        <v>846</v>
      </c>
      <c r="L19" s="1046" t="s">
        <v>846</v>
      </c>
      <c r="M19" s="1046" t="s">
        <v>846</v>
      </c>
      <c r="N19" s="1046" t="s">
        <v>846</v>
      </c>
      <c r="O19" s="1046" t="s">
        <v>846</v>
      </c>
      <c r="P19" s="1046" t="s">
        <v>846</v>
      </c>
    </row>
    <row r="20" spans="1:16">
      <c r="A20" s="1042" t="s">
        <v>115</v>
      </c>
      <c r="B20" s="1038"/>
      <c r="C20" s="1038"/>
      <c r="D20" s="1038"/>
      <c r="E20" s="1038"/>
      <c r="F20" s="1038"/>
      <c r="G20" s="1038"/>
      <c r="H20" s="1038"/>
      <c r="I20" s="1038"/>
      <c r="J20" s="1038"/>
      <c r="K20" s="1038"/>
      <c r="L20" s="1038"/>
      <c r="M20" s="1038"/>
      <c r="N20" s="1038"/>
      <c r="O20" s="1038"/>
      <c r="P20" s="1038"/>
    </row>
    <row r="22" spans="1:16" ht="90">
      <c r="A22" s="471" t="s">
        <v>879</v>
      </c>
      <c r="B22" s="777" t="s">
        <v>873</v>
      </c>
      <c r="C22" s="1051" t="s">
        <v>885</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590</v>
      </c>
      <c r="B6" s="75" t="s">
        <v>591</v>
      </c>
      <c r="C6" s="441" t="s">
        <v>574</v>
      </c>
    </row>
    <row r="7" spans="1:3">
      <c r="A7" s="125"/>
      <c r="B7" s="129"/>
      <c r="C7" s="122"/>
    </row>
    <row r="8" spans="1:3">
      <c r="A8" s="113" t="s">
        <v>593</v>
      </c>
      <c r="B8" s="75" t="s">
        <v>592</v>
      </c>
      <c r="C8" s="441" t="s">
        <v>387</v>
      </c>
    </row>
    <row r="9" spans="1:3">
      <c r="A9" s="125"/>
      <c r="B9" s="129"/>
      <c r="C9" s="122"/>
    </row>
    <row r="10" spans="1:3">
      <c r="A10" s="113" t="s">
        <v>327</v>
      </c>
      <c r="B10" s="75" t="s">
        <v>385</v>
      </c>
      <c r="C10" s="114" t="s">
        <v>387</v>
      </c>
    </row>
    <row r="11" spans="1:3">
      <c r="A11" s="125"/>
      <c r="B11" s="129"/>
      <c r="C11" s="122"/>
    </row>
    <row r="12" spans="1:3" ht="30">
      <c r="A12" s="113" t="s">
        <v>414</v>
      </c>
      <c r="B12" s="75" t="s">
        <v>533</v>
      </c>
      <c r="C12" s="314" t="s">
        <v>627</v>
      </c>
    </row>
    <row r="13" spans="1:3">
      <c r="A13" s="141"/>
      <c r="B13" s="124"/>
      <c r="C13" s="302"/>
    </row>
    <row r="14" spans="1:3" s="11" customFormat="1">
      <c r="A14" s="113" t="s">
        <v>610</v>
      </c>
      <c r="B14" s="130" t="s">
        <v>611</v>
      </c>
      <c r="C14" s="131" t="s">
        <v>612</v>
      </c>
    </row>
    <row r="15" spans="1:3" s="11" customFormat="1">
      <c r="A15" s="141"/>
      <c r="B15" s="160"/>
      <c r="C15" s="161"/>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8.5703125" style="456" bestFit="1" customWidth="1"/>
    <col min="8" max="8" width="10.8554687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35.7109375" style="456"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681" t="s">
        <v>622</v>
      </c>
      <c r="B4" s="474"/>
      <c r="C4" s="474"/>
      <c r="D4" s="474"/>
      <c r="E4" s="474"/>
      <c r="F4" s="474"/>
      <c r="G4" s="506"/>
      <c r="H4" s="506"/>
      <c r="I4" s="474"/>
      <c r="J4" s="474"/>
      <c r="K4" s="474"/>
      <c r="L4" s="474"/>
      <c r="M4" s="474"/>
      <c r="N4" s="474"/>
      <c r="O4" s="474"/>
      <c r="P4" s="474"/>
    </row>
    <row r="5" spans="1:16" outlineLevel="1">
      <c r="A5" s="681" t="s">
        <v>623</v>
      </c>
      <c r="B5" s="474"/>
      <c r="C5" s="474"/>
      <c r="D5" s="474"/>
      <c r="E5" s="474"/>
      <c r="F5" s="474"/>
      <c r="G5" s="506"/>
      <c r="H5" s="506"/>
      <c r="I5" s="474"/>
      <c r="J5" s="474"/>
      <c r="K5" s="474"/>
      <c r="L5" s="474"/>
      <c r="M5" s="474"/>
      <c r="N5" s="474"/>
      <c r="O5" s="474"/>
      <c r="P5" s="474"/>
    </row>
    <row r="6" spans="1:16" outlineLevel="1">
      <c r="A6" s="681" t="s">
        <v>624</v>
      </c>
      <c r="B6" s="474"/>
      <c r="C6" s="474"/>
      <c r="D6" s="474"/>
      <c r="E6" s="474"/>
      <c r="F6" s="474"/>
      <c r="G6" s="506"/>
      <c r="H6" s="506"/>
      <c r="I6" s="474"/>
      <c r="J6" s="474"/>
      <c r="K6" s="474"/>
      <c r="L6" s="474"/>
      <c r="M6" s="474"/>
      <c r="N6" s="474"/>
      <c r="O6" s="474"/>
      <c r="P6" s="474"/>
    </row>
    <row r="7" spans="1:16" outlineLevel="1">
      <c r="A7" s="476"/>
      <c r="B7" s="474"/>
      <c r="C7" s="474"/>
      <c r="D7" s="474"/>
      <c r="E7" s="474"/>
      <c r="F7" s="474"/>
      <c r="G7" s="506"/>
      <c r="H7" s="506"/>
      <c r="I7" s="474"/>
      <c r="J7" s="474"/>
      <c r="K7" s="474"/>
      <c r="L7" s="474"/>
      <c r="M7" s="474"/>
      <c r="N7" s="474"/>
      <c r="O7" s="474"/>
      <c r="P7" s="474"/>
    </row>
    <row r="8" spans="1:16" outlineLevel="1">
      <c r="A8" s="682" t="s">
        <v>625</v>
      </c>
      <c r="B8" s="474"/>
      <c r="C8" s="474"/>
      <c r="D8" s="474"/>
      <c r="E8" s="474"/>
      <c r="F8" s="474"/>
      <c r="G8" s="506"/>
      <c r="H8" s="506"/>
      <c r="I8" s="474"/>
      <c r="J8" s="474"/>
      <c r="K8" s="474"/>
      <c r="L8" s="474"/>
      <c r="M8" s="474"/>
      <c r="N8" s="474"/>
      <c r="O8" s="474"/>
      <c r="P8" s="474"/>
    </row>
    <row r="9" spans="1:16" outlineLevel="1">
      <c r="A9" s="476"/>
      <c r="B9" s="474"/>
      <c r="C9" s="474"/>
      <c r="D9" s="474"/>
      <c r="E9" s="474"/>
      <c r="F9" s="474"/>
      <c r="G9" s="506"/>
      <c r="H9" s="506"/>
      <c r="I9" s="474"/>
      <c r="J9" s="474"/>
      <c r="K9" s="474"/>
      <c r="L9" s="474"/>
      <c r="M9" s="474"/>
      <c r="N9" s="474"/>
      <c r="O9" s="474"/>
      <c r="P9" s="474"/>
    </row>
    <row r="10" spans="1:16" outlineLevel="1">
      <c r="A10" s="476" t="s">
        <v>626</v>
      </c>
      <c r="B10" s="474"/>
      <c r="C10" s="474"/>
      <c r="D10" s="474"/>
      <c r="E10" s="474"/>
      <c r="F10" s="474"/>
      <c r="G10" s="506"/>
      <c r="H10" s="506"/>
      <c r="I10" s="474"/>
      <c r="J10" s="474"/>
      <c r="K10" s="474"/>
      <c r="L10" s="474"/>
      <c r="M10" s="474"/>
      <c r="N10" s="474"/>
      <c r="O10" s="474"/>
      <c r="P10" s="474"/>
    </row>
    <row r="11" spans="1:16" outlineLevel="1">
      <c r="A11" s="476"/>
      <c r="B11" s="474"/>
      <c r="C11" s="474"/>
      <c r="D11" s="474"/>
      <c r="E11" s="474"/>
      <c r="F11" s="474"/>
      <c r="G11" s="506"/>
      <c r="H11" s="506"/>
      <c r="I11" s="474"/>
      <c r="J11" s="474"/>
      <c r="K11" s="474"/>
      <c r="L11" s="474"/>
      <c r="M11" s="474"/>
      <c r="N11" s="474"/>
      <c r="O11" s="474"/>
      <c r="P11" s="474"/>
    </row>
    <row r="12" spans="1:16" ht="15.75" outlineLevel="1" thickBot="1">
      <c r="B12" s="474"/>
      <c r="C12" s="474"/>
      <c r="D12" s="474"/>
      <c r="E12" s="474"/>
      <c r="F12" s="474"/>
      <c r="G12" s="506"/>
      <c r="H12" s="506"/>
      <c r="I12" s="474"/>
      <c r="J12" s="474"/>
      <c r="K12" s="474"/>
      <c r="L12" s="474"/>
      <c r="M12" s="474"/>
      <c r="N12" s="474"/>
      <c r="O12" s="474"/>
      <c r="P12" s="474"/>
    </row>
    <row r="13" spans="1:16" ht="25.5" customHeight="1" outlineLevel="1" thickBot="1">
      <c r="A13" s="477" t="s">
        <v>588</v>
      </c>
      <c r="B13" s="458"/>
      <c r="C13" s="478"/>
      <c r="D13" s="478"/>
      <c r="E13" s="478"/>
      <c r="F13" s="478"/>
      <c r="G13" s="478"/>
      <c r="H13" s="478"/>
      <c r="I13" s="478"/>
      <c r="J13" s="478"/>
      <c r="K13" s="478"/>
      <c r="L13" s="478"/>
      <c r="M13" s="478"/>
      <c r="N13" s="478"/>
      <c r="O13" s="778" t="s">
        <v>647</v>
      </c>
      <c r="P13" s="778" t="s">
        <v>646</v>
      </c>
    </row>
    <row r="14" spans="1:16" outlineLevel="1"/>
    <row r="15" spans="1:16" s="470" customFormat="1" outlineLevel="1">
      <c r="A15" s="479" t="s">
        <v>304</v>
      </c>
      <c r="B15" s="480">
        <f>SUM(B4:B12)</f>
        <v>0</v>
      </c>
      <c r="C15" s="480">
        <f t="shared" ref="C15:P15" si="0">SUM(C4:C13)</f>
        <v>0</v>
      </c>
      <c r="D15" s="480">
        <f t="shared" si="0"/>
        <v>0</v>
      </c>
      <c r="E15" s="480">
        <f t="shared" si="0"/>
        <v>0</v>
      </c>
      <c r="F15" s="480">
        <f t="shared" si="0"/>
        <v>0</v>
      </c>
      <c r="G15" s="480"/>
      <c r="H15" s="480"/>
      <c r="I15" s="480">
        <f t="shared" si="0"/>
        <v>0</v>
      </c>
      <c r="J15" s="480">
        <f t="shared" si="0"/>
        <v>0</v>
      </c>
      <c r="K15" s="480">
        <f t="shared" si="0"/>
        <v>0</v>
      </c>
      <c r="L15" s="480">
        <f t="shared" si="0"/>
        <v>0</v>
      </c>
      <c r="M15" s="480">
        <f>SUM(M4:M13)</f>
        <v>0</v>
      </c>
      <c r="N15" s="480">
        <f t="shared" si="0"/>
        <v>0</v>
      </c>
      <c r="O15" s="480">
        <f>SUM(O4:O13)</f>
        <v>0</v>
      </c>
      <c r="P15" s="480">
        <f t="shared" si="0"/>
        <v>0</v>
      </c>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0.20516911332571913</v>
      </c>
      <c r="C17" s="508">
        <f ca="1">'EF ele_warmte'!B22</f>
        <v>0.23764705882352943</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f ca="1">C15*C17</f>
        <v>0</v>
      </c>
      <c r="D19" s="485">
        <f>D15*D17</f>
        <v>0</v>
      </c>
      <c r="E19" s="485">
        <f>E15*E17</f>
        <v>0</v>
      </c>
      <c r="F19" s="485">
        <f>F15*F17</f>
        <v>0</v>
      </c>
      <c r="G19" s="485"/>
      <c r="H19" s="485"/>
      <c r="I19" s="485">
        <f t="shared" ref="I19:P19" si="1">I15*I17</f>
        <v>0</v>
      </c>
      <c r="J19" s="485">
        <f t="shared" si="1"/>
        <v>0</v>
      </c>
      <c r="K19" s="485">
        <f t="shared" si="1"/>
        <v>0</v>
      </c>
      <c r="L19" s="485">
        <f t="shared" si="1"/>
        <v>0</v>
      </c>
      <c r="M19" s="485">
        <f t="shared" si="1"/>
        <v>0</v>
      </c>
      <c r="N19" s="485">
        <f t="shared" si="1"/>
        <v>0</v>
      </c>
      <c r="O19" s="485">
        <f t="shared" si="1"/>
        <v>0</v>
      </c>
      <c r="P19" s="485">
        <f t="shared" si="1"/>
        <v>0</v>
      </c>
    </row>
    <row r="22" spans="1:16" s="458" customFormat="1" ht="15" customHeight="1" outlineLevel="1">
      <c r="A22" s="486" t="s">
        <v>491</v>
      </c>
      <c r="B22" s="487"/>
      <c r="C22" s="488"/>
      <c r="D22" s="489"/>
      <c r="E22" s="490"/>
    </row>
    <row r="23" spans="1:16" s="48" customFormat="1" ht="15" customHeight="1" outlineLevel="1">
      <c r="A23" s="491"/>
      <c r="B23" s="492"/>
      <c r="C23" s="493" t="s">
        <v>377</v>
      </c>
      <c r="D23" s="493" t="s">
        <v>181</v>
      </c>
      <c r="E23" s="494"/>
    </row>
    <row r="24" spans="1:16" s="458" customFormat="1" ht="15" customHeight="1" outlineLevel="1">
      <c r="A24" s="495" t="s">
        <v>265</v>
      </c>
      <c r="B24" s="47">
        <f>EigenZB</f>
        <v>0</v>
      </c>
      <c r="C24" s="496"/>
      <c r="D24" s="886" t="s">
        <v>677</v>
      </c>
      <c r="E24" s="459"/>
    </row>
    <row r="25" spans="1:16" s="458" customFormat="1" outlineLevel="1">
      <c r="A25" s="495" t="s">
        <v>458</v>
      </c>
      <c r="B25" s="48">
        <v>4.2</v>
      </c>
      <c r="C25" s="496"/>
      <c r="D25" s="497" t="s">
        <v>519</v>
      </c>
      <c r="E25" s="473"/>
    </row>
    <row r="26" spans="1:16" s="458" customFormat="1" outlineLevel="1">
      <c r="A26" s="782" t="s">
        <v>459</v>
      </c>
      <c r="B26" s="783">
        <f>1.34/3.6</f>
        <v>0.37222222222222223</v>
      </c>
      <c r="C26" s="496" t="s">
        <v>217</v>
      </c>
      <c r="D26" s="497" t="s">
        <v>519</v>
      </c>
      <c r="E26" s="473"/>
    </row>
    <row r="27" spans="1:16" s="458" customFormat="1" outlineLevel="1">
      <c r="A27" s="498" t="s">
        <v>634</v>
      </c>
      <c r="B27" s="785">
        <f>B24*B25*B26</f>
        <v>0</v>
      </c>
      <c r="C27" s="499" t="s">
        <v>635</v>
      </c>
      <c r="D27" s="500"/>
      <c r="E27" s="501"/>
    </row>
    <row r="28" spans="1:16" s="458" customFormat="1" outlineLevel="1">
      <c r="A28" s="48"/>
      <c r="B28" s="48"/>
      <c r="C28" s="502"/>
      <c r="D28" s="496"/>
    </row>
    <row r="29" spans="1:16" s="458" customFormat="1" outlineLevel="1">
      <c r="A29" s="503" t="s">
        <v>492</v>
      </c>
      <c r="B29" s="487"/>
      <c r="C29" s="488"/>
      <c r="D29" s="489"/>
      <c r="E29" s="490"/>
    </row>
    <row r="30" spans="1:16" s="48" customFormat="1" outlineLevel="1">
      <c r="A30" s="504"/>
      <c r="B30" s="492"/>
      <c r="C30" s="493" t="s">
        <v>377</v>
      </c>
      <c r="D30" s="493" t="s">
        <v>181</v>
      </c>
      <c r="E30" s="494"/>
    </row>
    <row r="31" spans="1:16" s="458" customFormat="1" outlineLevel="1">
      <c r="A31" s="495" t="s">
        <v>457</v>
      </c>
      <c r="B31" s="47">
        <f>EigenWP</f>
        <v>0</v>
      </c>
      <c r="C31" s="496"/>
      <c r="D31" s="886" t="s">
        <v>235</v>
      </c>
      <c r="E31" s="459"/>
    </row>
    <row r="32" spans="1:16" s="458" customFormat="1" outlineLevel="1">
      <c r="A32" s="495" t="s">
        <v>455</v>
      </c>
      <c r="B32" s="48">
        <v>13</v>
      </c>
      <c r="C32" s="502" t="s">
        <v>262</v>
      </c>
      <c r="D32" s="497" t="s">
        <v>519</v>
      </c>
      <c r="E32" s="459"/>
    </row>
    <row r="33" spans="1:5" s="458" customFormat="1" outlineLevel="1">
      <c r="A33" s="495" t="s">
        <v>456</v>
      </c>
      <c r="B33" s="48">
        <v>2000</v>
      </c>
      <c r="C33" s="502" t="s">
        <v>264</v>
      </c>
      <c r="D33" s="497" t="s">
        <v>519</v>
      </c>
      <c r="E33" s="459"/>
    </row>
    <row r="34" spans="1:5" s="458" customFormat="1" outlineLevel="1">
      <c r="A34" s="782" t="s">
        <v>382</v>
      </c>
      <c r="B34" s="48">
        <v>3.75</v>
      </c>
      <c r="C34" s="502"/>
      <c r="D34" s="497" t="s">
        <v>519</v>
      </c>
      <c r="E34" s="459"/>
    </row>
    <row r="35" spans="1:5" s="458" customFormat="1" outlineLevel="1">
      <c r="A35" s="498" t="s">
        <v>634</v>
      </c>
      <c r="B35" s="784">
        <f>B31*B32*B33/1000-B31*B32*B33/1000/B34</f>
        <v>0</v>
      </c>
      <c r="C35" s="505" t="s">
        <v>635</v>
      </c>
      <c r="D35" s="500"/>
      <c r="E35" s="46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6.5703125" style="456" bestFit="1" customWidth="1"/>
    <col min="8" max="8" width="8.14062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26.42578125" style="456" bestFit="1"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476"/>
      <c r="B4" s="474"/>
      <c r="C4" s="506"/>
      <c r="D4" s="506"/>
      <c r="E4" s="506"/>
      <c r="F4" s="506"/>
      <c r="G4" s="506"/>
      <c r="H4" s="506"/>
      <c r="I4" s="506"/>
      <c r="J4" s="506"/>
      <c r="K4" s="506"/>
      <c r="L4" s="506"/>
      <c r="M4" s="506"/>
      <c r="N4" s="506"/>
      <c r="O4" s="506"/>
      <c r="P4" s="506"/>
    </row>
    <row r="5" spans="1:16" outlineLevel="1">
      <c r="A5" s="476"/>
      <c r="B5" s="474"/>
      <c r="C5" s="506"/>
      <c r="D5" s="506"/>
      <c r="E5" s="506"/>
      <c r="F5" s="506"/>
      <c r="G5" s="506"/>
      <c r="H5" s="506"/>
      <c r="I5" s="506"/>
      <c r="J5" s="506"/>
      <c r="K5" s="506"/>
      <c r="L5" s="506"/>
      <c r="M5" s="506"/>
      <c r="N5" s="506"/>
      <c r="O5" s="506"/>
      <c r="P5" s="506"/>
    </row>
    <row r="6" spans="1:16" outlineLevel="1">
      <c r="A6" s="476"/>
      <c r="B6" s="474"/>
      <c r="C6" s="506"/>
      <c r="D6" s="506"/>
      <c r="E6" s="506"/>
      <c r="F6" s="506"/>
      <c r="G6" s="506"/>
      <c r="H6" s="506"/>
      <c r="I6" s="506"/>
      <c r="J6" s="506"/>
      <c r="K6" s="506"/>
      <c r="L6" s="506"/>
      <c r="M6" s="506"/>
      <c r="N6" s="506"/>
      <c r="O6" s="506"/>
      <c r="P6" s="506"/>
    </row>
    <row r="7" spans="1:16" outlineLevel="1">
      <c r="A7" s="476"/>
      <c r="B7" s="474"/>
      <c r="C7" s="506"/>
      <c r="D7" s="506"/>
      <c r="E7" s="506"/>
      <c r="F7" s="506"/>
      <c r="G7" s="506"/>
      <c r="H7" s="506"/>
      <c r="I7" s="506"/>
      <c r="J7" s="506"/>
      <c r="K7" s="506"/>
      <c r="L7" s="506"/>
      <c r="M7" s="506"/>
      <c r="N7" s="506"/>
      <c r="O7" s="506"/>
      <c r="P7" s="506"/>
    </row>
    <row r="8" spans="1:16" outlineLevel="1">
      <c r="A8" s="682"/>
      <c r="B8" s="474"/>
      <c r="C8" s="506"/>
      <c r="D8" s="506"/>
      <c r="E8" s="506"/>
      <c r="F8" s="506"/>
      <c r="G8" s="506"/>
      <c r="H8" s="506"/>
      <c r="I8" s="506"/>
      <c r="J8" s="506"/>
      <c r="K8" s="506"/>
      <c r="L8" s="506"/>
      <c r="M8" s="506"/>
      <c r="N8" s="506"/>
      <c r="O8" s="506"/>
      <c r="P8" s="506"/>
    </row>
    <row r="9" spans="1:16" outlineLevel="1">
      <c r="A9" s="476"/>
      <c r="B9" s="474"/>
      <c r="C9" s="506"/>
      <c r="D9" s="506"/>
      <c r="E9" s="506"/>
      <c r="F9" s="506"/>
      <c r="G9" s="506"/>
      <c r="H9" s="506"/>
      <c r="I9" s="506"/>
      <c r="J9" s="506"/>
      <c r="K9" s="506"/>
      <c r="L9" s="506"/>
      <c r="M9" s="506"/>
      <c r="N9" s="506"/>
      <c r="O9" s="506"/>
      <c r="P9" s="506"/>
    </row>
    <row r="10" spans="1:16" outlineLevel="1">
      <c r="A10" s="476"/>
      <c r="B10" s="474"/>
      <c r="C10" s="506"/>
      <c r="D10" s="506"/>
      <c r="E10" s="506"/>
      <c r="F10" s="506"/>
      <c r="G10" s="506"/>
      <c r="H10" s="506"/>
      <c r="I10" s="506"/>
      <c r="J10" s="506"/>
      <c r="K10" s="506"/>
      <c r="L10" s="506"/>
      <c r="M10" s="506"/>
      <c r="N10" s="506"/>
      <c r="O10" s="506"/>
      <c r="P10" s="506"/>
    </row>
    <row r="11" spans="1:16" outlineLevel="1">
      <c r="A11" s="476"/>
      <c r="B11" s="474"/>
      <c r="C11" s="506"/>
      <c r="D11" s="506"/>
      <c r="E11" s="506"/>
      <c r="F11" s="506"/>
      <c r="G11" s="506"/>
      <c r="H11" s="506"/>
      <c r="I11" s="506"/>
      <c r="J11" s="506"/>
      <c r="K11" s="506"/>
      <c r="L11" s="506"/>
      <c r="M11" s="506"/>
      <c r="N11" s="506"/>
      <c r="O11" s="506"/>
      <c r="P11" s="506"/>
    </row>
    <row r="12" spans="1:16" ht="15.75" outlineLevel="1" thickBot="1">
      <c r="A12" s="476"/>
      <c r="B12" s="474"/>
      <c r="C12" s="506"/>
      <c r="D12" s="506"/>
      <c r="E12" s="506"/>
      <c r="F12" s="506"/>
      <c r="G12" s="506"/>
      <c r="H12" s="506"/>
      <c r="I12" s="506"/>
      <c r="J12" s="506"/>
      <c r="K12" s="506"/>
      <c r="L12" s="506"/>
      <c r="M12" s="506"/>
      <c r="N12" s="506"/>
      <c r="O12" s="506"/>
      <c r="P12" s="506"/>
    </row>
    <row r="13" spans="1:16" ht="25.5" customHeight="1" outlineLevel="1" thickBot="1">
      <c r="A13" s="477" t="s">
        <v>588</v>
      </c>
      <c r="B13" s="458"/>
      <c r="C13" s="478"/>
      <c r="D13" s="478"/>
      <c r="E13" s="478"/>
      <c r="F13" s="478"/>
      <c r="G13" s="478"/>
      <c r="H13" s="478"/>
      <c r="I13" s="478"/>
      <c r="J13" s="478"/>
      <c r="K13" s="478"/>
      <c r="L13" s="478"/>
      <c r="M13" s="478"/>
      <c r="N13" s="478"/>
      <c r="O13" s="1199"/>
      <c r="P13" s="1199"/>
    </row>
    <row r="14" spans="1:16" outlineLevel="1">
      <c r="A14" s="476"/>
      <c r="B14" s="52"/>
      <c r="C14" s="506"/>
      <c r="D14" s="506"/>
      <c r="E14" s="506"/>
      <c r="F14" s="506"/>
      <c r="G14" s="506"/>
      <c r="H14" s="506"/>
      <c r="I14" s="506"/>
      <c r="J14" s="506"/>
      <c r="K14" s="506"/>
      <c r="L14" s="506"/>
      <c r="M14" s="506"/>
      <c r="N14" s="506"/>
      <c r="O14" s="506"/>
      <c r="P14" s="506"/>
    </row>
    <row r="15" spans="1:16" s="470" customFormat="1" outlineLevel="1">
      <c r="A15" s="479" t="s">
        <v>305</v>
      </c>
      <c r="B15" s="480">
        <f>SUM(B4:B12)</f>
        <v>0</v>
      </c>
      <c r="C15" s="481"/>
      <c r="D15" s="481"/>
      <c r="E15" s="481"/>
      <c r="F15" s="481"/>
      <c r="G15" s="481"/>
      <c r="H15" s="481"/>
      <c r="I15" s="481"/>
      <c r="J15" s="481"/>
      <c r="K15" s="481"/>
      <c r="L15" s="481"/>
      <c r="M15" s="481"/>
      <c r="N15" s="481"/>
      <c r="O15" s="482"/>
      <c r="P15" s="482"/>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0.20516911332571913</v>
      </c>
      <c r="C17" s="508">
        <f ca="1">'EF ele_warmte'!B22</f>
        <v>0.23764705882352943</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c r="D19" s="485"/>
      <c r="E19" s="485"/>
      <c r="F19" s="485"/>
      <c r="G19" s="485"/>
      <c r="H19" s="485"/>
      <c r="I19" s="485"/>
      <c r="J19" s="485"/>
      <c r="K19" s="485"/>
      <c r="L19" s="485"/>
      <c r="M19" s="485"/>
      <c r="N19" s="485"/>
      <c r="O19" s="485"/>
      <c r="P19" s="48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6" customWidth="1"/>
    <col min="2" max="2" width="14.140625" style="456" customWidth="1"/>
    <col min="3" max="3" width="16.42578125" style="456" customWidth="1"/>
    <col min="4" max="4" width="15" style="456" customWidth="1"/>
    <col min="5" max="5" width="13.85546875" style="456" customWidth="1"/>
    <col min="6" max="6" width="14.85546875" style="456" customWidth="1"/>
    <col min="7" max="7" width="14.7109375" style="456" customWidth="1"/>
    <col min="8" max="8" width="14.28515625" style="456"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16.140625" style="456" customWidth="1"/>
    <col min="16" max="16" width="17.5703125" style="456" customWidth="1"/>
    <col min="17" max="17" width="9.140625" style="456"/>
    <col min="18" max="18" width="20.42578125" style="456" customWidth="1"/>
    <col min="19" max="16384" width="9.140625" style="456"/>
  </cols>
  <sheetData>
    <row r="1" spans="1:16" ht="15.75" customHeight="1" thickTop="1" thickBot="1">
      <c r="A1" s="1192" t="s">
        <v>327</v>
      </c>
      <c r="B1" s="1193" t="s">
        <v>194</v>
      </c>
      <c r="C1" s="1194"/>
      <c r="D1" s="1194"/>
      <c r="E1" s="1194"/>
      <c r="F1" s="1194"/>
      <c r="G1" s="1194"/>
      <c r="H1" s="1194"/>
      <c r="I1" s="1194"/>
      <c r="J1" s="1194"/>
      <c r="K1" s="1194"/>
      <c r="L1" s="1194"/>
      <c r="M1" s="1194"/>
      <c r="N1" s="1194"/>
      <c r="O1" s="1194"/>
      <c r="P1" s="1194"/>
    </row>
    <row r="2" spans="1:16" ht="15" customHeight="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c r="B4" s="474"/>
      <c r="C4" s="506"/>
      <c r="D4" s="475"/>
      <c r="E4" s="475"/>
      <c r="F4" s="506"/>
      <c r="G4" s="475"/>
      <c r="H4" s="475"/>
      <c r="I4" s="506"/>
      <c r="J4" s="506"/>
      <c r="K4" s="506"/>
      <c r="L4" s="506"/>
      <c r="M4" s="506"/>
      <c r="N4" s="506"/>
      <c r="O4" s="506"/>
      <c r="P4" s="506"/>
    </row>
    <row r="5" spans="1:16">
      <c r="B5" s="474"/>
      <c r="C5" s="52"/>
      <c r="D5" s="474"/>
      <c r="E5" s="474"/>
      <c r="F5" s="52"/>
      <c r="G5" s="474"/>
      <c r="H5" s="474"/>
      <c r="I5" s="52"/>
      <c r="J5" s="52"/>
      <c r="K5" s="52"/>
      <c r="L5" s="52"/>
      <c r="M5" s="52"/>
      <c r="N5" s="52"/>
      <c r="O5" s="52"/>
      <c r="P5" s="52"/>
    </row>
    <row r="6" spans="1:16">
      <c r="B6" s="474"/>
      <c r="C6" s="52"/>
      <c r="D6" s="474"/>
      <c r="E6" s="474"/>
      <c r="F6" s="52"/>
      <c r="G6" s="474"/>
      <c r="H6" s="474"/>
      <c r="I6" s="52"/>
      <c r="J6" s="52"/>
      <c r="K6" s="52"/>
      <c r="L6" s="52"/>
      <c r="M6" s="52"/>
      <c r="N6" s="52"/>
      <c r="O6" s="52"/>
      <c r="P6" s="52"/>
    </row>
    <row r="7" spans="1:16">
      <c r="B7" s="474"/>
      <c r="C7" s="52"/>
      <c r="D7" s="474"/>
      <c r="E7" s="474"/>
      <c r="F7" s="52"/>
      <c r="G7" s="474"/>
      <c r="H7" s="474"/>
      <c r="I7" s="52"/>
      <c r="J7" s="52"/>
      <c r="K7" s="52"/>
      <c r="L7" s="52"/>
      <c r="M7" s="52"/>
      <c r="N7" s="52"/>
      <c r="O7" s="52"/>
      <c r="P7" s="52"/>
    </row>
    <row r="8" spans="1:16">
      <c r="A8" s="470"/>
      <c r="B8" s="474"/>
      <c r="C8" s="52"/>
      <c r="D8" s="474"/>
      <c r="E8" s="474"/>
      <c r="F8" s="52"/>
      <c r="G8" s="474"/>
      <c r="H8" s="474"/>
      <c r="I8" s="52"/>
      <c r="J8" s="52"/>
      <c r="K8" s="52"/>
      <c r="L8" s="52"/>
      <c r="M8" s="52"/>
      <c r="N8" s="52"/>
      <c r="O8" s="52"/>
      <c r="P8" s="52"/>
    </row>
    <row r="9" spans="1:16">
      <c r="B9" s="474"/>
      <c r="C9" s="52"/>
      <c r="D9" s="474"/>
      <c r="E9" s="474"/>
      <c r="F9" s="52"/>
      <c r="G9" s="474"/>
      <c r="H9" s="474"/>
      <c r="I9" s="52"/>
      <c r="J9" s="52"/>
      <c r="K9" s="52"/>
      <c r="L9" s="52"/>
      <c r="M9" s="52"/>
      <c r="N9" s="52"/>
      <c r="O9" s="52"/>
      <c r="P9" s="52"/>
    </row>
    <row r="10" spans="1:16">
      <c r="B10" s="474"/>
      <c r="C10" s="52"/>
      <c r="D10" s="474"/>
      <c r="E10" s="474"/>
      <c r="F10" s="52"/>
      <c r="G10" s="474"/>
      <c r="H10" s="474"/>
      <c r="I10" s="52"/>
      <c r="J10" s="52"/>
      <c r="K10" s="52"/>
      <c r="L10" s="52"/>
      <c r="M10" s="52"/>
      <c r="N10" s="52"/>
      <c r="O10" s="52"/>
      <c r="P10" s="52"/>
    </row>
    <row r="11" spans="1:16">
      <c r="B11" s="474"/>
      <c r="C11" s="52"/>
      <c r="D11" s="474"/>
      <c r="E11" s="474"/>
      <c r="F11" s="52"/>
      <c r="G11" s="474"/>
      <c r="H11" s="474"/>
      <c r="I11" s="52"/>
      <c r="J11" s="52"/>
      <c r="K11" s="52"/>
      <c r="L11" s="52"/>
      <c r="M11" s="52"/>
      <c r="N11" s="52"/>
      <c r="O11" s="52"/>
      <c r="P11" s="52"/>
    </row>
    <row r="12" spans="1:16">
      <c r="B12" s="474"/>
      <c r="C12" s="52"/>
      <c r="D12" s="474"/>
      <c r="E12" s="474"/>
      <c r="F12" s="52"/>
      <c r="G12" s="474"/>
      <c r="H12" s="474"/>
      <c r="I12" s="52"/>
      <c r="J12" s="52"/>
      <c r="K12" s="52"/>
      <c r="L12" s="52"/>
      <c r="M12" s="52"/>
      <c r="N12" s="52"/>
      <c r="O12" s="52"/>
      <c r="P12" s="52"/>
    </row>
    <row r="13" spans="1:16">
      <c r="B13" s="474"/>
      <c r="C13" s="52"/>
      <c r="D13" s="474"/>
      <c r="E13" s="474"/>
      <c r="F13" s="52"/>
      <c r="G13" s="474"/>
      <c r="H13" s="474"/>
      <c r="I13" s="52"/>
      <c r="J13" s="52"/>
      <c r="K13" s="52"/>
      <c r="L13" s="52"/>
      <c r="M13" s="52"/>
      <c r="N13" s="52"/>
      <c r="O13" s="52"/>
      <c r="P13" s="52"/>
    </row>
    <row r="14" spans="1:16">
      <c r="B14" s="474"/>
      <c r="C14" s="52"/>
      <c r="D14" s="474"/>
      <c r="E14" s="474"/>
      <c r="F14" s="52"/>
      <c r="G14" s="474"/>
      <c r="H14" s="474"/>
      <c r="I14" s="52"/>
      <c r="J14" s="52"/>
      <c r="K14" s="52"/>
      <c r="L14" s="52"/>
      <c r="M14" s="52"/>
      <c r="N14" s="52"/>
      <c r="O14" s="52"/>
      <c r="P14" s="52"/>
    </row>
    <row r="15" spans="1:16">
      <c r="B15" s="474"/>
      <c r="C15" s="52"/>
      <c r="D15" s="474"/>
      <c r="E15" s="474"/>
      <c r="F15" s="52"/>
      <c r="G15" s="474"/>
      <c r="H15" s="474"/>
      <c r="I15" s="52"/>
      <c r="J15" s="52"/>
      <c r="K15" s="52"/>
      <c r="L15" s="52"/>
      <c r="M15" s="52"/>
      <c r="N15" s="52"/>
      <c r="O15" s="52"/>
      <c r="P15" s="52"/>
    </row>
    <row r="16" spans="1:16">
      <c r="B16" s="474"/>
      <c r="C16" s="52"/>
      <c r="D16" s="474"/>
      <c r="E16" s="474"/>
      <c r="F16" s="52"/>
      <c r="G16" s="474"/>
      <c r="H16" s="474"/>
      <c r="I16" s="52"/>
      <c r="J16" s="52"/>
      <c r="K16" s="52"/>
      <c r="L16" s="52"/>
      <c r="M16" s="52"/>
      <c r="N16" s="52"/>
      <c r="O16" s="52"/>
      <c r="P16" s="52"/>
    </row>
    <row r="17" spans="1:16">
      <c r="B17" s="474"/>
      <c r="C17" s="52"/>
      <c r="D17" s="474"/>
      <c r="E17" s="474"/>
      <c r="F17" s="52"/>
      <c r="G17" s="474"/>
      <c r="H17" s="474"/>
      <c r="I17" s="52"/>
      <c r="J17" s="52"/>
      <c r="K17" s="52"/>
      <c r="L17" s="52"/>
      <c r="M17" s="52"/>
      <c r="N17" s="52"/>
      <c r="O17" s="52"/>
      <c r="P17" s="52"/>
    </row>
    <row r="18" spans="1:16">
      <c r="B18" s="474"/>
      <c r="C18" s="52"/>
      <c r="D18" s="474"/>
      <c r="E18" s="474"/>
      <c r="F18" s="52"/>
      <c r="G18" s="474"/>
      <c r="H18" s="474"/>
      <c r="I18" s="52"/>
      <c r="J18" s="52"/>
      <c r="K18" s="52"/>
      <c r="L18" s="52"/>
      <c r="M18" s="52"/>
      <c r="N18" s="52"/>
      <c r="O18" s="52"/>
      <c r="P18" s="52"/>
    </row>
    <row r="19" spans="1:16">
      <c r="B19" s="474"/>
      <c r="C19" s="52"/>
      <c r="D19" s="474"/>
      <c r="E19" s="474"/>
      <c r="F19" s="52"/>
      <c r="G19" s="474"/>
      <c r="H19" s="474"/>
      <c r="I19" s="52"/>
      <c r="J19" s="52"/>
      <c r="K19" s="52"/>
      <c r="L19" s="52"/>
      <c r="M19" s="52"/>
      <c r="N19" s="52"/>
      <c r="O19" s="52"/>
      <c r="P19" s="52"/>
    </row>
    <row r="20" spans="1:16">
      <c r="B20" s="474"/>
      <c r="C20" s="52"/>
      <c r="D20" s="474"/>
      <c r="E20" s="474"/>
      <c r="F20" s="52"/>
      <c r="G20" s="474"/>
      <c r="H20" s="474"/>
      <c r="I20" s="52"/>
      <c r="J20" s="52"/>
      <c r="K20" s="52"/>
      <c r="L20" s="52"/>
      <c r="M20" s="52"/>
      <c r="N20" s="52"/>
      <c r="O20" s="52"/>
      <c r="P20" s="52"/>
    </row>
    <row r="21" spans="1:16">
      <c r="B21" s="474"/>
      <c r="C21" s="52"/>
      <c r="D21" s="474"/>
      <c r="E21" s="474"/>
      <c r="F21" s="52"/>
      <c r="G21" s="474"/>
      <c r="H21" s="474"/>
      <c r="I21" s="52"/>
      <c r="J21" s="52"/>
      <c r="K21" s="52"/>
      <c r="L21" s="52"/>
      <c r="M21" s="52"/>
      <c r="N21" s="52"/>
      <c r="O21" s="52"/>
      <c r="P21" s="52"/>
    </row>
    <row r="22" spans="1:16">
      <c r="B22" s="474"/>
      <c r="C22" s="52"/>
      <c r="D22" s="474"/>
      <c r="E22" s="474"/>
      <c r="F22" s="52"/>
      <c r="G22" s="474"/>
      <c r="H22" s="474"/>
      <c r="I22" s="52"/>
      <c r="J22" s="52"/>
      <c r="K22" s="52"/>
      <c r="L22" s="52"/>
      <c r="M22" s="52"/>
      <c r="N22" s="52"/>
      <c r="O22" s="52"/>
      <c r="P22" s="52"/>
    </row>
    <row r="23" spans="1:16" ht="15.75" thickBot="1">
      <c r="B23" s="474"/>
      <c r="C23" s="52"/>
      <c r="D23" s="474"/>
      <c r="E23" s="474"/>
      <c r="F23" s="52"/>
      <c r="G23" s="474"/>
      <c r="H23" s="474"/>
      <c r="I23" s="52"/>
      <c r="J23" s="52"/>
      <c r="K23" s="52"/>
      <c r="L23" s="52"/>
      <c r="M23" s="52"/>
      <c r="N23" s="52"/>
      <c r="O23" s="52"/>
      <c r="P23" s="52"/>
    </row>
    <row r="24" spans="1:16" ht="15.75" thickBot="1">
      <c r="A24" s="477" t="s">
        <v>588</v>
      </c>
    </row>
    <row r="26" spans="1:16" s="470" customFormat="1">
      <c r="A26" s="479" t="s">
        <v>537</v>
      </c>
      <c r="B26" s="479">
        <f t="shared" ref="B26:H26" si="0">SUM(B4:B23)</f>
        <v>0</v>
      </c>
      <c r="C26" s="479"/>
      <c r="D26" s="479">
        <f t="shared" si="0"/>
        <v>0</v>
      </c>
      <c r="E26" s="479">
        <f t="shared" si="0"/>
        <v>0</v>
      </c>
      <c r="F26" s="479"/>
      <c r="G26" s="479">
        <f t="shared" si="0"/>
        <v>0</v>
      </c>
      <c r="H26" s="479">
        <f t="shared" si="0"/>
        <v>0</v>
      </c>
      <c r="I26" s="479"/>
      <c r="J26" s="479"/>
      <c r="K26" s="479"/>
      <c r="L26" s="479"/>
      <c r="M26" s="479"/>
      <c r="N26" s="479"/>
      <c r="O26" s="479"/>
      <c r="P26" s="479"/>
    </row>
    <row r="27" spans="1:16" s="470" customFormat="1">
      <c r="A27" s="479" t="s">
        <v>606</v>
      </c>
      <c r="B27" s="479">
        <f>B26</f>
        <v>0</v>
      </c>
      <c r="C27" s="479"/>
      <c r="D27" s="479">
        <f>D26</f>
        <v>0</v>
      </c>
      <c r="E27" s="479">
        <f>E26</f>
        <v>0</v>
      </c>
      <c r="F27" s="479"/>
      <c r="G27" s="479">
        <f>(1-transport!C35)*'Eigen vloot'!G26</f>
        <v>0</v>
      </c>
      <c r="H27" s="479">
        <f>(1-transport!C42)*'Eigen vloot'!H26</f>
        <v>0</v>
      </c>
      <c r="I27" s="479"/>
      <c r="J27" s="479"/>
      <c r="K27" s="479"/>
      <c r="L27" s="479"/>
      <c r="M27" s="683">
        <f>G26*transport!C35+'Eigen vloot'!H26*transport!C42</f>
        <v>0</v>
      </c>
      <c r="N27" s="479"/>
      <c r="O27" s="479"/>
      <c r="P27" s="479"/>
    </row>
    <row r="29" spans="1:16">
      <c r="A29" s="484" t="s">
        <v>615</v>
      </c>
      <c r="B29" s="509">
        <f ca="1">'EF ele_warmte'!B12</f>
        <v>0.20516911332571913</v>
      </c>
      <c r="C29" s="509">
        <f ca="1">'EF ele_warmte'!B22</f>
        <v>0.23764705882352943</v>
      </c>
      <c r="D29" s="509">
        <f>EF_CO2_aardgas</f>
        <v>0.20200000000000001</v>
      </c>
      <c r="E29" s="509">
        <f>EF_VLgas_CO2</f>
        <v>0.22700000000000001</v>
      </c>
      <c r="F29" s="509">
        <f>EF_stookolie_CO2</f>
        <v>0.26700000000000002</v>
      </c>
      <c r="G29" s="509">
        <f>EF_diesel_CO2</f>
        <v>0.26700000000000002</v>
      </c>
      <c r="H29" s="509">
        <f>EF_benzine_CO2</f>
        <v>0.249</v>
      </c>
      <c r="I29" s="509">
        <f>EF_bruinkool_CO2</f>
        <v>0.35099999999999998</v>
      </c>
      <c r="J29" s="509">
        <f>EF_steenkool_CO2</f>
        <v>0.35399999999999998</v>
      </c>
      <c r="K29" s="509">
        <f>EF_anderfossiel_CO2</f>
        <v>0.26400000000000001</v>
      </c>
      <c r="L29" s="509">
        <f>'EF brandstof'!J4</f>
        <v>0</v>
      </c>
      <c r="M29" s="509">
        <f>'EF brandstof'!K4</f>
        <v>0</v>
      </c>
      <c r="N29" s="509">
        <f>'EF brandstof'!L4</f>
        <v>0</v>
      </c>
      <c r="O29" s="509">
        <v>0</v>
      </c>
      <c r="P29" s="509">
        <v>0</v>
      </c>
    </row>
    <row r="31" spans="1:16">
      <c r="A31" s="479" t="s">
        <v>212</v>
      </c>
      <c r="B31" s="684">
        <f ca="1">B27*B29</f>
        <v>0</v>
      </c>
      <c r="C31" s="684"/>
      <c r="D31" s="684">
        <f>D27*D29</f>
        <v>0</v>
      </c>
      <c r="E31" s="684">
        <f>E27*E29</f>
        <v>0</v>
      </c>
      <c r="F31" s="684"/>
      <c r="G31" s="684">
        <f>G27*G29</f>
        <v>0</v>
      </c>
      <c r="H31" s="684">
        <f>H27*H29</f>
        <v>0</v>
      </c>
      <c r="I31" s="684"/>
      <c r="J31" s="684"/>
      <c r="K31" s="684"/>
      <c r="L31" s="684"/>
      <c r="M31" s="684">
        <f>M27*M29</f>
        <v>0</v>
      </c>
      <c r="N31" s="507"/>
      <c r="O31" s="507"/>
      <c r="P31" s="50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56" bestFit="1" customWidth="1"/>
    <col min="3" max="3" width="26" customWidth="1"/>
    <col min="4" max="4" width="69.42578125" customWidth="1"/>
  </cols>
  <sheetData>
    <row r="1" spans="1:11" s="43" customFormat="1" ht="15.75" thickBot="1">
      <c r="B1" s="458"/>
    </row>
    <row r="2" spans="1:11" s="43" customFormat="1">
      <c r="A2" s="186" t="s">
        <v>534</v>
      </c>
      <c r="B2" s="510"/>
      <c r="C2" s="187"/>
      <c r="D2" s="188"/>
    </row>
    <row r="3" spans="1:11">
      <c r="A3" s="101"/>
      <c r="B3" s="511"/>
      <c r="C3" s="142" t="s">
        <v>181</v>
      </c>
      <c r="D3" s="145" t="s">
        <v>391</v>
      </c>
    </row>
    <row r="4" spans="1:11">
      <c r="A4" s="44" t="s">
        <v>449</v>
      </c>
      <c r="B4" s="47"/>
      <c r="C4" s="32"/>
      <c r="D4" s="144" t="s">
        <v>393</v>
      </c>
    </row>
    <row r="5" spans="1:11">
      <c r="A5" s="44"/>
      <c r="B5" s="48"/>
      <c r="C5" s="32"/>
      <c r="D5" s="144"/>
    </row>
    <row r="6" spans="1:11" s="10" customFormat="1" ht="21.75" thickBot="1">
      <c r="A6" s="191" t="s">
        <v>482</v>
      </c>
      <c r="B6" s="512"/>
      <c r="C6" s="192"/>
      <c r="D6" s="193"/>
    </row>
    <row r="7" spans="1:11" s="43" customFormat="1" ht="15.75" thickBot="1">
      <c r="B7" s="458"/>
    </row>
    <row r="8" spans="1:11" s="43" customFormat="1">
      <c r="A8" s="186" t="s">
        <v>547</v>
      </c>
      <c r="B8" s="510"/>
      <c r="C8" s="187"/>
      <c r="D8" s="188"/>
    </row>
    <row r="9" spans="1:11" s="32" customFormat="1">
      <c r="A9" s="46"/>
      <c r="B9" s="513"/>
      <c r="C9" s="42"/>
      <c r="D9" s="303"/>
    </row>
    <row r="10" spans="1:11">
      <c r="A10" s="304" t="s">
        <v>576</v>
      </c>
      <c r="B10" s="511"/>
      <c r="C10" s="142" t="s">
        <v>181</v>
      </c>
      <c r="D10" s="145" t="s">
        <v>391</v>
      </c>
      <c r="I10" s="1200"/>
      <c r="K10" s="58"/>
    </row>
    <row r="11" spans="1:11" s="43" customFormat="1">
      <c r="A11" s="44" t="s">
        <v>577</v>
      </c>
      <c r="B11" s="47"/>
      <c r="D11" s="143" t="s">
        <v>392</v>
      </c>
      <c r="I11" s="1200"/>
      <c r="K11" s="58"/>
    </row>
    <row r="12" spans="1:11" s="43" customFormat="1">
      <c r="A12" s="44" t="s">
        <v>578</v>
      </c>
      <c r="B12" s="47"/>
      <c r="D12" s="143" t="s">
        <v>392</v>
      </c>
      <c r="I12" s="1200"/>
      <c r="K12" s="58"/>
    </row>
    <row r="13" spans="1:11" s="43" customFormat="1">
      <c r="A13" s="44"/>
      <c r="B13" s="458"/>
      <c r="D13" s="96"/>
      <c r="I13" s="1200"/>
    </row>
    <row r="14" spans="1:11" s="43" customFormat="1">
      <c r="A14" s="304" t="s">
        <v>575</v>
      </c>
      <c r="B14" s="511"/>
      <c r="C14" s="142" t="s">
        <v>181</v>
      </c>
      <c r="D14" s="145" t="s">
        <v>391</v>
      </c>
      <c r="I14" s="1200"/>
    </row>
    <row r="15" spans="1:11" s="43" customFormat="1">
      <c r="A15" s="44" t="s">
        <v>70</v>
      </c>
      <c r="B15" s="47"/>
      <c r="D15" s="143" t="s">
        <v>392</v>
      </c>
      <c r="I15" s="1200"/>
      <c r="J15" s="1200"/>
    </row>
    <row r="16" spans="1:11" s="43" customFormat="1">
      <c r="A16" s="44" t="s">
        <v>539</v>
      </c>
      <c r="B16" s="47"/>
      <c r="D16" s="143" t="s">
        <v>392</v>
      </c>
      <c r="I16" s="1200"/>
      <c r="J16" s="1200"/>
    </row>
    <row r="17" spans="1:11" s="43" customFormat="1">
      <c r="A17" s="44" t="s">
        <v>77</v>
      </c>
      <c r="B17" s="47"/>
      <c r="D17" s="143" t="s">
        <v>392</v>
      </c>
      <c r="I17" s="1200"/>
      <c r="J17" s="1200"/>
    </row>
    <row r="18" spans="1:11" s="43" customFormat="1">
      <c r="A18" s="44" t="s">
        <v>540</v>
      </c>
      <c r="B18" s="47"/>
      <c r="D18" s="143" t="s">
        <v>392</v>
      </c>
      <c r="I18" s="1200"/>
      <c r="J18" s="1200"/>
      <c r="K18" s="58"/>
    </row>
    <row r="19" spans="1:11" s="43" customFormat="1">
      <c r="A19" s="44" t="s">
        <v>76</v>
      </c>
      <c r="B19" s="47"/>
      <c r="D19" s="143" t="s">
        <v>392</v>
      </c>
      <c r="I19" s="1200"/>
      <c r="J19" s="1201"/>
      <c r="K19" s="58"/>
    </row>
    <row r="20" spans="1:11" s="43" customFormat="1">
      <c r="A20" s="32" t="s">
        <v>541</v>
      </c>
      <c r="B20" s="47"/>
      <c r="D20" s="143" t="s">
        <v>392</v>
      </c>
      <c r="I20" s="305"/>
      <c r="J20" s="306"/>
      <c r="K20" s="58"/>
    </row>
    <row r="21" spans="1:11" s="43" customFormat="1">
      <c r="A21" s="32" t="s">
        <v>542</v>
      </c>
      <c r="B21" s="47"/>
      <c r="D21" s="143" t="s">
        <v>392</v>
      </c>
      <c r="I21" s="305"/>
      <c r="J21" s="306"/>
      <c r="K21" s="58"/>
    </row>
    <row r="22" spans="1:11" s="43" customFormat="1">
      <c r="A22" s="32" t="s">
        <v>543</v>
      </c>
      <c r="B22" s="47"/>
      <c r="D22" s="143" t="s">
        <v>392</v>
      </c>
      <c r="I22" s="305"/>
      <c r="J22" s="306"/>
      <c r="K22" s="58"/>
    </row>
    <row r="23" spans="1:11">
      <c r="A23" s="32" t="s">
        <v>544</v>
      </c>
      <c r="B23" s="47"/>
      <c r="C23" s="43"/>
      <c r="D23" s="143" t="s">
        <v>392</v>
      </c>
      <c r="I23" s="58"/>
      <c r="J23" s="58"/>
      <c r="K23" s="58"/>
    </row>
    <row r="24" spans="1:11">
      <c r="A24" s="32" t="s">
        <v>545</v>
      </c>
      <c r="B24" s="47"/>
      <c r="C24" s="43"/>
      <c r="D24" s="143" t="s">
        <v>392</v>
      </c>
      <c r="I24" s="58"/>
      <c r="J24" s="58"/>
      <c r="K24" s="58"/>
    </row>
    <row r="25" spans="1:11">
      <c r="A25" s="58"/>
      <c r="B25" s="48"/>
      <c r="C25" s="43"/>
      <c r="D25" s="143"/>
      <c r="I25" s="58"/>
      <c r="J25" s="58"/>
      <c r="K25" s="58"/>
    </row>
    <row r="26" spans="1:11" ht="21.75" thickBot="1">
      <c r="A26" s="191" t="s">
        <v>586</v>
      </c>
      <c r="B26" s="514"/>
      <c r="C26" s="108"/>
      <c r="D26" s="109"/>
      <c r="I26" s="58"/>
      <c r="J26" s="58"/>
      <c r="K26" s="58"/>
    </row>
    <row r="28" spans="1:11" ht="15.75" thickBot="1"/>
    <row r="29" spans="1:11" s="43" customFormat="1">
      <c r="A29" s="186" t="s">
        <v>535</v>
      </c>
      <c r="B29" s="510"/>
      <c r="C29" s="187"/>
      <c r="D29" s="188"/>
    </row>
    <row r="30" spans="1:11" s="32" customFormat="1">
      <c r="A30" s="46"/>
      <c r="B30" s="513"/>
      <c r="C30" s="42"/>
      <c r="D30" s="303"/>
    </row>
    <row r="31" spans="1:11">
      <c r="A31" s="304" t="s">
        <v>576</v>
      </c>
      <c r="B31" s="511"/>
      <c r="C31" s="142" t="s">
        <v>181</v>
      </c>
      <c r="D31" s="145" t="s">
        <v>391</v>
      </c>
    </row>
    <row r="32" spans="1:11">
      <c r="A32" s="448" t="s">
        <v>577</v>
      </c>
      <c r="B32" s="47"/>
      <c r="C32" s="48"/>
      <c r="D32" s="143" t="s">
        <v>392</v>
      </c>
    </row>
    <row r="33" spans="1:11">
      <c r="A33" s="44"/>
      <c r="B33" s="48"/>
      <c r="C33" s="48"/>
      <c r="D33" s="143"/>
    </row>
    <row r="34" spans="1:11" s="43" customFormat="1">
      <c r="A34" s="304" t="s">
        <v>575</v>
      </c>
      <c r="B34" s="511"/>
      <c r="C34" s="142" t="s">
        <v>181</v>
      </c>
      <c r="D34" s="145" t="s">
        <v>391</v>
      </c>
      <c r="I34"/>
    </row>
    <row r="35" spans="1:11" s="43" customFormat="1">
      <c r="A35" s="447" t="s">
        <v>70</v>
      </c>
      <c r="B35" s="47"/>
      <c r="D35" s="143" t="s">
        <v>392</v>
      </c>
      <c r="I35" s="1200"/>
      <c r="J35" s="1200"/>
    </row>
    <row r="36" spans="1:11" s="43" customFormat="1">
      <c r="A36" s="447" t="s">
        <v>539</v>
      </c>
      <c r="B36" s="47"/>
      <c r="D36" s="143" t="s">
        <v>392</v>
      </c>
      <c r="I36" s="1200"/>
      <c r="J36" s="1200"/>
    </row>
    <row r="37" spans="1:11" s="43" customFormat="1">
      <c r="A37" s="447" t="s">
        <v>77</v>
      </c>
      <c r="B37" s="47"/>
      <c r="D37" s="143" t="s">
        <v>392</v>
      </c>
      <c r="I37" s="1200"/>
      <c r="J37" s="1200"/>
    </row>
    <row r="38" spans="1:11" s="43" customFormat="1">
      <c r="A38" s="447" t="s">
        <v>540</v>
      </c>
      <c r="B38" s="47"/>
      <c r="D38" s="143" t="s">
        <v>392</v>
      </c>
      <c r="I38" s="1200"/>
      <c r="J38" s="1200"/>
      <c r="K38" s="58"/>
    </row>
    <row r="39" spans="1:11" s="43" customFormat="1">
      <c r="A39" s="447" t="s">
        <v>76</v>
      </c>
      <c r="B39" s="47"/>
      <c r="D39" s="143" t="s">
        <v>392</v>
      </c>
      <c r="I39" s="1200"/>
      <c r="J39" s="1201"/>
      <c r="K39" s="58"/>
    </row>
    <row r="40" spans="1:11" s="43" customFormat="1">
      <c r="A40" s="183" t="s">
        <v>541</v>
      </c>
      <c r="B40" s="48"/>
      <c r="D40" s="143" t="s">
        <v>392</v>
      </c>
      <c r="I40" s="305"/>
      <c r="J40" s="306"/>
      <c r="K40" s="58"/>
    </row>
    <row r="41" spans="1:11" s="43" customFormat="1">
      <c r="A41" s="183" t="s">
        <v>542</v>
      </c>
      <c r="B41" s="47"/>
      <c r="D41" s="143" t="s">
        <v>392</v>
      </c>
      <c r="I41" s="305"/>
      <c r="J41" s="306"/>
      <c r="K41" s="58"/>
    </row>
    <row r="42" spans="1:11" s="43" customFormat="1">
      <c r="A42" s="183" t="s">
        <v>543</v>
      </c>
      <c r="B42" s="47"/>
      <c r="D42" s="143" t="s">
        <v>392</v>
      </c>
      <c r="I42" s="305"/>
      <c r="J42" s="306"/>
      <c r="K42" s="58"/>
    </row>
    <row r="43" spans="1:11">
      <c r="A43" s="183" t="s">
        <v>544</v>
      </c>
      <c r="B43" s="47"/>
      <c r="C43" s="43"/>
      <c r="D43" s="143" t="s">
        <v>392</v>
      </c>
      <c r="I43" s="58"/>
      <c r="J43" s="58"/>
      <c r="K43" s="58"/>
    </row>
    <row r="44" spans="1:11">
      <c r="A44" s="183" t="s">
        <v>545</v>
      </c>
      <c r="B44" s="47"/>
      <c r="C44" s="43"/>
      <c r="D44" s="143" t="s">
        <v>392</v>
      </c>
      <c r="I44" s="58"/>
      <c r="J44" s="58"/>
      <c r="K44" s="58"/>
    </row>
    <row r="45" spans="1:11" s="15" customFormat="1" ht="21.75" thickBot="1">
      <c r="A45" s="191"/>
      <c r="B45" s="189"/>
      <c r="C45" s="155"/>
      <c r="D45" s="307"/>
      <c r="I45" s="58"/>
      <c r="J45" s="58"/>
      <c r="K45" s="58"/>
    </row>
    <row r="46" spans="1:11" s="15" customFormat="1">
      <c r="A46" s="58"/>
      <c r="B46" s="48"/>
      <c r="C46" s="32"/>
      <c r="D46" s="32"/>
      <c r="I46" s="58"/>
      <c r="J46" s="58"/>
      <c r="K46" s="58"/>
    </row>
    <row r="47" spans="1:11" ht="15.75" thickBot="1"/>
    <row r="48" spans="1:11" s="43" customFormat="1">
      <c r="A48" s="186" t="s">
        <v>390</v>
      </c>
      <c r="B48" s="510"/>
      <c r="C48" s="187"/>
      <c r="D48" s="188"/>
    </row>
    <row r="49" spans="1:4">
      <c r="A49" s="101"/>
      <c r="B49" s="511"/>
      <c r="C49" s="142" t="s">
        <v>181</v>
      </c>
      <c r="D49" s="145" t="s">
        <v>391</v>
      </c>
    </row>
    <row r="50" spans="1:4">
      <c r="A50" s="44" t="s">
        <v>579</v>
      </c>
      <c r="B50" s="47"/>
      <c r="C50" s="32"/>
      <c r="D50" s="144" t="s">
        <v>393</v>
      </c>
    </row>
    <row r="51" spans="1:4">
      <c r="A51" s="44" t="s">
        <v>580</v>
      </c>
      <c r="B51" s="47"/>
      <c r="C51" s="32"/>
      <c r="D51" s="144" t="s">
        <v>393</v>
      </c>
    </row>
    <row r="52" spans="1:4" ht="15.75" thickBot="1">
      <c r="A52" s="45"/>
      <c r="B52" s="189"/>
      <c r="C52" s="155"/>
      <c r="D52" s="194"/>
    </row>
    <row r="54" spans="1:4" ht="15.75" thickBot="1"/>
    <row r="55" spans="1:4" s="43" customFormat="1">
      <c r="A55" s="186" t="s">
        <v>536</v>
      </c>
      <c r="B55" s="510"/>
      <c r="C55" s="187"/>
      <c r="D55" s="188"/>
    </row>
    <row r="56" spans="1:4">
      <c r="A56" s="101"/>
      <c r="B56" s="511"/>
      <c r="C56" s="142" t="s">
        <v>181</v>
      </c>
      <c r="D56" s="145" t="s">
        <v>391</v>
      </c>
    </row>
    <row r="57" spans="1:4">
      <c r="A57" s="44" t="s">
        <v>581</v>
      </c>
      <c r="B57" s="47"/>
      <c r="C57" s="32"/>
      <c r="D57" s="143" t="s">
        <v>154</v>
      </c>
    </row>
    <row r="58" spans="1:4">
      <c r="A58" s="44" t="s">
        <v>582</v>
      </c>
      <c r="B58" s="47"/>
      <c r="C58" s="32"/>
      <c r="D58" s="143" t="s">
        <v>155</v>
      </c>
    </row>
    <row r="59" spans="1:4">
      <c r="A59" s="44" t="s">
        <v>583</v>
      </c>
      <c r="B59" s="47"/>
      <c r="C59" s="48"/>
      <c r="D59" s="143" t="s">
        <v>389</v>
      </c>
    </row>
    <row r="60" spans="1:4">
      <c r="A60" s="44" t="s">
        <v>584</v>
      </c>
      <c r="B60" s="47"/>
      <c r="C60" s="48"/>
      <c r="D60" s="143" t="s">
        <v>111</v>
      </c>
    </row>
    <row r="61" spans="1:4">
      <c r="A61" s="44"/>
      <c r="B61" s="48"/>
      <c r="C61" s="48"/>
      <c r="D61" s="143"/>
    </row>
    <row r="62" spans="1:4" ht="21.75" thickBot="1">
      <c r="A62" s="191" t="s">
        <v>538</v>
      </c>
      <c r="B62" s="189"/>
      <c r="C62" s="189"/>
      <c r="D62" s="190"/>
    </row>
    <row r="63" spans="1:4" s="43" customFormat="1">
      <c r="B63" s="45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601</v>
      </c>
      <c r="B1" s="646"/>
      <c r="C1" s="646"/>
      <c r="D1" s="646"/>
      <c r="E1" s="647"/>
    </row>
    <row r="2" spans="1:5">
      <c r="A2" s="658" t="s">
        <v>394</v>
      </c>
      <c r="B2" s="663" t="s">
        <v>526</v>
      </c>
      <c r="C2" s="659"/>
      <c r="D2" s="659"/>
      <c r="E2" s="660"/>
    </row>
    <row r="3" spans="1:5">
      <c r="A3" s="661"/>
      <c r="B3" s="662"/>
      <c r="C3" s="650"/>
      <c r="D3" s="650"/>
      <c r="E3" s="651"/>
    </row>
    <row r="4" spans="1:5" s="332" customFormat="1" ht="45">
      <c r="A4" s="649" t="s">
        <v>605</v>
      </c>
      <c r="B4" s="657" t="s">
        <v>594</v>
      </c>
      <c r="C4" s="678" t="s">
        <v>616</v>
      </c>
      <c r="D4" s="679" t="s">
        <v>617</v>
      </c>
      <c r="E4" s="680" t="s">
        <v>618</v>
      </c>
    </row>
    <row r="5" spans="1:5">
      <c r="A5" s="652" t="s">
        <v>595</v>
      </c>
      <c r="B5" s="644" t="s">
        <v>596</v>
      </c>
      <c r="C5" s="675">
        <v>3.678273E-2</v>
      </c>
      <c r="D5" s="676">
        <v>0.27778000000000003</v>
      </c>
      <c r="E5" s="668">
        <f>C5*D5</f>
        <v>1.0217506739400001E-2</v>
      </c>
    </row>
    <row r="6" spans="1:5">
      <c r="A6" s="652" t="s">
        <v>595</v>
      </c>
      <c r="B6" s="644" t="s">
        <v>597</v>
      </c>
      <c r="C6" s="675">
        <v>4.2278999999999997E-2</v>
      </c>
      <c r="D6" s="676">
        <v>0.27778000000000003</v>
      </c>
      <c r="E6" s="668">
        <f t="shared" ref="E6:E21" si="0">C6*D6</f>
        <v>1.174426062E-2</v>
      </c>
    </row>
    <row r="7" spans="1:5">
      <c r="A7" s="652" t="s">
        <v>595</v>
      </c>
      <c r="B7" s="644" t="s">
        <v>598</v>
      </c>
      <c r="C7" s="675">
        <v>42.279000000000003</v>
      </c>
      <c r="D7" s="676">
        <v>0.27778000000000003</v>
      </c>
      <c r="E7" s="668">
        <f t="shared" si="0"/>
        <v>11.744260620000002</v>
      </c>
    </row>
    <row r="8" spans="1:5">
      <c r="A8" s="652" t="s">
        <v>599</v>
      </c>
      <c r="B8" s="644" t="s">
        <v>596</v>
      </c>
      <c r="C8" s="675">
        <v>3.8573799999999998E-2</v>
      </c>
      <c r="D8" s="676">
        <v>0.27778000000000003</v>
      </c>
      <c r="E8" s="668">
        <f t="shared" si="0"/>
        <v>1.0715030164E-2</v>
      </c>
    </row>
    <row r="9" spans="1:5">
      <c r="A9" s="652" t="s">
        <v>599</v>
      </c>
      <c r="B9" s="644" t="s">
        <v>597</v>
      </c>
      <c r="C9" s="675">
        <v>4.0604000000000001E-2</v>
      </c>
      <c r="D9" s="676">
        <v>0.27778000000000003</v>
      </c>
      <c r="E9" s="668">
        <f t="shared" si="0"/>
        <v>1.1278979120000001E-2</v>
      </c>
    </row>
    <row r="10" spans="1:5">
      <c r="A10" s="652" t="s">
        <v>599</v>
      </c>
      <c r="B10" s="644" t="s">
        <v>598</v>
      </c>
      <c r="C10" s="675">
        <v>40.603999999999999</v>
      </c>
      <c r="D10" s="676">
        <v>0.27778000000000003</v>
      </c>
      <c r="E10" s="668">
        <f t="shared" si="0"/>
        <v>11.278979120000001</v>
      </c>
    </row>
    <row r="11" spans="1:5">
      <c r="A11" s="652" t="s">
        <v>619</v>
      </c>
      <c r="B11" s="644" t="s">
        <v>596</v>
      </c>
      <c r="C11" s="675">
        <v>2.3511000000000001E-2</v>
      </c>
      <c r="D11" s="676">
        <v>0.27778000000000003</v>
      </c>
      <c r="E11" s="668">
        <f t="shared" si="0"/>
        <v>6.5308855800000004E-3</v>
      </c>
    </row>
    <row r="12" spans="1:5">
      <c r="A12" s="652" t="s">
        <v>619</v>
      </c>
      <c r="B12" s="644" t="s">
        <v>597</v>
      </c>
      <c r="C12" s="675">
        <v>4.6100000000000002E-2</v>
      </c>
      <c r="D12" s="676">
        <v>0.27778000000000003</v>
      </c>
      <c r="E12" s="668">
        <f t="shared" si="0"/>
        <v>1.2805658000000001E-2</v>
      </c>
    </row>
    <row r="13" spans="1:5">
      <c r="A13" s="652" t="s">
        <v>619</v>
      </c>
      <c r="B13" s="644" t="s">
        <v>598</v>
      </c>
      <c r="C13" s="675">
        <v>46.1</v>
      </c>
      <c r="D13" s="676">
        <v>0.27778000000000003</v>
      </c>
      <c r="E13" s="668">
        <f t="shared" si="0"/>
        <v>12.805658000000001</v>
      </c>
    </row>
    <row r="14" spans="1:5">
      <c r="A14" s="652" t="s">
        <v>620</v>
      </c>
      <c r="B14" s="644" t="s">
        <v>596</v>
      </c>
      <c r="C14" s="675">
        <v>2.6525139999999999E-2</v>
      </c>
      <c r="D14" s="676">
        <v>0.27778000000000003</v>
      </c>
      <c r="E14" s="668">
        <f t="shared" si="0"/>
        <v>7.3681533892000009E-3</v>
      </c>
    </row>
    <row r="15" spans="1:5">
      <c r="A15" s="652" t="s">
        <v>620</v>
      </c>
      <c r="B15" s="644" t="s">
        <v>597</v>
      </c>
      <c r="C15" s="675">
        <v>4.5733000000000003E-2</v>
      </c>
      <c r="D15" s="676">
        <v>0.27778000000000003</v>
      </c>
      <c r="E15" s="668">
        <f t="shared" si="0"/>
        <v>1.2703712740000001E-2</v>
      </c>
    </row>
    <row r="16" spans="1:5">
      <c r="A16" s="652" t="s">
        <v>620</v>
      </c>
      <c r="B16" s="644" t="s">
        <v>598</v>
      </c>
      <c r="C16" s="675">
        <v>45.732999999999997</v>
      </c>
      <c r="D16" s="676">
        <v>0.27778000000000003</v>
      </c>
      <c r="E16" s="668">
        <f t="shared" si="0"/>
        <v>12.70371274</v>
      </c>
    </row>
    <row r="17" spans="1:10">
      <c r="A17" s="652" t="s">
        <v>603</v>
      </c>
      <c r="B17" s="644" t="s">
        <v>600</v>
      </c>
      <c r="C17" s="675">
        <v>3.2923000000000001E-2</v>
      </c>
      <c r="D17" s="676">
        <f>0.27778</f>
        <v>0.27778000000000003</v>
      </c>
      <c r="E17" s="668">
        <f t="shared" si="0"/>
        <v>9.1453509400000015E-3</v>
      </c>
    </row>
    <row r="18" spans="1:10">
      <c r="A18" s="652" t="s">
        <v>604</v>
      </c>
      <c r="B18" s="644" t="s">
        <v>600</v>
      </c>
      <c r="C18" s="675">
        <v>3.8852400000000002E-2</v>
      </c>
      <c r="D18" s="676">
        <f>0.27778</f>
        <v>0.27778000000000003</v>
      </c>
      <c r="E18" s="668">
        <f t="shared" si="0"/>
        <v>1.0792419672000002E-2</v>
      </c>
    </row>
    <row r="19" spans="1:10">
      <c r="A19" s="652" t="s">
        <v>607</v>
      </c>
      <c r="B19" s="644" t="s">
        <v>596</v>
      </c>
      <c r="C19" s="675">
        <v>2.4812460000000001E-2</v>
      </c>
      <c r="D19" s="676">
        <v>0.27778000000000003</v>
      </c>
      <c r="E19" s="668">
        <f t="shared" si="0"/>
        <v>6.8924051388000009E-3</v>
      </c>
    </row>
    <row r="20" spans="1:10">
      <c r="A20" s="652" t="s">
        <v>607</v>
      </c>
      <c r="B20" s="644" t="s">
        <v>597</v>
      </c>
      <c r="C20" s="675">
        <v>4.5948999999999997E-2</v>
      </c>
      <c r="D20" s="676">
        <v>0.27778000000000003</v>
      </c>
      <c r="E20" s="668">
        <f t="shared" si="0"/>
        <v>1.276371322E-2</v>
      </c>
    </row>
    <row r="21" spans="1:10">
      <c r="A21" s="652" t="s">
        <v>607</v>
      </c>
      <c r="B21" s="644" t="s">
        <v>598</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602</v>
      </c>
      <c r="B24" s="646"/>
      <c r="C24" s="646"/>
      <c r="D24" s="646"/>
      <c r="E24" s="647"/>
    </row>
    <row r="25" spans="1:10">
      <c r="A25" s="672" t="s">
        <v>394</v>
      </c>
      <c r="B25" s="1066" t="s">
        <v>896</v>
      </c>
      <c r="C25" s="650"/>
      <c r="D25" s="650"/>
      <c r="E25" s="651"/>
    </row>
    <row r="26" spans="1:10">
      <c r="A26" s="44"/>
      <c r="B26" s="43"/>
      <c r="C26" s="43"/>
      <c r="D26" s="43"/>
      <c r="E26" s="96"/>
    </row>
    <row r="27" spans="1:10" s="332" customFormat="1">
      <c r="A27" s="649" t="s">
        <v>605</v>
      </c>
      <c r="B27" s="657" t="s">
        <v>594</v>
      </c>
      <c r="C27" s="665"/>
      <c r="D27" s="664"/>
      <c r="E27" s="680" t="s">
        <v>609</v>
      </c>
    </row>
    <row r="28" spans="1:10">
      <c r="A28" s="652" t="s">
        <v>201</v>
      </c>
      <c r="B28" s="644" t="s">
        <v>596</v>
      </c>
      <c r="C28" s="666"/>
      <c r="D28" s="667"/>
      <c r="E28" s="674">
        <f>E29*0.84</f>
        <v>9.962166666666666E-3</v>
      </c>
      <c r="G28" s="648"/>
      <c r="H28" s="788"/>
      <c r="I28" s="788"/>
      <c r="J28" s="788"/>
    </row>
    <row r="29" spans="1:10">
      <c r="A29" s="652" t="s">
        <v>201</v>
      </c>
      <c r="B29" s="644" t="s">
        <v>597</v>
      </c>
      <c r="C29" s="666"/>
      <c r="D29" s="667"/>
      <c r="E29" s="674">
        <f>0.042695/3.6</f>
        <v>1.1859722222222221E-2</v>
      </c>
      <c r="F29" s="904"/>
      <c r="G29" s="648"/>
      <c r="H29" s="788"/>
      <c r="I29" s="788"/>
      <c r="J29" s="788"/>
    </row>
    <row r="30" spans="1:10">
      <c r="A30" s="652" t="s">
        <v>119</v>
      </c>
      <c r="B30" s="644" t="s">
        <v>596</v>
      </c>
      <c r="C30" s="666"/>
      <c r="D30" s="667"/>
      <c r="E30" s="674">
        <f>E31*0.75</f>
        <v>9.1195833333333337E-3</v>
      </c>
      <c r="H30" s="788"/>
      <c r="I30" s="788"/>
      <c r="J30" s="788"/>
    </row>
    <row r="31" spans="1:10">
      <c r="A31" s="652" t="s">
        <v>119</v>
      </c>
      <c r="B31" s="644" t="s">
        <v>597</v>
      </c>
      <c r="C31" s="666"/>
      <c r="D31" s="667"/>
      <c r="E31" s="674">
        <f>0.043774/3.6</f>
        <v>1.2159444444444445E-2</v>
      </c>
      <c r="H31" s="788"/>
      <c r="I31" s="788"/>
      <c r="J31" s="788"/>
    </row>
    <row r="32" spans="1:10">
      <c r="A32" s="652" t="s">
        <v>607</v>
      </c>
      <c r="B32" s="644" t="s">
        <v>596</v>
      </c>
      <c r="C32" s="666"/>
      <c r="D32" s="667"/>
      <c r="E32" s="674">
        <f>E33*0.52</f>
        <v>6.7259111111111118E-3</v>
      </c>
      <c r="H32" s="788"/>
    </row>
    <row r="33" spans="1:8">
      <c r="A33" s="652" t="s">
        <v>607</v>
      </c>
      <c r="B33" s="644" t="s">
        <v>597</v>
      </c>
      <c r="C33" s="666"/>
      <c r="D33" s="667"/>
      <c r="E33" s="674">
        <f>0.046564/3.6</f>
        <v>1.2934444444444445E-2</v>
      </c>
      <c r="H33" s="788"/>
    </row>
    <row r="34" spans="1:8">
      <c r="A34" s="652" t="s">
        <v>608</v>
      </c>
      <c r="B34" s="644" t="s">
        <v>596</v>
      </c>
      <c r="C34" s="666"/>
      <c r="D34" s="667"/>
      <c r="E34" s="674">
        <f>E35*0.175</f>
        <v>2.3333333333333331E-3</v>
      </c>
      <c r="H34" s="788"/>
    </row>
    <row r="35" spans="1:8">
      <c r="A35" s="652" t="s">
        <v>608</v>
      </c>
      <c r="B35" s="644" t="s">
        <v>597</v>
      </c>
      <c r="C35" s="666"/>
      <c r="D35" s="667"/>
      <c r="E35" s="674">
        <f>0.048/3.6</f>
        <v>1.3333333333333332E-2</v>
      </c>
      <c r="H35" s="788"/>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460</v>
      </c>
      <c r="B6" s="130" t="s">
        <v>461</v>
      </c>
      <c r="C6" s="131" t="s">
        <v>463</v>
      </c>
    </row>
    <row r="7" spans="1:3" s="11" customFormat="1">
      <c r="A7" s="123"/>
      <c r="B7" s="160"/>
      <c r="C7" s="161" t="s">
        <v>621</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8" t="s">
        <v>520</v>
      </c>
    </row>
    <row r="12" spans="1:3" s="11" customFormat="1">
      <c r="A12" s="132"/>
      <c r="B12" s="133"/>
      <c r="C12" s="134"/>
    </row>
    <row r="13" spans="1:3" s="11" customFormat="1" ht="18">
      <c r="A13" s="113" t="s">
        <v>467</v>
      </c>
      <c r="B13" s="130" t="s">
        <v>468</v>
      </c>
      <c r="C13" s="159"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393</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678</v>
      </c>
      <c r="C21" s="131" t="s">
        <v>589</v>
      </c>
    </row>
    <row r="22" spans="1:3" s="11" customFormat="1">
      <c r="A22" s="141"/>
      <c r="B22" s="160"/>
      <c r="C22" s="161"/>
    </row>
    <row r="23" spans="1:3" ht="21">
      <c r="A23" s="126" t="s">
        <v>477</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69" bestFit="1" customWidth="1"/>
    <col min="2" max="2" width="59.42578125" style="1069" bestFit="1" customWidth="1"/>
    <col min="3" max="4" width="28.7109375" style="1069" customWidth="1"/>
    <col min="5" max="5" width="44.28515625" style="1069" customWidth="1"/>
    <col min="6" max="6" width="35" style="1069" bestFit="1" customWidth="1"/>
    <col min="7" max="16384" width="9.140625" style="1069"/>
  </cols>
  <sheetData>
    <row r="1" spans="1:6" ht="62.45" customHeight="1" thickTop="1" thickBot="1">
      <c r="A1" s="136" t="s">
        <v>913</v>
      </c>
      <c r="B1" s="1293">
        <v>2013</v>
      </c>
      <c r="C1" s="1294"/>
      <c r="D1" s="1294"/>
      <c r="E1" s="1294"/>
      <c r="F1" s="1295"/>
    </row>
    <row r="2" spans="1:6">
      <c r="A2" s="332"/>
      <c r="B2" s="332"/>
      <c r="C2" s="332"/>
      <c r="D2" s="332"/>
      <c r="E2" s="332"/>
      <c r="F2" s="332"/>
    </row>
    <row r="3" spans="1:6" ht="19.5">
      <c r="A3" s="1296" t="s">
        <v>0</v>
      </c>
      <c r="B3" s="332"/>
      <c r="C3" s="332"/>
      <c r="D3" s="332"/>
      <c r="E3" s="332"/>
      <c r="F3" s="332"/>
    </row>
    <row r="4" spans="1:6" ht="22.5">
      <c r="A4" s="1297" t="s">
        <v>913</v>
      </c>
      <c r="B4" s="332"/>
      <c r="C4" s="332"/>
      <c r="D4" s="332"/>
      <c r="E4" s="332"/>
      <c r="F4" s="332"/>
    </row>
    <row r="5" spans="1:6" ht="22.5">
      <c r="A5" s="1297" t="s">
        <v>914</v>
      </c>
      <c r="B5" s="332"/>
      <c r="C5" s="332"/>
      <c r="D5" s="332"/>
      <c r="E5" s="332"/>
      <c r="F5" s="332"/>
    </row>
    <row r="6" spans="1:6" ht="15.75" thickBot="1">
      <c r="A6" s="332"/>
      <c r="B6" s="332"/>
      <c r="C6" s="332"/>
      <c r="D6" s="332"/>
      <c r="E6" s="332"/>
      <c r="F6" s="332"/>
    </row>
    <row r="7" spans="1:6" ht="20.25" thickBot="1">
      <c r="A7" s="1298" t="s">
        <v>1</v>
      </c>
      <c r="B7" s="333" t="s">
        <v>394</v>
      </c>
      <c r="C7" s="333" t="s">
        <v>395</v>
      </c>
      <c r="D7" s="333"/>
      <c r="E7" s="333"/>
      <c r="F7" s="334"/>
    </row>
    <row r="8" spans="1:6" ht="16.5" thickTop="1" thickBot="1">
      <c r="A8" s="1299" t="s">
        <v>4</v>
      </c>
      <c r="B8" s="1300"/>
      <c r="C8" s="1300"/>
      <c r="D8" s="1294"/>
      <c r="E8" s="1294"/>
      <c r="F8" s="1295"/>
    </row>
    <row r="9" spans="1:6">
      <c r="A9" s="1301" t="s">
        <v>2</v>
      </c>
      <c r="B9" s="1302">
        <v>4958</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298" t="s">
        <v>3</v>
      </c>
      <c r="B12" s="333" t="s">
        <v>394</v>
      </c>
      <c r="C12" s="333" t="s">
        <v>639</v>
      </c>
      <c r="D12" s="333"/>
      <c r="E12" s="333"/>
      <c r="F12" s="337"/>
    </row>
    <row r="13" spans="1:6" ht="16.5" thickTop="1" thickBot="1">
      <c r="A13" s="1303" t="s">
        <v>4</v>
      </c>
      <c r="B13" s="1304" t="s">
        <v>5</v>
      </c>
      <c r="C13" s="1304"/>
      <c r="D13" s="1304"/>
      <c r="E13" s="1304"/>
      <c r="F13" s="1305"/>
    </row>
    <row r="14" spans="1:6">
      <c r="A14" s="1306" t="s">
        <v>915</v>
      </c>
      <c r="B14" s="1307">
        <v>655</v>
      </c>
      <c r="C14" s="332"/>
      <c r="D14" s="332"/>
      <c r="E14" s="332"/>
      <c r="F14" s="332"/>
    </row>
    <row r="15" spans="1:6">
      <c r="A15" s="1306" t="s">
        <v>183</v>
      </c>
      <c r="B15" s="1307">
        <v>381</v>
      </c>
      <c r="C15" s="332"/>
      <c r="D15" s="332"/>
      <c r="E15" s="332"/>
      <c r="F15" s="332"/>
    </row>
    <row r="16" spans="1:6">
      <c r="A16" s="1306" t="s">
        <v>6</v>
      </c>
      <c r="B16" s="1307">
        <v>537</v>
      </c>
      <c r="C16" s="332"/>
      <c r="D16" s="332"/>
      <c r="E16" s="332"/>
      <c r="F16" s="332"/>
    </row>
    <row r="17" spans="1:6">
      <c r="A17" s="1306" t="s">
        <v>7</v>
      </c>
      <c r="B17" s="1307">
        <v>53</v>
      </c>
      <c r="C17" s="332"/>
      <c r="D17" s="332"/>
      <c r="E17" s="332"/>
      <c r="F17" s="332"/>
    </row>
    <row r="18" spans="1:6">
      <c r="A18" s="1306" t="s">
        <v>8</v>
      </c>
      <c r="B18" s="1307">
        <v>336</v>
      </c>
      <c r="C18" s="332"/>
      <c r="D18" s="332"/>
      <c r="E18" s="332"/>
      <c r="F18" s="332"/>
    </row>
    <row r="19" spans="1:6">
      <c r="A19" s="1306" t="s">
        <v>9</v>
      </c>
      <c r="B19" s="1307">
        <v>226</v>
      </c>
      <c r="C19" s="332"/>
      <c r="D19" s="332"/>
      <c r="E19" s="332"/>
      <c r="F19" s="332"/>
    </row>
    <row r="20" spans="1:6">
      <c r="A20" s="1306" t="s">
        <v>10</v>
      </c>
      <c r="B20" s="1307">
        <v>147</v>
      </c>
      <c r="C20" s="332"/>
      <c r="D20" s="332"/>
      <c r="E20" s="332"/>
      <c r="F20" s="332"/>
    </row>
    <row r="21" spans="1:6">
      <c r="A21" s="1306" t="s">
        <v>11</v>
      </c>
      <c r="B21" s="1307">
        <v>474</v>
      </c>
      <c r="C21" s="332"/>
      <c r="D21" s="332"/>
      <c r="E21" s="332"/>
      <c r="F21" s="332"/>
    </row>
    <row r="22" spans="1:6">
      <c r="A22" s="1306" t="s">
        <v>12</v>
      </c>
      <c r="B22" s="1307">
        <v>1420</v>
      </c>
      <c r="C22" s="332"/>
      <c r="D22" s="332"/>
      <c r="E22" s="332"/>
      <c r="F22" s="332"/>
    </row>
    <row r="23" spans="1:6">
      <c r="A23" s="1306" t="s">
        <v>13</v>
      </c>
      <c r="B23" s="1307">
        <v>55</v>
      </c>
      <c r="C23" s="332"/>
      <c r="D23" s="332"/>
      <c r="E23" s="332"/>
      <c r="F23" s="332"/>
    </row>
    <row r="24" spans="1:6">
      <c r="A24" s="1306" t="s">
        <v>14</v>
      </c>
      <c r="B24" s="1307">
        <v>2</v>
      </c>
      <c r="C24" s="332"/>
      <c r="D24" s="332"/>
      <c r="E24" s="332"/>
      <c r="F24" s="332"/>
    </row>
    <row r="25" spans="1:6">
      <c r="A25" s="1306" t="s">
        <v>15</v>
      </c>
      <c r="B25" s="1307">
        <v>151</v>
      </c>
      <c r="C25" s="332"/>
      <c r="D25" s="332"/>
      <c r="E25" s="332"/>
      <c r="F25" s="332"/>
    </row>
    <row r="26" spans="1:6">
      <c r="A26" s="1306" t="s">
        <v>16</v>
      </c>
      <c r="B26" s="1307">
        <v>0</v>
      </c>
      <c r="C26" s="332"/>
      <c r="D26" s="332"/>
      <c r="E26" s="332"/>
      <c r="F26" s="332"/>
    </row>
    <row r="27" spans="1:6">
      <c r="A27" s="1306" t="s">
        <v>17</v>
      </c>
      <c r="B27" s="1307">
        <v>0</v>
      </c>
      <c r="C27" s="332"/>
      <c r="D27" s="332"/>
      <c r="E27" s="332"/>
      <c r="F27" s="332"/>
    </row>
    <row r="28" spans="1:6" s="43" customFormat="1">
      <c r="A28" s="1308" t="s">
        <v>18</v>
      </c>
      <c r="B28" s="1309">
        <v>0</v>
      </c>
      <c r="C28" s="338"/>
      <c r="D28" s="338"/>
      <c r="E28" s="338"/>
      <c r="F28" s="338"/>
    </row>
    <row r="29" spans="1:6">
      <c r="A29" s="1308" t="s">
        <v>916</v>
      </c>
      <c r="B29" s="1309">
        <v>66</v>
      </c>
      <c r="C29" s="338"/>
      <c r="D29" s="338"/>
      <c r="E29" s="338"/>
      <c r="F29" s="338"/>
    </row>
    <row r="30" spans="1:6">
      <c r="A30" s="1301" t="s">
        <v>917</v>
      </c>
      <c r="B30" s="1310">
        <v>31</v>
      </c>
      <c r="C30" s="335"/>
      <c r="D30" s="335"/>
      <c r="E30" s="335"/>
      <c r="F30" s="335"/>
    </row>
    <row r="31" spans="1:6" ht="15.75" thickBot="1">
      <c r="A31" s="336"/>
      <c r="B31" s="332"/>
      <c r="C31" s="332"/>
      <c r="D31" s="332"/>
      <c r="E31" s="332"/>
      <c r="F31" s="332"/>
    </row>
    <row r="32" spans="1:6" ht="20.25" thickBot="1">
      <c r="A32" s="1298" t="s">
        <v>19</v>
      </c>
      <c r="B32" s="333" t="s">
        <v>394</v>
      </c>
      <c r="C32" s="333" t="s">
        <v>918</v>
      </c>
      <c r="D32" s="333"/>
      <c r="E32" s="333"/>
      <c r="F32" s="337"/>
    </row>
    <row r="33" spans="1:6" ht="16.5" thickTop="1" thickBot="1">
      <c r="A33" s="1311"/>
      <c r="B33" s="1312"/>
      <c r="C33" s="1312"/>
      <c r="D33" s="1312"/>
      <c r="E33" s="1312" t="s">
        <v>20</v>
      </c>
      <c r="F33" s="1313"/>
    </row>
    <row r="34" spans="1:6" ht="16.5" thickTop="1" thickBot="1">
      <c r="A34" s="1314" t="s">
        <v>21</v>
      </c>
      <c r="B34" s="1315" t="s">
        <v>22</v>
      </c>
      <c r="C34" s="1315" t="s">
        <v>5</v>
      </c>
      <c r="D34" s="1315" t="s">
        <v>23</v>
      </c>
      <c r="E34" s="1315" t="s">
        <v>5</v>
      </c>
      <c r="F34" s="1316" t="s">
        <v>23</v>
      </c>
    </row>
    <row r="35" spans="1:6">
      <c r="A35" s="1306" t="s">
        <v>24</v>
      </c>
      <c r="B35" s="1306" t="s">
        <v>25</v>
      </c>
      <c r="C35" s="1307">
        <v>0</v>
      </c>
      <c r="D35" s="1307">
        <v>0</v>
      </c>
      <c r="E35" s="1307">
        <v>0</v>
      </c>
      <c r="F35" s="1307">
        <v>0</v>
      </c>
    </row>
    <row r="36" spans="1:6">
      <c r="A36" s="1306" t="s">
        <v>24</v>
      </c>
      <c r="B36" s="1306" t="s">
        <v>26</v>
      </c>
      <c r="C36" s="1307">
        <v>0</v>
      </c>
      <c r="D36" s="1307">
        <v>0</v>
      </c>
      <c r="E36" s="1307">
        <v>6</v>
      </c>
      <c r="F36" s="1307">
        <v>19518.8343840749</v>
      </c>
    </row>
    <row r="37" spans="1:6">
      <c r="A37" s="1306" t="s">
        <v>24</v>
      </c>
      <c r="B37" s="1306" t="s">
        <v>27</v>
      </c>
      <c r="C37" s="1307">
        <v>0</v>
      </c>
      <c r="D37" s="1307">
        <v>0</v>
      </c>
      <c r="E37" s="1307">
        <v>0</v>
      </c>
      <c r="F37" s="1307">
        <v>0</v>
      </c>
    </row>
    <row r="38" spans="1:6">
      <c r="A38" s="1306" t="s">
        <v>24</v>
      </c>
      <c r="B38" s="1306" t="s">
        <v>28</v>
      </c>
      <c r="C38" s="1307">
        <v>0</v>
      </c>
      <c r="D38" s="1307">
        <v>0</v>
      </c>
      <c r="E38" s="1307">
        <v>0</v>
      </c>
      <c r="F38" s="1307">
        <v>0</v>
      </c>
    </row>
    <row r="39" spans="1:6">
      <c r="A39" s="1306" t="s">
        <v>29</v>
      </c>
      <c r="B39" s="1306" t="s">
        <v>30</v>
      </c>
      <c r="C39" s="1307">
        <v>3281</v>
      </c>
      <c r="D39" s="1307">
        <v>63130022.318127804</v>
      </c>
      <c r="E39" s="1307">
        <v>4834</v>
      </c>
      <c r="F39" s="1307">
        <v>17622379.302876402</v>
      </c>
    </row>
    <row r="40" spans="1:6">
      <c r="A40" s="1306" t="s">
        <v>29</v>
      </c>
      <c r="B40" s="1306" t="s">
        <v>28</v>
      </c>
      <c r="C40" s="1307">
        <v>0</v>
      </c>
      <c r="D40" s="1307">
        <v>0</v>
      </c>
      <c r="E40" s="1307">
        <v>0</v>
      </c>
      <c r="F40" s="1307">
        <v>0</v>
      </c>
    </row>
    <row r="41" spans="1:6">
      <c r="A41" s="1306" t="s">
        <v>31</v>
      </c>
      <c r="B41" s="1306" t="s">
        <v>32</v>
      </c>
      <c r="C41" s="1307">
        <v>50</v>
      </c>
      <c r="D41" s="1307">
        <v>2119089.2417606502</v>
      </c>
      <c r="E41" s="1307">
        <v>94</v>
      </c>
      <c r="F41" s="1307">
        <v>2220163.2306844899</v>
      </c>
    </row>
    <row r="42" spans="1:6">
      <c r="A42" s="1306" t="s">
        <v>31</v>
      </c>
      <c r="B42" s="1306" t="s">
        <v>33</v>
      </c>
      <c r="C42" s="1307">
        <v>0</v>
      </c>
      <c r="D42" s="1307">
        <v>0</v>
      </c>
      <c r="E42" s="1307">
        <v>0</v>
      </c>
      <c r="F42" s="1307">
        <v>0</v>
      </c>
    </row>
    <row r="43" spans="1:6">
      <c r="A43" s="1306" t="s">
        <v>31</v>
      </c>
      <c r="B43" s="1306" t="s">
        <v>34</v>
      </c>
      <c r="C43" s="1307">
        <v>0</v>
      </c>
      <c r="D43" s="1307">
        <v>0</v>
      </c>
      <c r="E43" s="1307">
        <v>0</v>
      </c>
      <c r="F43" s="1307">
        <v>0</v>
      </c>
    </row>
    <row r="44" spans="1:6">
      <c r="A44" s="1306" t="s">
        <v>31</v>
      </c>
      <c r="B44" s="1306" t="s">
        <v>35</v>
      </c>
      <c r="C44" s="1307">
        <v>0</v>
      </c>
      <c r="D44" s="1307">
        <v>0</v>
      </c>
      <c r="E44" s="1307">
        <v>7</v>
      </c>
      <c r="F44" s="1307">
        <v>106217.513308137</v>
      </c>
    </row>
    <row r="45" spans="1:6">
      <c r="A45" s="1306" t="s">
        <v>31</v>
      </c>
      <c r="B45" s="1306" t="s">
        <v>36</v>
      </c>
      <c r="C45" s="1307">
        <v>0</v>
      </c>
      <c r="D45" s="1307">
        <v>0</v>
      </c>
      <c r="E45" s="1307">
        <v>0</v>
      </c>
      <c r="F45" s="1307">
        <v>0</v>
      </c>
    </row>
    <row r="46" spans="1:6">
      <c r="A46" s="1306" t="s">
        <v>31</v>
      </c>
      <c r="B46" s="1306" t="s">
        <v>37</v>
      </c>
      <c r="C46" s="1307">
        <v>0</v>
      </c>
      <c r="D46" s="1307">
        <v>0</v>
      </c>
      <c r="E46" s="1307">
        <v>0</v>
      </c>
      <c r="F46" s="1307">
        <v>0</v>
      </c>
    </row>
    <row r="47" spans="1:6">
      <c r="A47" s="1306" t="s">
        <v>31</v>
      </c>
      <c r="B47" s="1306" t="s">
        <v>38</v>
      </c>
      <c r="C47" s="1307">
        <v>0</v>
      </c>
      <c r="D47" s="1307">
        <v>0</v>
      </c>
      <c r="E47" s="1307">
        <v>0</v>
      </c>
      <c r="F47" s="1307">
        <v>0</v>
      </c>
    </row>
    <row r="48" spans="1:6">
      <c r="A48" s="1306" t="s">
        <v>31</v>
      </c>
      <c r="B48" s="1306" t="s">
        <v>28</v>
      </c>
      <c r="C48" s="1307">
        <v>38</v>
      </c>
      <c r="D48" s="1307">
        <v>75808092.398979604</v>
      </c>
      <c r="E48" s="1307">
        <v>48</v>
      </c>
      <c r="F48" s="1307">
        <v>45636499.988807797</v>
      </c>
    </row>
    <row r="49" spans="1:6">
      <c r="A49" s="1306" t="s">
        <v>31</v>
      </c>
      <c r="B49" s="1306" t="s">
        <v>39</v>
      </c>
      <c r="C49" s="1307">
        <v>0</v>
      </c>
      <c r="D49" s="1307">
        <v>0</v>
      </c>
      <c r="E49" s="1307">
        <v>0</v>
      </c>
      <c r="F49" s="1307">
        <v>0</v>
      </c>
    </row>
    <row r="50" spans="1:6">
      <c r="A50" s="1306" t="s">
        <v>31</v>
      </c>
      <c r="B50" s="1306" t="s">
        <v>40</v>
      </c>
      <c r="C50" s="1307">
        <v>9</v>
      </c>
      <c r="D50" s="1307">
        <v>18572950.069449302</v>
      </c>
      <c r="E50" s="1307">
        <v>18</v>
      </c>
      <c r="F50" s="1307">
        <v>25048309.119525898</v>
      </c>
    </row>
    <row r="51" spans="1:6">
      <c r="A51" s="1306" t="s">
        <v>41</v>
      </c>
      <c r="B51" s="1306" t="s">
        <v>42</v>
      </c>
      <c r="C51" s="1307">
        <v>0</v>
      </c>
      <c r="D51" s="1307">
        <v>0</v>
      </c>
      <c r="E51" s="1307">
        <v>11</v>
      </c>
      <c r="F51" s="1307">
        <v>214034.18582374201</v>
      </c>
    </row>
    <row r="52" spans="1:6">
      <c r="A52" s="1306" t="s">
        <v>41</v>
      </c>
      <c r="B52" s="1306" t="s">
        <v>28</v>
      </c>
      <c r="C52" s="1307">
        <v>5</v>
      </c>
      <c r="D52" s="1307">
        <v>24963211.594181702</v>
      </c>
      <c r="E52" s="1307">
        <v>9</v>
      </c>
      <c r="F52" s="1307">
        <v>258630.573160912</v>
      </c>
    </row>
    <row r="53" spans="1:6">
      <c r="A53" s="1306" t="s">
        <v>43</v>
      </c>
      <c r="B53" s="1306" t="s">
        <v>44</v>
      </c>
      <c r="C53" s="1307">
        <v>73</v>
      </c>
      <c r="D53" s="1307">
        <v>2087570.6927333199</v>
      </c>
      <c r="E53" s="1307">
        <v>130</v>
      </c>
      <c r="F53" s="1307">
        <v>645009.19153834903</v>
      </c>
    </row>
    <row r="54" spans="1:6">
      <c r="A54" s="1306" t="s">
        <v>45</v>
      </c>
      <c r="B54" s="1306" t="s">
        <v>46</v>
      </c>
      <c r="C54" s="1307">
        <v>0</v>
      </c>
      <c r="D54" s="1307">
        <v>0</v>
      </c>
      <c r="E54" s="1307">
        <v>1</v>
      </c>
      <c r="F54" s="1307">
        <v>636673</v>
      </c>
    </row>
    <row r="55" spans="1:6">
      <c r="A55" s="1306" t="s">
        <v>45</v>
      </c>
      <c r="B55" s="1306" t="s">
        <v>28</v>
      </c>
      <c r="C55" s="1307">
        <v>0</v>
      </c>
      <c r="D55" s="1307">
        <v>0</v>
      </c>
      <c r="E55" s="1307">
        <v>0</v>
      </c>
      <c r="F55" s="1307">
        <v>0</v>
      </c>
    </row>
    <row r="56" spans="1:6">
      <c r="A56" s="1306" t="s">
        <v>47</v>
      </c>
      <c r="B56" s="1306" t="s">
        <v>28</v>
      </c>
      <c r="C56" s="1307">
        <v>0</v>
      </c>
      <c r="D56" s="1307">
        <v>0</v>
      </c>
      <c r="E56" s="1307">
        <v>0</v>
      </c>
      <c r="F56" s="1307">
        <v>0</v>
      </c>
    </row>
    <row r="57" spans="1:6">
      <c r="A57" s="1306" t="s">
        <v>48</v>
      </c>
      <c r="B57" s="1306" t="s">
        <v>49</v>
      </c>
      <c r="C57" s="1307">
        <v>10</v>
      </c>
      <c r="D57" s="1307">
        <v>231729.35882280301</v>
      </c>
      <c r="E57" s="1307">
        <v>71</v>
      </c>
      <c r="F57" s="1307">
        <v>1212231.32621744</v>
      </c>
    </row>
    <row r="58" spans="1:6">
      <c r="A58" s="1306" t="s">
        <v>48</v>
      </c>
      <c r="B58" s="1306" t="s">
        <v>50</v>
      </c>
      <c r="C58" s="1307">
        <v>12</v>
      </c>
      <c r="D58" s="1307">
        <v>409018.10536771797</v>
      </c>
      <c r="E58" s="1307">
        <v>34</v>
      </c>
      <c r="F58" s="1307">
        <v>465334.35137194901</v>
      </c>
    </row>
    <row r="59" spans="1:6">
      <c r="A59" s="1306" t="s">
        <v>48</v>
      </c>
      <c r="B59" s="1306" t="s">
        <v>51</v>
      </c>
      <c r="C59" s="1307">
        <v>57</v>
      </c>
      <c r="D59" s="1307">
        <v>9949254.0104072802</v>
      </c>
      <c r="E59" s="1307">
        <v>135</v>
      </c>
      <c r="F59" s="1307">
        <v>5405631.7151858201</v>
      </c>
    </row>
    <row r="60" spans="1:6">
      <c r="A60" s="1306" t="s">
        <v>48</v>
      </c>
      <c r="B60" s="1306" t="s">
        <v>52</v>
      </c>
      <c r="C60" s="1307">
        <v>44</v>
      </c>
      <c r="D60" s="1307">
        <v>2559390.4677996002</v>
      </c>
      <c r="E60" s="1307">
        <v>59</v>
      </c>
      <c r="F60" s="1307">
        <v>2216853.4722171901</v>
      </c>
    </row>
    <row r="61" spans="1:6">
      <c r="A61" s="1306" t="s">
        <v>48</v>
      </c>
      <c r="B61" s="1306" t="s">
        <v>53</v>
      </c>
      <c r="C61" s="1307">
        <v>59</v>
      </c>
      <c r="D61" s="1307">
        <v>4094473.6027033301</v>
      </c>
      <c r="E61" s="1307">
        <v>147</v>
      </c>
      <c r="F61" s="1307">
        <v>2985907.4680067901</v>
      </c>
    </row>
    <row r="62" spans="1:6">
      <c r="A62" s="1306" t="s">
        <v>48</v>
      </c>
      <c r="B62" s="1306" t="s">
        <v>54</v>
      </c>
      <c r="C62" s="1307">
        <v>0</v>
      </c>
      <c r="D62" s="1307">
        <v>0</v>
      </c>
      <c r="E62" s="1307">
        <v>3</v>
      </c>
      <c r="F62" s="1307">
        <v>50102.021594058002</v>
      </c>
    </row>
    <row r="63" spans="1:6">
      <c r="A63" s="1306" t="s">
        <v>48</v>
      </c>
      <c r="B63" s="1306" t="s">
        <v>28</v>
      </c>
      <c r="C63" s="1307">
        <v>91</v>
      </c>
      <c r="D63" s="1307">
        <v>8473199.4871720709</v>
      </c>
      <c r="E63" s="1307">
        <v>98</v>
      </c>
      <c r="F63" s="1307">
        <v>8079057.2799865799</v>
      </c>
    </row>
    <row r="64" spans="1:6">
      <c r="A64" s="1306" t="s">
        <v>55</v>
      </c>
      <c r="B64" s="1306" t="s">
        <v>56</v>
      </c>
      <c r="C64" s="1307">
        <v>0</v>
      </c>
      <c r="D64" s="1307">
        <v>0</v>
      </c>
      <c r="E64" s="1307">
        <v>0</v>
      </c>
      <c r="F64" s="1307">
        <v>0</v>
      </c>
    </row>
    <row r="65" spans="1:6">
      <c r="A65" s="1306" t="s">
        <v>55</v>
      </c>
      <c r="B65" s="1306" t="s">
        <v>28</v>
      </c>
      <c r="C65" s="1307">
        <v>0</v>
      </c>
      <c r="D65" s="1307">
        <v>0</v>
      </c>
      <c r="E65" s="1307">
        <v>1</v>
      </c>
      <c r="F65" s="1307">
        <v>2324.9972223730001</v>
      </c>
    </row>
    <row r="66" spans="1:6">
      <c r="A66" s="1306" t="s">
        <v>55</v>
      </c>
      <c r="B66" s="1306" t="s">
        <v>57</v>
      </c>
      <c r="C66" s="1307">
        <v>0</v>
      </c>
      <c r="D66" s="1307">
        <v>0</v>
      </c>
      <c r="E66" s="1307">
        <v>0</v>
      </c>
      <c r="F66" s="1307">
        <v>0</v>
      </c>
    </row>
    <row r="67" spans="1:6">
      <c r="A67" s="1308" t="s">
        <v>55</v>
      </c>
      <c r="B67" s="1308" t="s">
        <v>58</v>
      </c>
      <c r="C67" s="1307">
        <v>0</v>
      </c>
      <c r="D67" s="1307">
        <v>0</v>
      </c>
      <c r="E67" s="1307">
        <v>4</v>
      </c>
      <c r="F67" s="1307">
        <v>10982.157755521401</v>
      </c>
    </row>
    <row r="68" spans="1:6">
      <c r="A68" s="1301" t="s">
        <v>55</v>
      </c>
      <c r="B68" s="1301" t="s">
        <v>59</v>
      </c>
      <c r="C68" s="1310">
        <v>7</v>
      </c>
      <c r="D68" s="1310">
        <v>512223.437309462</v>
      </c>
      <c r="E68" s="1310">
        <v>11</v>
      </c>
      <c r="F68" s="1310">
        <v>223057.966710106</v>
      </c>
    </row>
    <row r="69" spans="1:6" ht="15.75" thickBot="1">
      <c r="A69" s="336"/>
      <c r="B69" s="332"/>
      <c r="C69" s="332"/>
      <c r="D69" s="332"/>
      <c r="E69" s="332"/>
      <c r="F69" s="332"/>
    </row>
    <row r="70" spans="1:6" ht="19.5">
      <c r="A70" s="1298" t="s">
        <v>60</v>
      </c>
      <c r="B70" s="333" t="s">
        <v>409</v>
      </c>
      <c r="C70" s="333" t="s">
        <v>757</v>
      </c>
      <c r="D70" s="333"/>
      <c r="E70" s="333"/>
      <c r="F70" s="337"/>
    </row>
    <row r="71" spans="1:6" ht="20.25" thickBot="1">
      <c r="A71" s="1317"/>
      <c r="B71" s="339"/>
      <c r="C71" s="339"/>
      <c r="D71" s="340" t="s">
        <v>450</v>
      </c>
      <c r="E71" s="339"/>
      <c r="F71" s="341"/>
    </row>
    <row r="72" spans="1:6" ht="16.5" thickTop="1" thickBot="1">
      <c r="A72" s="1303" t="s">
        <v>61</v>
      </c>
      <c r="B72" s="1304" t="s">
        <v>62</v>
      </c>
      <c r="C72" s="1318" t="s">
        <v>721</v>
      </c>
      <c r="D72" s="1319"/>
      <c r="E72" s="1319"/>
      <c r="F72" s="1305"/>
    </row>
    <row r="73" spans="1:6">
      <c r="A73" s="1306" t="s">
        <v>63</v>
      </c>
      <c r="B73" s="1306" t="s">
        <v>722</v>
      </c>
      <c r="C73" s="1320" t="s">
        <v>723</v>
      </c>
      <c r="D73" s="1321">
        <v>74923103</v>
      </c>
      <c r="E73" s="456"/>
      <c r="F73" s="332"/>
    </row>
    <row r="74" spans="1:6">
      <c r="A74" s="1306" t="s">
        <v>63</v>
      </c>
      <c r="B74" s="1306" t="s">
        <v>724</v>
      </c>
      <c r="C74" s="1320" t="s">
        <v>725</v>
      </c>
      <c r="D74" s="1321">
        <v>5750893.0611929251</v>
      </c>
      <c r="E74" s="456"/>
      <c r="F74" s="332"/>
    </row>
    <row r="75" spans="1:6">
      <c r="A75" s="1306" t="s">
        <v>64</v>
      </c>
      <c r="B75" s="1306" t="s">
        <v>722</v>
      </c>
      <c r="C75" s="1320" t="s">
        <v>726</v>
      </c>
      <c r="D75" s="1321">
        <v>7533307</v>
      </c>
      <c r="E75" s="456"/>
      <c r="F75" s="332"/>
    </row>
    <row r="76" spans="1:6">
      <c r="A76" s="1306" t="s">
        <v>64</v>
      </c>
      <c r="B76" s="1306" t="s">
        <v>724</v>
      </c>
      <c r="C76" s="1320" t="s">
        <v>727</v>
      </c>
      <c r="D76" s="1321">
        <v>457340.06119292526</v>
      </c>
      <c r="E76" s="456"/>
      <c r="F76" s="332"/>
    </row>
    <row r="77" spans="1:6">
      <c r="A77" s="1306" t="s">
        <v>65</v>
      </c>
      <c r="B77" s="1306" t="s">
        <v>722</v>
      </c>
      <c r="C77" s="1320" t="s">
        <v>728</v>
      </c>
      <c r="D77" s="1321">
        <v>60971161</v>
      </c>
      <c r="E77" s="456"/>
      <c r="F77" s="332"/>
    </row>
    <row r="78" spans="1:6">
      <c r="A78" s="1301" t="s">
        <v>65</v>
      </c>
      <c r="B78" s="1301" t="s">
        <v>724</v>
      </c>
      <c r="C78" s="1301" t="s">
        <v>729</v>
      </c>
      <c r="D78" s="1322">
        <v>9519724</v>
      </c>
      <c r="E78" s="1323"/>
      <c r="F78" s="335"/>
    </row>
    <row r="79" spans="1:6">
      <c r="A79" s="1324"/>
      <c r="B79" s="1324"/>
      <c r="C79" s="332"/>
      <c r="D79" s="332"/>
      <c r="E79" s="332"/>
      <c r="F79" s="332"/>
    </row>
    <row r="80" spans="1:6" ht="15.75" thickBot="1">
      <c r="A80" s="1324"/>
      <c r="B80" s="1324"/>
      <c r="C80" s="332"/>
      <c r="D80" s="332"/>
      <c r="E80" s="332"/>
      <c r="F80" s="332"/>
    </row>
    <row r="81" spans="1:6" ht="20.25" thickBot="1">
      <c r="A81" s="1298" t="s">
        <v>333</v>
      </c>
      <c r="B81" s="1325" t="s">
        <v>394</v>
      </c>
      <c r="C81" s="333" t="s">
        <v>919</v>
      </c>
      <c r="D81" s="333"/>
      <c r="E81" s="333"/>
      <c r="F81" s="337"/>
    </row>
    <row r="82" spans="1:6" ht="16.5" thickTop="1" thickBot="1">
      <c r="A82" s="1303" t="s">
        <v>334</v>
      </c>
      <c r="B82" s="1319"/>
      <c r="C82" s="1319"/>
      <c r="D82" s="1304"/>
      <c r="E82" s="1304"/>
      <c r="F82" s="1305"/>
    </row>
    <row r="83" spans="1:6">
      <c r="A83" s="1306" t="s">
        <v>335</v>
      </c>
      <c r="B83" s="1321">
        <v>181289.87761414947</v>
      </c>
      <c r="C83" s="456"/>
      <c r="D83" s="332"/>
      <c r="E83" s="332"/>
      <c r="F83" s="332"/>
    </row>
    <row r="84" spans="1:6">
      <c r="A84" s="1301" t="s">
        <v>336</v>
      </c>
      <c r="B84" s="1322">
        <v>0</v>
      </c>
      <c r="C84" s="1323"/>
      <c r="D84" s="335"/>
      <c r="E84" s="335"/>
      <c r="F84" s="335"/>
    </row>
    <row r="85" spans="1:6">
      <c r="A85" s="1324"/>
      <c r="B85" s="1326"/>
      <c r="C85" s="332"/>
      <c r="D85" s="332"/>
      <c r="E85" s="332"/>
      <c r="F85" s="332"/>
    </row>
    <row r="86" spans="1:6" ht="15.75" thickBot="1">
      <c r="A86" s="336"/>
      <c r="B86" s="332"/>
      <c r="C86" s="332"/>
      <c r="D86" s="332"/>
      <c r="E86" s="332"/>
      <c r="F86" s="332"/>
    </row>
    <row r="87" spans="1:6" ht="20.25" thickBot="1">
      <c r="A87" s="1298" t="s">
        <v>66</v>
      </c>
      <c r="B87" s="333" t="s">
        <v>394</v>
      </c>
      <c r="C87" s="333" t="s">
        <v>412</v>
      </c>
      <c r="D87" s="333"/>
      <c r="E87" s="333"/>
      <c r="F87" s="337"/>
    </row>
    <row r="88" spans="1:6" ht="16.5" thickTop="1" thickBot="1">
      <c r="A88" s="1303" t="s">
        <v>4</v>
      </c>
      <c r="B88" s="1304" t="s">
        <v>169</v>
      </c>
      <c r="C88" s="1304"/>
      <c r="D88" s="1304"/>
      <c r="E88" s="1304"/>
      <c r="F88" s="1305"/>
    </row>
    <row r="89" spans="1:6">
      <c r="A89" s="1306" t="s">
        <v>560</v>
      </c>
      <c r="B89" s="1307">
        <v>0</v>
      </c>
      <c r="C89" s="332"/>
      <c r="D89" s="332"/>
      <c r="E89" s="332"/>
      <c r="F89" s="332"/>
    </row>
    <row r="90" spans="1:6">
      <c r="A90" s="1306" t="s">
        <v>561</v>
      </c>
      <c r="B90" s="1307">
        <v>0</v>
      </c>
      <c r="C90" s="332"/>
      <c r="D90" s="332"/>
      <c r="E90" s="332"/>
      <c r="F90" s="332"/>
    </row>
    <row r="91" spans="1:6">
      <c r="A91" s="1306" t="s">
        <v>67</v>
      </c>
      <c r="B91" s="1307">
        <v>2529.5739125864729</v>
      </c>
      <c r="C91" s="332"/>
      <c r="D91" s="332"/>
      <c r="E91" s="332"/>
      <c r="F91" s="332"/>
    </row>
    <row r="92" spans="1:6">
      <c r="A92" s="1301" t="s">
        <v>68</v>
      </c>
      <c r="B92" s="1302">
        <v>5246.1812943491377</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298" t="s">
        <v>69</v>
      </c>
      <c r="B95" s="333" t="s">
        <v>394</v>
      </c>
      <c r="C95" s="333" t="s">
        <v>413</v>
      </c>
      <c r="D95" s="333"/>
      <c r="E95" s="333"/>
      <c r="F95" s="337"/>
    </row>
    <row r="96" spans="1:6" ht="16.5" thickTop="1" thickBot="1">
      <c r="A96" s="1303" t="s">
        <v>4</v>
      </c>
      <c r="B96" s="1304" t="s">
        <v>5</v>
      </c>
      <c r="C96" s="1304"/>
      <c r="D96" s="1304"/>
      <c r="E96" s="1304"/>
      <c r="F96" s="1305"/>
    </row>
    <row r="97" spans="1:6">
      <c r="A97" s="1306" t="s">
        <v>70</v>
      </c>
      <c r="B97" s="1307">
        <v>1860</v>
      </c>
      <c r="C97" s="332"/>
      <c r="D97" s="332"/>
      <c r="E97" s="332"/>
      <c r="F97" s="332"/>
    </row>
    <row r="98" spans="1:6">
      <c r="A98" s="1306" t="s">
        <v>71</v>
      </c>
      <c r="B98" s="1307">
        <v>2</v>
      </c>
      <c r="C98" s="332"/>
      <c r="D98" s="332"/>
      <c r="E98" s="332"/>
      <c r="F98" s="332"/>
    </row>
    <row r="99" spans="1:6">
      <c r="A99" s="1306" t="s">
        <v>72</v>
      </c>
      <c r="B99" s="1307">
        <v>106</v>
      </c>
      <c r="C99" s="332"/>
      <c r="D99" s="332"/>
      <c r="E99" s="332"/>
      <c r="F99" s="332"/>
    </row>
    <row r="100" spans="1:6">
      <c r="A100" s="1306" t="s">
        <v>73</v>
      </c>
      <c r="B100" s="1307">
        <v>136</v>
      </c>
      <c r="C100" s="332"/>
      <c r="D100" s="332"/>
      <c r="E100" s="332"/>
      <c r="F100" s="332"/>
    </row>
    <row r="101" spans="1:6">
      <c r="A101" s="1306" t="s">
        <v>74</v>
      </c>
      <c r="B101" s="1307">
        <v>70</v>
      </c>
      <c r="C101" s="332"/>
      <c r="D101" s="332"/>
      <c r="E101" s="332"/>
      <c r="F101" s="332"/>
    </row>
    <row r="102" spans="1:6">
      <c r="A102" s="1306" t="s">
        <v>75</v>
      </c>
      <c r="B102" s="1307">
        <v>52</v>
      </c>
      <c r="C102" s="332"/>
      <c r="D102" s="332"/>
      <c r="E102" s="332"/>
      <c r="F102" s="332"/>
    </row>
    <row r="103" spans="1:6">
      <c r="A103" s="1306" t="s">
        <v>76</v>
      </c>
      <c r="B103" s="1307">
        <v>136</v>
      </c>
      <c r="C103" s="332"/>
      <c r="D103" s="332"/>
      <c r="E103" s="332"/>
      <c r="F103" s="332"/>
    </row>
    <row r="104" spans="1:6">
      <c r="A104" s="1306" t="s">
        <v>77</v>
      </c>
      <c r="B104" s="1307">
        <v>1749</v>
      </c>
      <c r="C104" s="332"/>
      <c r="D104" s="332"/>
      <c r="E104" s="332"/>
      <c r="F104" s="332"/>
    </row>
    <row r="105" spans="1:6">
      <c r="A105" s="1301" t="s">
        <v>78</v>
      </c>
      <c r="B105" s="1310">
        <v>5</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298" t="s">
        <v>667</v>
      </c>
      <c r="B108" s="333" t="s">
        <v>394</v>
      </c>
      <c r="C108" s="333" t="s">
        <v>412</v>
      </c>
      <c r="D108" s="333"/>
      <c r="E108" s="333"/>
      <c r="F108" s="337"/>
    </row>
    <row r="109" spans="1:6" ht="16.5" thickTop="1" thickBot="1">
      <c r="A109" s="1303" t="s">
        <v>4</v>
      </c>
      <c r="B109" s="1304" t="s">
        <v>5</v>
      </c>
      <c r="C109" s="1304"/>
      <c r="D109" s="1304"/>
      <c r="E109" s="1304"/>
      <c r="F109" s="1305"/>
    </row>
    <row r="110" spans="1:6">
      <c r="A110" s="1306" t="s">
        <v>668</v>
      </c>
      <c r="B110" s="1307">
        <v>0</v>
      </c>
      <c r="C110" s="332"/>
      <c r="D110" s="332"/>
      <c r="E110" s="332"/>
      <c r="F110" s="332"/>
    </row>
    <row r="111" spans="1:6">
      <c r="A111" s="1327" t="s">
        <v>669</v>
      </c>
      <c r="B111" s="1328">
        <v>0</v>
      </c>
      <c r="C111" s="1330"/>
      <c r="D111" s="1330"/>
      <c r="E111" s="1330"/>
      <c r="F111" s="1330"/>
    </row>
    <row r="112" spans="1:6">
      <c r="A112" s="1306"/>
      <c r="B112" s="332"/>
      <c r="C112" s="332"/>
      <c r="D112" s="332"/>
      <c r="E112" s="332"/>
      <c r="F112" s="332"/>
    </row>
    <row r="113" spans="1:6" ht="15.75" thickBot="1">
      <c r="A113" s="1301"/>
      <c r="B113" s="335"/>
      <c r="C113" s="335"/>
      <c r="D113" s="335"/>
      <c r="E113" s="335"/>
      <c r="F113" s="335"/>
    </row>
    <row r="114" spans="1:6" ht="20.25" thickBot="1">
      <c r="A114" s="1298" t="s">
        <v>79</v>
      </c>
      <c r="B114" s="333" t="s">
        <v>394</v>
      </c>
      <c r="C114" s="333" t="s">
        <v>412</v>
      </c>
      <c r="D114" s="333"/>
      <c r="E114" s="333"/>
      <c r="F114" s="337"/>
    </row>
    <row r="115" spans="1:6" ht="16.5" thickTop="1" thickBot="1">
      <c r="A115" s="342"/>
      <c r="B115" s="343" t="s">
        <v>80</v>
      </c>
      <c r="C115" s="343" t="s">
        <v>81</v>
      </c>
      <c r="D115" s="343"/>
      <c r="E115" s="343"/>
      <c r="F115" s="344"/>
    </row>
    <row r="116" spans="1:6" ht="16.5" thickTop="1" thickBot="1">
      <c r="A116" s="1303" t="s">
        <v>4</v>
      </c>
      <c r="B116" s="1304" t="s">
        <v>5</v>
      </c>
      <c r="C116" s="1304" t="s">
        <v>5</v>
      </c>
      <c r="D116" s="1304"/>
      <c r="E116" s="1304"/>
      <c r="F116" s="1305"/>
    </row>
    <row r="117" spans="1:6">
      <c r="A117" s="1306" t="s">
        <v>82</v>
      </c>
      <c r="B117" s="1307">
        <v>0</v>
      </c>
      <c r="C117" s="1307">
        <v>0</v>
      </c>
      <c r="D117" s="332"/>
      <c r="E117" s="332"/>
      <c r="F117" s="332"/>
    </row>
    <row r="118" spans="1:6">
      <c r="A118" s="1306" t="s">
        <v>83</v>
      </c>
      <c r="B118" s="1307">
        <v>0</v>
      </c>
      <c r="C118" s="1307">
        <v>0</v>
      </c>
      <c r="D118" s="332"/>
      <c r="E118" s="332"/>
      <c r="F118" s="332"/>
    </row>
    <row r="119" spans="1:6">
      <c r="A119" s="1306" t="s">
        <v>31</v>
      </c>
      <c r="B119" s="1307">
        <v>0</v>
      </c>
      <c r="C119" s="1307">
        <v>0</v>
      </c>
      <c r="D119" s="332"/>
      <c r="E119" s="332"/>
      <c r="F119" s="332"/>
    </row>
    <row r="120" spans="1:6">
      <c r="A120" s="1306" t="s">
        <v>84</v>
      </c>
      <c r="B120" s="1307">
        <v>0</v>
      </c>
      <c r="C120" s="1307">
        <v>0</v>
      </c>
      <c r="D120" s="332"/>
      <c r="E120" s="332"/>
      <c r="F120" s="332"/>
    </row>
    <row r="121" spans="1:6">
      <c r="A121" s="1306" t="s">
        <v>85</v>
      </c>
      <c r="B121" s="1307">
        <v>0</v>
      </c>
      <c r="C121" s="1307">
        <v>0</v>
      </c>
      <c r="D121" s="332"/>
      <c r="E121" s="332"/>
      <c r="F121" s="332"/>
    </row>
    <row r="122" spans="1:6">
      <c r="A122" s="1306" t="s">
        <v>86</v>
      </c>
      <c r="B122" s="1307">
        <v>0</v>
      </c>
      <c r="C122" s="1307">
        <v>0</v>
      </c>
      <c r="D122" s="332"/>
      <c r="E122" s="332"/>
      <c r="F122" s="332"/>
    </row>
    <row r="123" spans="1:6">
      <c r="A123" s="1306" t="s">
        <v>87</v>
      </c>
      <c r="B123" s="1307">
        <v>16</v>
      </c>
      <c r="C123" s="1307">
        <v>17</v>
      </c>
      <c r="D123" s="332"/>
      <c r="E123" s="332"/>
      <c r="F123" s="332"/>
    </row>
    <row r="124" spans="1:6" s="43" customFormat="1">
      <c r="A124" s="1308" t="s">
        <v>88</v>
      </c>
      <c r="B124" s="1329">
        <v>0</v>
      </c>
      <c r="C124" s="1329">
        <v>0</v>
      </c>
      <c r="D124" s="338"/>
      <c r="E124" s="338"/>
      <c r="F124" s="338"/>
    </row>
    <row r="125" spans="1:6">
      <c r="A125" s="1301" t="s">
        <v>912</v>
      </c>
      <c r="B125" s="1329">
        <v>0</v>
      </c>
      <c r="C125" s="1329">
        <v>0</v>
      </c>
      <c r="D125" s="332"/>
      <c r="E125" s="332"/>
      <c r="F125" s="332"/>
    </row>
    <row r="126" spans="1:6" ht="15.75" thickBot="1">
      <c r="A126" s="1324"/>
      <c r="B126" s="332"/>
      <c r="C126" s="332"/>
      <c r="D126" s="332"/>
      <c r="E126" s="332"/>
      <c r="F126" s="332"/>
    </row>
    <row r="127" spans="1:6" ht="20.25" thickBot="1">
      <c r="A127" s="1298" t="s">
        <v>292</v>
      </c>
      <c r="B127" s="333" t="s">
        <v>394</v>
      </c>
      <c r="C127" s="333" t="s">
        <v>412</v>
      </c>
      <c r="D127" s="333"/>
      <c r="E127" s="333"/>
      <c r="F127" s="337"/>
    </row>
    <row r="128" spans="1:6" ht="16.5" thickTop="1" thickBot="1">
      <c r="A128" s="1303" t="s">
        <v>4</v>
      </c>
      <c r="B128" s="1304" t="s">
        <v>5</v>
      </c>
      <c r="C128" s="1304"/>
      <c r="D128" s="1304"/>
      <c r="E128" s="1304"/>
      <c r="F128" s="1305"/>
    </row>
    <row r="129" spans="1:6">
      <c r="A129" s="1306" t="s">
        <v>293</v>
      </c>
      <c r="B129" s="1307">
        <v>139</v>
      </c>
      <c r="C129" s="332"/>
      <c r="D129" s="332"/>
      <c r="E129" s="332"/>
      <c r="F129" s="332"/>
    </row>
    <row r="130" spans="1:6">
      <c r="A130" s="1306" t="s">
        <v>294</v>
      </c>
      <c r="B130" s="1307">
        <v>2</v>
      </c>
      <c r="C130" s="332"/>
      <c r="D130" s="332"/>
      <c r="E130" s="332"/>
      <c r="F130" s="332"/>
    </row>
    <row r="131" spans="1:6">
      <c r="A131" s="1306" t="s">
        <v>295</v>
      </c>
      <c r="B131" s="1307">
        <v>1</v>
      </c>
      <c r="C131" s="332"/>
      <c r="D131" s="332"/>
      <c r="E131" s="332"/>
      <c r="F131" s="332"/>
    </row>
    <row r="132" spans="1:6">
      <c r="A132" s="1301" t="s">
        <v>296</v>
      </c>
      <c r="B132" s="1302">
        <v>8</v>
      </c>
      <c r="C132" s="335"/>
      <c r="D132" s="335"/>
      <c r="E132" s="335"/>
      <c r="F132" s="335"/>
    </row>
    <row r="133" spans="1:6">
      <c r="A133" s="332"/>
      <c r="B133" s="332"/>
      <c r="C133" s="332"/>
      <c r="D133" s="332"/>
      <c r="E133" s="332"/>
      <c r="F133" s="332"/>
    </row>
    <row r="134" spans="1:6">
      <c r="A134" s="1326"/>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29" customWidth="1"/>
  </cols>
  <sheetData>
    <row r="1" spans="1:12" ht="18.75" thickBot="1">
      <c r="A1" s="121" t="s">
        <v>179</v>
      </c>
      <c r="B1" s="515"/>
      <c r="E1" s="648"/>
      <c r="F1" s="648"/>
    </row>
    <row r="2" spans="1:12">
      <c r="A2" s="44" t="s">
        <v>696</v>
      </c>
      <c r="B2" s="516"/>
      <c r="E2" s="648"/>
      <c r="F2" s="648"/>
    </row>
    <row r="3" spans="1:12">
      <c r="A3" s="44"/>
      <c r="B3" s="516"/>
      <c r="E3" s="648"/>
      <c r="F3" s="648"/>
    </row>
    <row r="4" spans="1:12" ht="18">
      <c r="A4" s="137" t="s">
        <v>180</v>
      </c>
      <c r="B4" s="517" t="s">
        <v>388</v>
      </c>
      <c r="E4" s="648"/>
      <c r="F4" s="648"/>
    </row>
    <row r="5" spans="1:12" ht="21">
      <c r="A5" s="116" t="s">
        <v>182</v>
      </c>
      <c r="B5" s="518"/>
      <c r="E5" s="897"/>
      <c r="F5" s="898"/>
      <c r="G5" s="9"/>
      <c r="H5" s="9"/>
      <c r="I5" s="9"/>
      <c r="J5" s="9"/>
    </row>
    <row r="6" spans="1:12">
      <c r="A6" s="117" t="s">
        <v>183</v>
      </c>
      <c r="B6" s="519">
        <v>3.9849787380274715</v>
      </c>
      <c r="E6" s="899"/>
      <c r="F6" s="899"/>
      <c r="G6" s="10"/>
      <c r="H6" s="10"/>
      <c r="I6" s="10"/>
      <c r="J6" s="10"/>
      <c r="K6" s="10"/>
      <c r="L6" s="10"/>
    </row>
    <row r="7" spans="1:12">
      <c r="A7" s="117" t="s">
        <v>6</v>
      </c>
      <c r="B7" s="519">
        <v>144.70945392535046</v>
      </c>
      <c r="E7" s="648"/>
      <c r="F7" s="648"/>
      <c r="K7" s="10"/>
      <c r="L7" s="10"/>
    </row>
    <row r="8" spans="1:12">
      <c r="A8" s="117" t="s">
        <v>7</v>
      </c>
      <c r="B8" s="519">
        <v>91.920587793024012</v>
      </c>
      <c r="E8" s="648"/>
      <c r="F8" s="648"/>
      <c r="K8" s="10"/>
      <c r="L8" s="10"/>
    </row>
    <row r="9" spans="1:12">
      <c r="A9" s="117" t="s">
        <v>8</v>
      </c>
      <c r="B9" s="519">
        <v>31.466379225633727</v>
      </c>
      <c r="E9" s="899"/>
      <c r="F9" s="899"/>
      <c r="G9" s="10"/>
      <c r="H9" s="10"/>
      <c r="I9" s="10"/>
      <c r="J9" s="10"/>
      <c r="K9" s="10"/>
      <c r="L9" s="10"/>
    </row>
    <row r="10" spans="1:12">
      <c r="A10" s="117" t="s">
        <v>9</v>
      </c>
      <c r="B10" s="519">
        <v>47.265136268950577</v>
      </c>
      <c r="E10" s="900"/>
      <c r="F10" s="900"/>
      <c r="G10" s="11"/>
      <c r="H10" s="11"/>
      <c r="I10" s="11"/>
      <c r="J10" s="11"/>
      <c r="K10" s="10"/>
      <c r="L10" s="10"/>
    </row>
    <row r="11" spans="1:12">
      <c r="A11" s="117" t="s">
        <v>10</v>
      </c>
      <c r="B11" s="519">
        <v>47.685070955670064</v>
      </c>
      <c r="E11" s="648"/>
      <c r="F11" s="900"/>
      <c r="G11" s="11"/>
      <c r="H11" s="11"/>
      <c r="I11" s="11"/>
      <c r="J11" s="11"/>
      <c r="K11" s="10"/>
      <c r="L11" s="10"/>
    </row>
    <row r="12" spans="1:12">
      <c r="A12" s="118" t="s">
        <v>16</v>
      </c>
      <c r="B12" s="519">
        <v>8</v>
      </c>
      <c r="E12" s="900"/>
      <c r="F12" s="899"/>
      <c r="G12" s="10"/>
      <c r="H12" s="10"/>
      <c r="I12" s="10"/>
      <c r="J12" s="10"/>
      <c r="K12" s="10"/>
      <c r="L12" s="10"/>
    </row>
    <row r="13" spans="1:12">
      <c r="A13" s="118" t="s">
        <v>17</v>
      </c>
      <c r="B13" s="519">
        <v>5</v>
      </c>
      <c r="E13" s="899"/>
      <c r="F13" s="899"/>
      <c r="G13" s="10"/>
      <c r="H13" s="10"/>
      <c r="I13" s="10"/>
      <c r="J13" s="10"/>
      <c r="K13" s="10"/>
      <c r="L13" s="10"/>
    </row>
    <row r="14" spans="1:12">
      <c r="A14" s="118" t="s">
        <v>184</v>
      </c>
      <c r="B14" s="519">
        <v>1.5</v>
      </c>
      <c r="E14" s="899"/>
      <c r="F14" s="899"/>
      <c r="G14" s="10"/>
      <c r="H14" s="10"/>
      <c r="I14" s="10"/>
      <c r="J14" s="10"/>
      <c r="K14" s="10"/>
      <c r="L14" s="10"/>
    </row>
    <row r="15" spans="1:12">
      <c r="A15" s="118" t="s">
        <v>185</v>
      </c>
      <c r="B15" s="519">
        <v>18</v>
      </c>
      <c r="E15" s="899"/>
      <c r="F15" s="899"/>
      <c r="G15" s="10"/>
      <c r="H15" s="10"/>
      <c r="I15" s="10"/>
      <c r="J15" s="10"/>
      <c r="K15" s="10"/>
      <c r="L15" s="10"/>
    </row>
    <row r="16" spans="1:12">
      <c r="A16" s="118" t="s">
        <v>186</v>
      </c>
      <c r="B16" s="520">
        <v>10</v>
      </c>
      <c r="E16" s="899"/>
      <c r="F16" s="899"/>
      <c r="G16" s="10"/>
      <c r="H16" s="10"/>
      <c r="I16" s="10"/>
      <c r="J16" s="10"/>
      <c r="K16" s="10"/>
      <c r="L16" s="10"/>
    </row>
    <row r="17" spans="1:12" s="43" customFormat="1" ht="15.75" thickBot="1">
      <c r="A17" s="119"/>
      <c r="B17" s="521"/>
      <c r="E17" s="901"/>
      <c r="F17" s="901"/>
      <c r="G17" s="156"/>
      <c r="H17" s="156"/>
      <c r="I17" s="156"/>
      <c r="J17" s="156"/>
      <c r="K17" s="156"/>
      <c r="L17" s="156"/>
    </row>
    <row r="18" spans="1:12" s="43" customFormat="1" ht="15.75" thickBot="1">
      <c r="A18" s="197"/>
      <c r="B18" s="522"/>
      <c r="E18" s="901"/>
      <c r="F18" s="901"/>
      <c r="G18" s="156"/>
      <c r="H18" s="156"/>
      <c r="I18" s="156"/>
      <c r="J18" s="156"/>
      <c r="K18" s="156"/>
      <c r="L18" s="156"/>
    </row>
    <row r="19" spans="1:12" ht="18.75" thickBot="1">
      <c r="A19" s="121" t="s">
        <v>187</v>
      </c>
      <c r="B19" s="515"/>
      <c r="E19" s="899"/>
      <c r="F19" s="899"/>
      <c r="G19" s="10"/>
      <c r="H19" s="10"/>
      <c r="I19" s="10"/>
      <c r="J19" s="10"/>
      <c r="K19" s="10"/>
      <c r="L19" s="10"/>
    </row>
    <row r="20" spans="1:12">
      <c r="A20" s="44" t="s">
        <v>696</v>
      </c>
      <c r="B20" s="516"/>
      <c r="E20" s="899"/>
      <c r="F20" s="899"/>
      <c r="G20" s="10"/>
      <c r="H20" s="10"/>
      <c r="I20" s="10"/>
      <c r="J20" s="10"/>
      <c r="K20" s="10"/>
      <c r="L20" s="10"/>
    </row>
    <row r="21" spans="1:12">
      <c r="A21" s="44"/>
      <c r="B21" s="516"/>
      <c r="E21" s="899"/>
      <c r="F21" s="899"/>
      <c r="G21" s="10"/>
      <c r="H21" s="10"/>
      <c r="I21" s="10"/>
      <c r="J21" s="10"/>
      <c r="K21" s="10"/>
      <c r="L21" s="10"/>
    </row>
    <row r="22" spans="1:12" ht="18">
      <c r="A22" s="138" t="s">
        <v>180</v>
      </c>
      <c r="B22" s="523" t="s">
        <v>388</v>
      </c>
      <c r="E22" s="899"/>
      <c r="F22" s="899"/>
      <c r="G22" s="10"/>
      <c r="H22" s="10"/>
      <c r="I22" s="10"/>
      <c r="J22" s="10"/>
      <c r="K22" s="10"/>
      <c r="L22" s="10"/>
    </row>
    <row r="23" spans="1:12" s="72" customFormat="1">
      <c r="A23" s="118" t="s">
        <v>182</v>
      </c>
      <c r="B23" s="519">
        <v>10.912785315671329</v>
      </c>
      <c r="E23" s="902"/>
      <c r="F23" s="902"/>
    </row>
    <row r="24" spans="1:12">
      <c r="A24" s="117" t="s">
        <v>183</v>
      </c>
      <c r="B24" s="519">
        <v>4.2231090152811745</v>
      </c>
      <c r="E24" s="899"/>
      <c r="F24" s="899"/>
      <c r="G24" s="10"/>
      <c r="H24" s="10"/>
      <c r="I24" s="10"/>
      <c r="J24" s="10"/>
      <c r="K24" s="10"/>
      <c r="L24" s="10"/>
    </row>
    <row r="25" spans="1:12">
      <c r="A25" s="117" t="s">
        <v>6</v>
      </c>
      <c r="B25" s="519">
        <v>36.583422624427001</v>
      </c>
      <c r="E25" s="899"/>
      <c r="F25" s="899"/>
      <c r="G25" s="10"/>
      <c r="H25" s="10"/>
      <c r="I25" s="10"/>
      <c r="J25" s="10"/>
      <c r="K25" s="10"/>
      <c r="L25" s="10"/>
    </row>
    <row r="26" spans="1:12">
      <c r="A26" s="117" t="s">
        <v>7</v>
      </c>
      <c r="B26" s="519">
        <v>2.6317021787707016</v>
      </c>
      <c r="E26" s="899"/>
      <c r="F26" s="899"/>
      <c r="G26" s="10"/>
      <c r="H26" s="10"/>
      <c r="I26" s="10"/>
      <c r="J26" s="10"/>
      <c r="K26" s="10"/>
      <c r="L26" s="10"/>
    </row>
    <row r="27" spans="1:12">
      <c r="A27" s="117" t="s">
        <v>8</v>
      </c>
      <c r="B27" s="519">
        <v>1.3742356711711319</v>
      </c>
      <c r="E27" s="899"/>
      <c r="F27" s="899"/>
      <c r="G27" s="10"/>
      <c r="H27" s="10"/>
      <c r="I27" s="10"/>
      <c r="J27" s="10"/>
      <c r="K27" s="10"/>
      <c r="L27" s="10"/>
    </row>
    <row r="28" spans="1:12">
      <c r="A28" s="117" t="s">
        <v>9</v>
      </c>
      <c r="B28" s="519">
        <v>9.3577839260338891</v>
      </c>
      <c r="E28" s="899"/>
      <c r="F28" s="899"/>
      <c r="G28" s="10"/>
      <c r="H28" s="10"/>
      <c r="I28" s="10"/>
      <c r="J28" s="10"/>
      <c r="K28" s="10"/>
      <c r="L28" s="10"/>
    </row>
    <row r="29" spans="1:12">
      <c r="A29" s="117" t="s">
        <v>10</v>
      </c>
      <c r="B29" s="519">
        <v>3.8951527391088074</v>
      </c>
      <c r="E29" s="899"/>
      <c r="F29" s="899"/>
      <c r="G29" s="10"/>
      <c r="H29" s="10"/>
      <c r="I29" s="10"/>
      <c r="J29" s="10"/>
      <c r="K29" s="10"/>
      <c r="L29" s="10"/>
    </row>
    <row r="30" spans="1:12">
      <c r="A30" s="118" t="s">
        <v>184</v>
      </c>
      <c r="B30" s="519">
        <v>4.4836789804839272</v>
      </c>
      <c r="E30" s="899"/>
      <c r="F30" s="899"/>
      <c r="G30" s="10"/>
      <c r="H30" s="10"/>
      <c r="I30" s="10"/>
      <c r="J30" s="10"/>
      <c r="K30" s="10"/>
      <c r="L30" s="10"/>
    </row>
    <row r="31" spans="1:12">
      <c r="A31" s="117" t="s">
        <v>11</v>
      </c>
      <c r="B31" s="519">
        <v>1.6075002802320006</v>
      </c>
      <c r="E31" s="899"/>
      <c r="F31" s="899"/>
      <c r="G31" s="10"/>
      <c r="H31" s="10"/>
      <c r="I31" s="10"/>
      <c r="J31" s="10"/>
      <c r="K31" s="10"/>
      <c r="L31" s="10"/>
    </row>
    <row r="32" spans="1:12">
      <c r="A32" s="117" t="s">
        <v>12</v>
      </c>
      <c r="B32" s="519">
        <v>4.8225008406960006</v>
      </c>
      <c r="E32" s="899"/>
      <c r="F32" s="899"/>
      <c r="G32" s="10"/>
      <c r="H32" s="10"/>
      <c r="I32" s="10"/>
      <c r="J32" s="10"/>
      <c r="K32" s="10"/>
      <c r="L32" s="10"/>
    </row>
    <row r="33" spans="1:14">
      <c r="A33" s="117" t="s">
        <v>13</v>
      </c>
      <c r="B33" s="519">
        <v>6.3685027042560023</v>
      </c>
      <c r="E33" s="899"/>
      <c r="F33" s="899"/>
      <c r="G33" s="10"/>
      <c r="H33" s="10"/>
      <c r="I33" s="10"/>
      <c r="J33" s="10"/>
      <c r="K33" s="10"/>
      <c r="L33" s="10"/>
    </row>
    <row r="34" spans="1:14">
      <c r="A34" s="117" t="s">
        <v>14</v>
      </c>
      <c r="B34" s="519">
        <v>4.6362973013280016</v>
      </c>
      <c r="E34" s="899"/>
      <c r="F34" s="899"/>
      <c r="G34" s="10"/>
      <c r="H34" s="10"/>
      <c r="I34" s="10"/>
      <c r="J34" s="10"/>
      <c r="K34" s="10"/>
      <c r="L34" s="10"/>
    </row>
    <row r="35" spans="1:14">
      <c r="A35" s="117" t="s">
        <v>15</v>
      </c>
      <c r="B35" s="519">
        <v>12.338973989496003</v>
      </c>
      <c r="E35" s="899"/>
      <c r="F35" s="899"/>
      <c r="G35" s="10"/>
      <c r="H35" s="10"/>
      <c r="I35" s="10"/>
      <c r="J35" s="10"/>
      <c r="K35" s="10"/>
      <c r="L35" s="10"/>
    </row>
    <row r="36" spans="1:14">
      <c r="A36" s="118" t="s">
        <v>16</v>
      </c>
      <c r="B36" s="519">
        <v>0.18999999999999997</v>
      </c>
      <c r="E36" s="899"/>
      <c r="F36" s="899"/>
      <c r="G36" s="10"/>
      <c r="H36" s="10"/>
      <c r="I36" s="10"/>
      <c r="J36" s="10"/>
      <c r="K36" s="10"/>
      <c r="L36" s="10"/>
    </row>
    <row r="37" spans="1:14">
      <c r="A37" s="118" t="s">
        <v>17</v>
      </c>
      <c r="B37" s="519">
        <v>0.13</v>
      </c>
      <c r="E37" s="648"/>
      <c r="F37" s="648"/>
    </row>
    <row r="38" spans="1:14">
      <c r="A38" s="118" t="s">
        <v>185</v>
      </c>
      <c r="B38" s="519">
        <v>1.56</v>
      </c>
      <c r="E38" s="648"/>
      <c r="F38" s="648"/>
    </row>
    <row r="39" spans="1:14">
      <c r="A39" s="118" t="s">
        <v>186</v>
      </c>
      <c r="B39" s="519">
        <v>0.76</v>
      </c>
      <c r="E39" s="648"/>
      <c r="F39" s="648"/>
    </row>
    <row r="40" spans="1:14">
      <c r="A40" s="118" t="s">
        <v>18</v>
      </c>
      <c r="B40" s="520">
        <v>2.3648437564623523E-2</v>
      </c>
      <c r="E40" s="648"/>
      <c r="F40" s="648"/>
    </row>
    <row r="41" spans="1:14" ht="15.75" thickBot="1">
      <c r="A41" s="119"/>
      <c r="B41" s="524"/>
      <c r="E41" s="648"/>
      <c r="F41" s="648"/>
    </row>
    <row r="42" spans="1:14" s="43" customFormat="1" ht="15.75" thickBot="1">
      <c r="A42" s="198"/>
      <c r="B42" s="522"/>
      <c r="E42" s="903"/>
      <c r="F42" s="903"/>
      <c r="G42" s="199"/>
      <c r="H42" s="199"/>
      <c r="I42" s="199"/>
      <c r="J42" s="199"/>
      <c r="K42" s="199"/>
      <c r="L42" s="199"/>
      <c r="M42" s="199"/>
      <c r="N42" s="199"/>
    </row>
    <row r="43" spans="1:14" ht="15.75" thickBot="1">
      <c r="A43" s="121" t="s">
        <v>188</v>
      </c>
      <c r="B43" s="525"/>
      <c r="E43" s="648"/>
      <c r="F43" s="648"/>
    </row>
    <row r="44" spans="1:14">
      <c r="A44" s="44" t="s">
        <v>697</v>
      </c>
      <c r="B44" s="516"/>
      <c r="E44" s="648"/>
      <c r="F44" s="648"/>
    </row>
    <row r="45" spans="1:14">
      <c r="A45" s="44"/>
      <c r="B45" s="516"/>
      <c r="E45" s="648"/>
      <c r="F45" s="648"/>
    </row>
    <row r="46" spans="1:14" ht="18">
      <c r="A46" s="137" t="s">
        <v>189</v>
      </c>
      <c r="B46" s="517" t="s">
        <v>587</v>
      </c>
      <c r="E46" s="648"/>
      <c r="F46" s="648"/>
    </row>
    <row r="47" spans="1:14">
      <c r="A47" s="116" t="s">
        <v>190</v>
      </c>
      <c r="B47" s="526">
        <v>0.9128095917751945</v>
      </c>
      <c r="E47" s="648"/>
      <c r="F47" s="648"/>
    </row>
    <row r="48" spans="1:14">
      <c r="A48" s="118" t="s">
        <v>191</v>
      </c>
      <c r="B48" s="519">
        <v>0.92100877273299775</v>
      </c>
      <c r="E48" s="648"/>
      <c r="F48" s="648"/>
    </row>
    <row r="49" spans="1:12">
      <c r="A49" s="118" t="s">
        <v>184</v>
      </c>
      <c r="B49" s="519">
        <v>3.3355943552287243E-2</v>
      </c>
      <c r="E49" s="648"/>
      <c r="F49" s="648"/>
    </row>
    <row r="50" spans="1:12">
      <c r="A50" s="118" t="s">
        <v>18</v>
      </c>
      <c r="B50" s="519">
        <v>9.7262708792387651E-4</v>
      </c>
      <c r="E50" s="899"/>
      <c r="F50" s="899"/>
      <c r="G50" s="10"/>
      <c r="H50" s="10"/>
      <c r="I50" s="10"/>
      <c r="J50" s="10"/>
      <c r="K50" s="10"/>
      <c r="L50" s="10"/>
    </row>
    <row r="51" spans="1:12">
      <c r="A51" s="118" t="s">
        <v>16</v>
      </c>
      <c r="B51" s="519">
        <v>6.4135215417537765E-3</v>
      </c>
      <c r="E51" s="899"/>
      <c r="F51" s="899"/>
      <c r="G51" s="10"/>
      <c r="H51" s="10"/>
      <c r="I51" s="10"/>
      <c r="J51" s="10"/>
      <c r="K51" s="10"/>
      <c r="L51" s="10"/>
    </row>
    <row r="52" spans="1:12" ht="15.75" thickBot="1">
      <c r="A52" s="119" t="s">
        <v>126</v>
      </c>
      <c r="B52" s="527">
        <v>0.10115527992891835</v>
      </c>
      <c r="E52" s="648"/>
      <c r="F52" s="648"/>
    </row>
    <row r="53" spans="1:12">
      <c r="B53" s="52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56" customWidth="1"/>
    <col min="3" max="3" width="70.28515625" style="532" customWidth="1"/>
  </cols>
  <sheetData>
    <row r="1" spans="1:3" s="332" customFormat="1" ht="15.75" thickBot="1">
      <c r="A1" s="371" t="s">
        <v>638</v>
      </c>
      <c r="B1" s="530"/>
      <c r="C1" s="531"/>
    </row>
    <row r="2" spans="1:3" s="332" customFormat="1">
      <c r="A2" s="375"/>
      <c r="B2" s="496"/>
      <c r="C2" s="533"/>
    </row>
    <row r="3" spans="1:3" s="332" customFormat="1">
      <c r="A3" s="373"/>
      <c r="B3" s="534">
        <v>2012</v>
      </c>
      <c r="C3" s="376" t="s">
        <v>181</v>
      </c>
    </row>
    <row r="4" spans="1:3">
      <c r="A4" s="120" t="s">
        <v>300</v>
      </c>
      <c r="B4" s="535">
        <f>4004966.03419121/1000</f>
        <v>4004.9660341912099</v>
      </c>
      <c r="C4" s="139" t="s">
        <v>705</v>
      </c>
    </row>
    <row r="5" spans="1:3" ht="15.75" thickBot="1">
      <c r="A5" s="115" t="s">
        <v>637</v>
      </c>
      <c r="B5" s="536">
        <v>672355</v>
      </c>
      <c r="C5" s="140" t="s">
        <v>681</v>
      </c>
    </row>
    <row r="11" spans="1:3">
      <c r="B11" s="79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2" customFormat="1" ht="15.75" thickBot="1">
      <c r="A1" s="371" t="s">
        <v>451</v>
      </c>
      <c r="B1" s="372"/>
    </row>
    <row r="2" spans="1:2" s="332" customFormat="1">
      <c r="A2" s="363"/>
      <c r="B2" s="370"/>
    </row>
    <row r="3" spans="1:2" s="332" customFormat="1" ht="18">
      <c r="A3" s="373"/>
      <c r="B3" s="374" t="s">
        <v>454</v>
      </c>
    </row>
    <row r="4" spans="1:2" ht="18">
      <c r="A4" s="120" t="s">
        <v>452</v>
      </c>
      <c r="B4" s="537">
        <v>310</v>
      </c>
    </row>
    <row r="5" spans="1:2" ht="18.75" thickBot="1">
      <c r="A5" s="115" t="s">
        <v>453</v>
      </c>
      <c r="B5" s="53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7"/>
      <c r="B1" s="368" t="s">
        <v>198</v>
      </c>
      <c r="C1" s="368" t="s">
        <v>199</v>
      </c>
      <c r="D1" s="368" t="s">
        <v>200</v>
      </c>
      <c r="E1" s="368" t="s">
        <v>201</v>
      </c>
      <c r="F1" s="368" t="s">
        <v>119</v>
      </c>
      <c r="G1" s="368" t="s">
        <v>202</v>
      </c>
      <c r="H1" s="368" t="s">
        <v>203</v>
      </c>
      <c r="I1" s="368" t="s">
        <v>204</v>
      </c>
      <c r="J1" s="368" t="s">
        <v>205</v>
      </c>
      <c r="K1" s="368" t="s">
        <v>206</v>
      </c>
      <c r="L1" s="368" t="s">
        <v>207</v>
      </c>
      <c r="M1" s="369" t="s">
        <v>290</v>
      </c>
    </row>
    <row r="2" spans="1:13" s="332" customFormat="1">
      <c r="A2" s="363" t="s">
        <v>441</v>
      </c>
      <c r="B2" s="338"/>
      <c r="C2" s="338"/>
      <c r="D2" s="338"/>
      <c r="E2" s="338"/>
      <c r="F2" s="338"/>
      <c r="G2" s="338"/>
      <c r="H2" s="338"/>
      <c r="I2" s="338"/>
      <c r="J2" s="338"/>
      <c r="K2" s="338"/>
      <c r="L2" s="338"/>
      <c r="M2" s="370"/>
    </row>
    <row r="3" spans="1:13">
      <c r="A3" s="44"/>
      <c r="B3" s="43"/>
      <c r="C3" s="43"/>
      <c r="D3" s="43"/>
      <c r="E3" s="43"/>
      <c r="F3" s="43"/>
      <c r="G3" s="43"/>
      <c r="H3" s="43"/>
      <c r="I3" s="43"/>
      <c r="J3" s="43"/>
      <c r="K3" s="43"/>
      <c r="L3" s="43"/>
      <c r="M3" s="96"/>
    </row>
    <row r="4" spans="1:13" ht="15.75" thickBot="1">
      <c r="A4" s="212" t="s">
        <v>442</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2" customWidth="1"/>
    <col min="2" max="2" width="30.28515625" style="880" customWidth="1"/>
    <col min="3" max="3" width="12" style="880" customWidth="1"/>
    <col min="4" max="4" width="9.140625" style="880"/>
    <col min="5" max="5" width="50.42578125" style="880" customWidth="1"/>
    <col min="6" max="6" width="19.28515625" style="880" customWidth="1"/>
    <col min="7" max="7" width="9.140625" style="880"/>
    <col min="8" max="8" width="23.42578125" style="880" customWidth="1"/>
    <col min="9" max="10" width="9.140625" style="880"/>
    <col min="11" max="11" width="80.140625" style="880" customWidth="1"/>
    <col min="12" max="16384" width="9.140625" style="880"/>
  </cols>
  <sheetData>
    <row r="1" spans="1:11">
      <c r="A1" s="362" t="s">
        <v>493</v>
      </c>
      <c r="B1" s="200"/>
      <c r="C1" s="200"/>
      <c r="D1" s="200"/>
      <c r="E1" s="200"/>
      <c r="F1" s="200"/>
      <c r="G1" s="200"/>
      <c r="H1" s="200"/>
      <c r="I1" s="200"/>
      <c r="J1" s="200"/>
      <c r="K1" s="201"/>
    </row>
    <row r="2" spans="1:11">
      <c r="A2" s="363"/>
      <c r="B2" s="43"/>
      <c r="C2" s="43"/>
      <c r="D2" s="43"/>
      <c r="E2" s="43"/>
      <c r="F2" s="43"/>
      <c r="G2" s="43"/>
      <c r="H2" s="43"/>
      <c r="I2" s="43"/>
      <c r="J2" s="43"/>
      <c r="K2" s="96"/>
    </row>
    <row r="3" spans="1:11">
      <c r="A3" s="363" t="s">
        <v>511</v>
      </c>
      <c r="B3" s="49">
        <f ca="1">IF(ISERROR('SEAP template'!C27),0,'SEAP template'!C27)</f>
        <v>116373.79939921956</v>
      </c>
      <c r="C3" s="43" t="s">
        <v>169</v>
      </c>
      <c r="D3" s="43"/>
      <c r="E3" s="156"/>
      <c r="F3" s="43"/>
      <c r="G3" s="43"/>
      <c r="H3" s="43"/>
      <c r="I3" s="43"/>
      <c r="J3" s="43"/>
      <c r="K3" s="96"/>
    </row>
    <row r="4" spans="1:11">
      <c r="A4" s="363" t="s">
        <v>170</v>
      </c>
      <c r="B4" s="49">
        <f>IF(ISERROR('SEAP template'!B78+'SEAP template'!C78),0,'SEAP template'!B78+'SEAP template'!C78)</f>
        <v>15110.75520693561</v>
      </c>
      <c r="C4" s="43" t="s">
        <v>169</v>
      </c>
      <c r="D4" s="43"/>
      <c r="E4" s="43"/>
      <c r="F4" s="43"/>
      <c r="G4" s="43"/>
      <c r="H4" s="43"/>
      <c r="I4" s="43"/>
      <c r="J4" s="43"/>
      <c r="K4" s="96"/>
    </row>
    <row r="5" spans="1:11">
      <c r="A5" s="363" t="s">
        <v>548</v>
      </c>
      <c r="B5" s="49">
        <f>IF(ISERROR('Eigen informatie GS &amp; warmtenet'!B4),0,'Eigen informatie GS &amp; warmtenet'!B4)</f>
        <v>0</v>
      </c>
      <c r="C5" s="43" t="s">
        <v>169</v>
      </c>
      <c r="D5" s="43"/>
      <c r="E5" s="43"/>
      <c r="F5" s="43"/>
      <c r="G5" s="43"/>
      <c r="H5" s="43"/>
      <c r="I5" s="43"/>
      <c r="J5" s="43"/>
      <c r="K5" s="96"/>
    </row>
    <row r="6" spans="1:11">
      <c r="A6" s="363" t="s">
        <v>171</v>
      </c>
      <c r="B6" s="540">
        <f>E6</f>
        <v>0.221</v>
      </c>
      <c r="C6" s="43" t="s">
        <v>172</v>
      </c>
      <c r="D6" s="43"/>
      <c r="E6" s="929">
        <v>0.221</v>
      </c>
      <c r="F6" s="43" t="s">
        <v>786</v>
      </c>
      <c r="G6" s="43" t="s">
        <v>789</v>
      </c>
      <c r="H6" s="43"/>
      <c r="I6" s="43"/>
      <c r="J6" s="43"/>
      <c r="K6" s="96"/>
    </row>
    <row r="7" spans="1:11">
      <c r="A7" s="363"/>
      <c r="B7" s="458"/>
      <c r="C7" s="43"/>
      <c r="D7" s="43"/>
      <c r="E7" s="43"/>
      <c r="F7" s="48"/>
      <c r="G7" s="43"/>
      <c r="H7" s="43"/>
      <c r="I7" s="43"/>
      <c r="J7" s="43"/>
      <c r="K7" s="96"/>
    </row>
    <row r="8" spans="1:11">
      <c r="A8" s="363"/>
      <c r="B8" s="458"/>
      <c r="C8" s="43"/>
      <c r="D8" s="43"/>
      <c r="E8" s="43"/>
      <c r="F8" s="48"/>
      <c r="G8" s="43"/>
      <c r="H8" s="928"/>
      <c r="I8" s="157"/>
      <c r="J8" s="43"/>
      <c r="K8" s="96"/>
    </row>
    <row r="9" spans="1:11">
      <c r="A9" s="363" t="s">
        <v>174</v>
      </c>
      <c r="B9" s="49">
        <f>IF(ISERROR('SEAP template'!Q78),0,'SEAP template'!Q78)</f>
        <v>1497.1764705882354</v>
      </c>
      <c r="C9" s="43" t="s">
        <v>173</v>
      </c>
      <c r="D9" s="43"/>
      <c r="E9" s="43"/>
      <c r="F9" s="43"/>
      <c r="G9" s="43"/>
      <c r="H9" s="43"/>
      <c r="I9" s="43"/>
      <c r="J9" s="43"/>
      <c r="K9" s="96"/>
    </row>
    <row r="10" spans="1:11">
      <c r="A10" s="363" t="s">
        <v>415</v>
      </c>
      <c r="B10" s="48">
        <v>0</v>
      </c>
      <c r="C10" s="43" t="s">
        <v>173</v>
      </c>
      <c r="D10" s="156"/>
      <c r="E10" s="43"/>
      <c r="F10" s="43"/>
      <c r="G10" s="43"/>
      <c r="H10" s="43"/>
      <c r="I10" s="43"/>
      <c r="J10" s="43"/>
      <c r="K10" s="96"/>
    </row>
    <row r="11" spans="1:11">
      <c r="A11" s="363"/>
      <c r="B11" s="458"/>
      <c r="C11" s="43"/>
      <c r="D11" s="43"/>
      <c r="E11" s="43"/>
      <c r="F11" s="43"/>
      <c r="G11" s="43"/>
      <c r="H11" s="43"/>
      <c r="I11" s="43"/>
      <c r="J11" s="43"/>
      <c r="K11" s="96"/>
    </row>
    <row r="12" spans="1:11">
      <c r="A12" s="364" t="s">
        <v>175</v>
      </c>
      <c r="B12" s="539">
        <f ca="1">IF((B4+B5)&gt;B3,(B9+B10)/(B4+B5),((B3-B4-B5)*B6+B9+B10)/B3)</f>
        <v>0.20516911332571913</v>
      </c>
      <c r="C12" s="43" t="s">
        <v>172</v>
      </c>
      <c r="D12" s="43"/>
      <c r="E12" s="156"/>
      <c r="F12" s="43"/>
      <c r="G12" s="43"/>
      <c r="H12" s="43"/>
      <c r="I12" s="43"/>
      <c r="J12" s="43"/>
      <c r="K12" s="96"/>
    </row>
    <row r="13" spans="1:11" ht="15.75" thickBot="1">
      <c r="A13" s="365"/>
      <c r="B13" s="108"/>
      <c r="C13" s="108"/>
      <c r="D13" s="108"/>
      <c r="E13" s="108"/>
      <c r="F13" s="108"/>
      <c r="G13" s="108"/>
      <c r="H13" s="108"/>
      <c r="I13" s="108"/>
      <c r="J13" s="108"/>
      <c r="K13" s="109"/>
    </row>
    <row r="14" spans="1:11" s="43" customFormat="1" ht="15.75" thickBot="1">
      <c r="A14" s="338"/>
    </row>
    <row r="15" spans="1:11">
      <c r="A15" s="366" t="s">
        <v>494</v>
      </c>
      <c r="B15" s="202"/>
      <c r="C15" s="202"/>
      <c r="D15" s="202"/>
      <c r="E15" s="202"/>
      <c r="F15" s="202"/>
      <c r="G15" s="202"/>
      <c r="H15" s="202"/>
      <c r="I15" s="202"/>
      <c r="J15" s="202"/>
      <c r="K15" s="203"/>
    </row>
    <row r="16" spans="1:11">
      <c r="A16" s="363"/>
      <c r="B16" s="43"/>
      <c r="C16" s="43"/>
      <c r="D16" s="43"/>
      <c r="E16" s="43"/>
      <c r="F16" s="43"/>
      <c r="G16" s="43"/>
      <c r="H16" s="43"/>
      <c r="I16" s="43"/>
      <c r="J16" s="43"/>
      <c r="K16" s="96"/>
    </row>
    <row r="17" spans="1:11">
      <c r="A17" s="363" t="s">
        <v>176</v>
      </c>
      <c r="B17" s="49">
        <f>IF(ISERROR('SEAP template'!Q90),0,'SEAP template'!Q90)</f>
        <v>2138.8235294117649</v>
      </c>
      <c r="C17" s="43" t="s">
        <v>173</v>
      </c>
      <c r="D17" s="43"/>
      <c r="E17" s="43"/>
      <c r="F17" s="43"/>
      <c r="G17" s="43"/>
      <c r="H17" s="43"/>
      <c r="I17" s="43"/>
      <c r="J17" s="43"/>
      <c r="K17" s="96"/>
    </row>
    <row r="18" spans="1:11">
      <c r="A18" s="363" t="s">
        <v>177</v>
      </c>
      <c r="B18" s="49">
        <f>IF(ISERROR('Eigen informatie GS &amp; warmtenet'!B52),0,'Eigen informatie GS &amp; warmtenet'!B52)</f>
        <v>0</v>
      </c>
      <c r="C18" s="43" t="s">
        <v>173</v>
      </c>
      <c r="D18" s="43"/>
      <c r="E18" s="43"/>
      <c r="F18" s="43"/>
      <c r="G18" s="43"/>
      <c r="H18" s="43"/>
      <c r="I18" s="43"/>
      <c r="J18" s="43"/>
      <c r="K18" s="96"/>
    </row>
    <row r="19" spans="1:11">
      <c r="A19" s="363" t="s">
        <v>301</v>
      </c>
      <c r="B19" s="49">
        <f>IF(ISERROR('Eigen informatie GS &amp; warmtenet'!B53),0,'Eigen informatie GS &amp; warmtenet'!B53)</f>
        <v>0</v>
      </c>
      <c r="C19" s="43" t="s">
        <v>173</v>
      </c>
      <c r="D19" s="43"/>
      <c r="E19" s="43"/>
      <c r="F19" s="43"/>
      <c r="G19" s="43"/>
      <c r="H19" s="43"/>
      <c r="I19" s="43"/>
      <c r="J19" s="43"/>
      <c r="K19" s="96"/>
    </row>
    <row r="20" spans="1:11">
      <c r="A20" s="363" t="s">
        <v>512</v>
      </c>
      <c r="B20" s="49">
        <f ca="1">IF(ISERROR('SEAP template'!D27),0,('SEAP template'!D27))</f>
        <v>9000</v>
      </c>
      <c r="C20" s="43" t="s">
        <v>169</v>
      </c>
      <c r="D20" s="43"/>
      <c r="E20" s="156"/>
      <c r="F20" s="156"/>
      <c r="G20" s="43"/>
      <c r="H20" s="43"/>
      <c r="I20" s="43"/>
      <c r="J20" s="43"/>
      <c r="K20" s="96"/>
    </row>
    <row r="21" spans="1:11">
      <c r="A21" s="363"/>
      <c r="B21" s="43"/>
      <c r="C21" s="43"/>
      <c r="D21" s="43"/>
      <c r="E21" s="43"/>
      <c r="F21" s="43"/>
      <c r="G21" s="43"/>
      <c r="H21" s="43"/>
      <c r="I21" s="43"/>
      <c r="J21" s="43"/>
      <c r="K21" s="96"/>
    </row>
    <row r="22" spans="1:11" s="43" customFormat="1">
      <c r="A22" s="364" t="s">
        <v>178</v>
      </c>
      <c r="B22" s="541">
        <f ca="1">IF(B20=0,0,(B17+B18-B19)/B20)</f>
        <v>0.23764705882352943</v>
      </c>
      <c r="C22" s="43" t="s">
        <v>172</v>
      </c>
      <c r="K22" s="96"/>
    </row>
    <row r="23" spans="1:11" ht="15.75" thickBot="1">
      <c r="A23" s="365"/>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316" bestFit="1" customWidth="1"/>
    <col min="2" max="2" width="16.7109375" style="316" bestFit="1" customWidth="1"/>
    <col min="3" max="3" width="24.42578125" style="316" bestFit="1" customWidth="1"/>
    <col min="4" max="4" width="24.28515625" style="316" bestFit="1" customWidth="1"/>
    <col min="5" max="5" width="13.28515625" style="316" bestFit="1" customWidth="1"/>
    <col min="6" max="6" width="38.7109375" style="15" bestFit="1" customWidth="1"/>
    <col min="7" max="16384" width="9.140625" style="15"/>
  </cols>
  <sheetData>
    <row r="1" spans="1:8">
      <c r="A1" s="881" t="s">
        <v>721</v>
      </c>
      <c r="B1" s="881" t="s">
        <v>307</v>
      </c>
      <c r="C1" s="881" t="s">
        <v>311</v>
      </c>
      <c r="D1" s="881" t="s">
        <v>312</v>
      </c>
      <c r="E1" s="881" t="s">
        <v>313</v>
      </c>
      <c r="F1" s="881" t="s">
        <v>314</v>
      </c>
      <c r="G1" s="316"/>
      <c r="H1" s="1074" t="s">
        <v>906</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63">
        <v>1.269E-8</v>
      </c>
      <c r="G2" s="881"/>
    </row>
    <row r="3" spans="1:8">
      <c r="A3" s="316" t="str">
        <f>CONCATENATE(TableECFTransport[[#This Row],[Voertuigtype]],"_",TableECFTransport[[#This Row],[Wegtype]],"_",TableECFTransport[[#This Row],[Brandstoftechnologie]],"_",TableECFTransport[[#This Row],[Brandstof]])</f>
        <v>BUS_Genummerde wegen_Diesel_Diesel</v>
      </c>
      <c r="B3" s="911" t="s">
        <v>730</v>
      </c>
      <c r="C3" s="911" t="s">
        <v>63</v>
      </c>
      <c r="D3" s="911" t="s">
        <v>201</v>
      </c>
      <c r="E3" s="911" t="s">
        <v>201</v>
      </c>
      <c r="F3" s="1068">
        <v>9.6932499999999998E-9</v>
      </c>
    </row>
    <row r="4" spans="1:8">
      <c r="A4" s="316" t="str">
        <f>CONCATENATE(TableECFTransport[[#This Row],[Voertuigtype]],"_",TableECFTransport[[#This Row],[Wegtype]],"_",TableECFTransport[[#This Row],[Brandstoftechnologie]],"_",TableECFTransport[[#This Row],[Brandstof]])</f>
        <v>BUS_Niet-genummerde wegen_Diesel_Diesel</v>
      </c>
      <c r="B4" s="911" t="s">
        <v>730</v>
      </c>
      <c r="C4" s="911" t="s">
        <v>64</v>
      </c>
      <c r="D4" s="911" t="s">
        <v>201</v>
      </c>
      <c r="E4" s="911" t="s">
        <v>201</v>
      </c>
      <c r="F4" s="1068">
        <v>1.7533600000000002E-8</v>
      </c>
    </row>
    <row r="5" spans="1:8" s="881" customFormat="1">
      <c r="A5" s="316" t="str">
        <f>CONCATENATE(TableECFTransport[[#This Row],[Voertuigtype]],"_",TableECFTransport[[#This Row],[Wegtype]],"_",TableECFTransport[[#This Row],[Brandstoftechnologie]],"_",TableECFTransport[[#This Row],[Brandstof]])</f>
        <v>BUS_Genummerde wegen_Diesel Hybrid CS_Diesel</v>
      </c>
      <c r="B5" s="911" t="s">
        <v>730</v>
      </c>
      <c r="C5" s="911" t="s">
        <v>63</v>
      </c>
      <c r="D5" s="910" t="s">
        <v>316</v>
      </c>
      <c r="E5" s="911" t="s">
        <v>201</v>
      </c>
      <c r="F5" s="1068">
        <v>9.6932499999999998E-9</v>
      </c>
    </row>
    <row r="6" spans="1:8" s="881" customFormat="1">
      <c r="A6" s="316" t="str">
        <f>CONCATENATE(TableECFTransport[[#This Row],[Voertuigtype]],"_",TableECFTransport[[#This Row],[Wegtype]],"_",TableECFTransport[[#This Row],[Brandstoftechnologie]],"_",TableECFTransport[[#This Row],[Brandstof]])</f>
        <v>BUS_Niet-genummerde wegen_Diesel Hybrid CS_Diesel</v>
      </c>
      <c r="B6" s="911" t="s">
        <v>730</v>
      </c>
      <c r="C6" s="911" t="s">
        <v>64</v>
      </c>
      <c r="D6" s="910" t="s">
        <v>316</v>
      </c>
      <c r="E6" s="911" t="s">
        <v>201</v>
      </c>
      <c r="F6" s="1068">
        <v>1.7533600000000002E-8</v>
      </c>
    </row>
    <row r="7" spans="1:8">
      <c r="A7" s="316" t="str">
        <f>CONCATENATE(TableECFTransport[[#This Row],[Voertuigtype]],"_",TableECFTransport[[#This Row],[Wegtype]],"_",TableECFTransport[[#This Row],[Brandstoftechnologie]],"_",TableECFTransport[[#This Row],[Brandstof]])</f>
        <v>Lichte voertuigen_Genummerde wegen_CNG_CNG</v>
      </c>
      <c r="B7" s="916" t="s">
        <v>722</v>
      </c>
      <c r="C7" s="916" t="s">
        <v>63</v>
      </c>
      <c r="D7" s="916" t="s">
        <v>308</v>
      </c>
      <c r="E7" s="916" t="s">
        <v>308</v>
      </c>
      <c r="F7" s="1054">
        <v>2.54163E-9</v>
      </c>
    </row>
    <row r="8" spans="1:8">
      <c r="A8" s="316" t="str">
        <f>CONCATENATE(TableECFTransport[[#This Row],[Voertuigtype]],"_",TableECFTransport[[#This Row],[Wegtype]],"_",TableECFTransport[[#This Row],[Brandstoftechnologie]],"_",TableECFTransport[[#This Row],[Brandstof]])</f>
        <v>Lichte voertuigen_Genummerde wegen_Diesel_Diesel</v>
      </c>
      <c r="B8" s="916" t="s">
        <v>722</v>
      </c>
      <c r="C8" s="916" t="s">
        <v>63</v>
      </c>
      <c r="D8" s="916" t="s">
        <v>201</v>
      </c>
      <c r="E8" s="916" t="s">
        <v>201</v>
      </c>
      <c r="F8" s="1054">
        <v>2.1884E-9</v>
      </c>
    </row>
    <row r="9" spans="1:8">
      <c r="A9" s="316" t="str">
        <f>CONCATENATE(TableECFTransport[[#This Row],[Voertuigtype]],"_",TableECFTransport[[#This Row],[Wegtype]],"_",TableECFTransport[[#This Row],[Brandstoftechnologie]],"_",TableECFTransport[[#This Row],[Brandstof]])</f>
        <v>Lichte voertuigen_Genummerde wegen_E85_E85</v>
      </c>
      <c r="B9" s="916" t="s">
        <v>722</v>
      </c>
      <c r="C9" s="916" t="s">
        <v>63</v>
      </c>
      <c r="D9" s="916" t="s">
        <v>670</v>
      </c>
      <c r="E9" s="916" t="s">
        <v>670</v>
      </c>
      <c r="F9" s="1054">
        <v>2.2055500000000001E-9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916" t="s">
        <v>722</v>
      </c>
      <c r="C10" s="916" t="s">
        <v>63</v>
      </c>
      <c r="D10" s="916" t="s">
        <v>309</v>
      </c>
      <c r="E10" s="916" t="s">
        <v>309</v>
      </c>
      <c r="F10" s="1054">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916" t="s">
        <v>722</v>
      </c>
      <c r="C11" s="916" t="s">
        <v>63</v>
      </c>
      <c r="D11" s="916" t="s">
        <v>118</v>
      </c>
      <c r="E11" s="916" t="s">
        <v>118</v>
      </c>
      <c r="F11" s="1054">
        <v>2.23953E-9</v>
      </c>
    </row>
    <row r="12" spans="1:8">
      <c r="A12" s="316" t="str">
        <f>CONCATENATE(TableECFTransport[[#This Row],[Voertuigtype]],"_",TableECFTransport[[#This Row],[Wegtype]],"_",TableECFTransport[[#This Row],[Brandstoftechnologie]],"_",TableECFTransport[[#This Row],[Brandstof]])</f>
        <v>Lichte voertuigen_Genummerde wegen_Petrol_Petrol</v>
      </c>
      <c r="B12" s="916" t="s">
        <v>722</v>
      </c>
      <c r="C12" s="916" t="s">
        <v>63</v>
      </c>
      <c r="D12" s="916" t="s">
        <v>310</v>
      </c>
      <c r="E12" s="916" t="s">
        <v>310</v>
      </c>
      <c r="F12" s="1054">
        <v>2.2055500000000001E-9</v>
      </c>
    </row>
    <row r="13" spans="1:8">
      <c r="A13" s="316" t="str">
        <f>CONCATENATE(TableECFTransport[[#This Row],[Voertuigtype]],"_",TableECFTransport[[#This Row],[Wegtype]],"_",TableECFTransport[[#This Row],[Brandstoftechnologie]],"_",TableECFTransport[[#This Row],[Brandstof]])</f>
        <v>Lichte voertuigen_Genummerde wegen_Petrol Hybrid_Petrol</v>
      </c>
      <c r="B13" s="916" t="s">
        <v>722</v>
      </c>
      <c r="C13" s="916" t="s">
        <v>63</v>
      </c>
      <c r="D13" s="916" t="s">
        <v>732</v>
      </c>
      <c r="E13" s="916" t="s">
        <v>310</v>
      </c>
      <c r="F13" s="1054">
        <v>1.48151E-9</v>
      </c>
    </row>
    <row r="14" spans="1:8">
      <c r="A14" s="316" t="str">
        <f>CONCATENATE(TableECFTransport[[#This Row],[Voertuigtype]],"_",TableECFTransport[[#This Row],[Wegtype]],"_",TableECFTransport[[#This Row],[Brandstoftechnologie]],"_",TableECFTransport[[#This Row],[Brandstof]])</f>
        <v>Lichte voertuigen_Niet-genummerde wegen_CNG_CNG</v>
      </c>
      <c r="B14" s="916" t="s">
        <v>722</v>
      </c>
      <c r="C14" s="916" t="s">
        <v>64</v>
      </c>
      <c r="D14" s="916" t="s">
        <v>308</v>
      </c>
      <c r="E14" s="916" t="s">
        <v>308</v>
      </c>
      <c r="F14" s="1054">
        <v>4.3132100000000002E-9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916" t="s">
        <v>722</v>
      </c>
      <c r="C15" s="916" t="s">
        <v>64</v>
      </c>
      <c r="D15" s="916" t="s">
        <v>201</v>
      </c>
      <c r="E15" s="916" t="s">
        <v>201</v>
      </c>
      <c r="F15" s="1054">
        <v>3.3357399999999999E-9</v>
      </c>
    </row>
    <row r="16" spans="1:8">
      <c r="A16" s="316" t="str">
        <f>CONCATENATE(TableECFTransport[[#This Row],[Voertuigtype]],"_",TableECFTransport[[#This Row],[Wegtype]],"_",TableECFTransport[[#This Row],[Brandstoftechnologie]],"_",TableECFTransport[[#This Row],[Brandstof]])</f>
        <v>Lichte voertuigen_Niet-genummerde wegen_E85_E85</v>
      </c>
      <c r="B16" s="916" t="s">
        <v>722</v>
      </c>
      <c r="C16" s="916" t="s">
        <v>64</v>
      </c>
      <c r="D16" s="916" t="s">
        <v>670</v>
      </c>
      <c r="E16" s="916" t="s">
        <v>670</v>
      </c>
      <c r="F16" s="1054">
        <v>3.5965700000000001E-9</v>
      </c>
    </row>
    <row r="17" spans="1:6">
      <c r="A17" s="316" t="str">
        <f>CONCATENATE(TableECFTransport[[#This Row],[Voertuigtype]],"_",TableECFTransport[[#This Row],[Wegtype]],"_",TableECFTransport[[#This Row],[Brandstoftechnologie]],"_",TableECFTransport[[#This Row],[Brandstof]])</f>
        <v>Lichte voertuigen_Niet-genummerde wegen_Electric_Electric</v>
      </c>
      <c r="B17" s="916" t="s">
        <v>722</v>
      </c>
      <c r="C17" s="916" t="s">
        <v>64</v>
      </c>
      <c r="D17" s="916" t="s">
        <v>309</v>
      </c>
      <c r="E17" s="916" t="s">
        <v>309</v>
      </c>
      <c r="F17" s="1054">
        <v>8.4999999999999996E-10</v>
      </c>
    </row>
    <row r="18" spans="1:6">
      <c r="A18" s="316" t="str">
        <f>CONCATENATE(TableECFTransport[[#This Row],[Voertuigtype]],"_",TableECFTransport[[#This Row],[Wegtype]],"_",TableECFTransport[[#This Row],[Brandstoftechnologie]],"_",TableECFTransport[[#This Row],[Brandstof]])</f>
        <v>Lichte voertuigen_Niet-genummerde wegen_LPG_LPG</v>
      </c>
      <c r="B18" s="916" t="s">
        <v>722</v>
      </c>
      <c r="C18" s="916" t="s">
        <v>64</v>
      </c>
      <c r="D18" s="916" t="s">
        <v>118</v>
      </c>
      <c r="E18" s="916" t="s">
        <v>118</v>
      </c>
      <c r="F18" s="1054">
        <v>3.5936499999999999E-9</v>
      </c>
    </row>
    <row r="19" spans="1:6">
      <c r="A19" s="316" t="str">
        <f>CONCATENATE(TableECFTransport[[#This Row],[Voertuigtype]],"_",TableECFTransport[[#This Row],[Wegtype]],"_",TableECFTransport[[#This Row],[Brandstoftechnologie]],"_",TableECFTransport[[#This Row],[Brandstof]])</f>
        <v>Lichte voertuigen_Niet-genummerde wegen_Petrol_Petrol</v>
      </c>
      <c r="B19" s="916" t="s">
        <v>722</v>
      </c>
      <c r="C19" s="916" t="s">
        <v>64</v>
      </c>
      <c r="D19" s="916" t="s">
        <v>310</v>
      </c>
      <c r="E19" s="916" t="s">
        <v>310</v>
      </c>
      <c r="F19" s="1054">
        <v>3.5965700000000001E-9</v>
      </c>
    </row>
    <row r="20" spans="1:6">
      <c r="A20" s="316" t="str">
        <f>CONCATENATE(TableECFTransport[[#This Row],[Voertuigtype]],"_",TableECFTransport[[#This Row],[Wegtype]],"_",TableECFTransport[[#This Row],[Brandstoftechnologie]],"_",TableECFTransport[[#This Row],[Brandstof]])</f>
        <v>Lichte voertuigen_Niet-genummerde wegen_Petrol Hybrid_Petrol</v>
      </c>
      <c r="B20" s="916" t="s">
        <v>722</v>
      </c>
      <c r="C20" s="916" t="s">
        <v>64</v>
      </c>
      <c r="D20" s="916" t="s">
        <v>732</v>
      </c>
      <c r="E20" s="916" t="s">
        <v>310</v>
      </c>
      <c r="F20" s="1054">
        <v>2.56354E-9</v>
      </c>
    </row>
    <row r="21" spans="1:6">
      <c r="A21" s="316" t="str">
        <f>CONCATENATE(TableECFTransport[[#This Row],[Voertuigtype]],"_",TableECFTransport[[#This Row],[Wegtype]],"_",TableECFTransport[[#This Row],[Brandstoftechnologie]],"_",TableECFTransport[[#This Row],[Brandstof]])</f>
        <v>Lichte voertuigen_snelwegen_CNG_CNG</v>
      </c>
      <c r="B21" s="916" t="s">
        <v>722</v>
      </c>
      <c r="C21" s="916" t="s">
        <v>731</v>
      </c>
      <c r="D21" s="916" t="s">
        <v>308</v>
      </c>
      <c r="E21" s="916" t="s">
        <v>308</v>
      </c>
      <c r="F21" s="1054">
        <v>2.5369999999999998E-9</v>
      </c>
    </row>
    <row r="22" spans="1:6">
      <c r="A22" s="316" t="str">
        <f>CONCATENATE(TableECFTransport[[#This Row],[Voertuigtype]],"_",TableECFTransport[[#This Row],[Wegtype]],"_",TableECFTransport[[#This Row],[Brandstoftechnologie]],"_",TableECFTransport[[#This Row],[Brandstof]])</f>
        <v>Lichte voertuigen_snelwegen_Diesel_Diesel</v>
      </c>
      <c r="B22" s="916" t="s">
        <v>722</v>
      </c>
      <c r="C22" s="916" t="s">
        <v>731</v>
      </c>
      <c r="D22" s="916" t="s">
        <v>201</v>
      </c>
      <c r="E22" s="916" t="s">
        <v>201</v>
      </c>
      <c r="F22" s="1054">
        <v>2.4721000000000002E-9</v>
      </c>
    </row>
    <row r="23" spans="1:6">
      <c r="A23" s="316" t="str">
        <f>CONCATENATE(TableECFTransport[[#This Row],[Voertuigtype]],"_",TableECFTransport[[#This Row],[Wegtype]],"_",TableECFTransport[[#This Row],[Brandstoftechnologie]],"_",TableECFTransport[[#This Row],[Brandstof]])</f>
        <v>Lichte voertuigen_snelwegen_E85_E85</v>
      </c>
      <c r="B23" s="916" t="s">
        <v>722</v>
      </c>
      <c r="C23" s="916" t="s">
        <v>731</v>
      </c>
      <c r="D23" s="916" t="s">
        <v>670</v>
      </c>
      <c r="E23" s="916" t="s">
        <v>670</v>
      </c>
      <c r="F23" s="1054">
        <v>2.3064400000000002E-9</v>
      </c>
    </row>
    <row r="24" spans="1:6">
      <c r="A24" s="316" t="str">
        <f>CONCATENATE(TableECFTransport[[#This Row],[Voertuigtype]],"_",TableECFTransport[[#This Row],[Wegtype]],"_",TableECFTransport[[#This Row],[Brandstoftechnologie]],"_",TableECFTransport[[#This Row],[Brandstof]])</f>
        <v>Lichte voertuigen_snelwegen_Electric_Electric</v>
      </c>
      <c r="B24" s="916" t="s">
        <v>722</v>
      </c>
      <c r="C24" s="916" t="s">
        <v>731</v>
      </c>
      <c r="D24" s="916" t="s">
        <v>309</v>
      </c>
      <c r="E24" s="916" t="s">
        <v>309</v>
      </c>
      <c r="F24" s="1054">
        <v>8.4999999999999996E-10</v>
      </c>
    </row>
    <row r="25" spans="1:6">
      <c r="A25" s="316" t="str">
        <f>CONCATENATE(TableECFTransport[[#This Row],[Voertuigtype]],"_",TableECFTransport[[#This Row],[Wegtype]],"_",TableECFTransport[[#This Row],[Brandstoftechnologie]],"_",TableECFTransport[[#This Row],[Brandstof]])</f>
        <v>Lichte voertuigen_snelwegen_LPG_LPG</v>
      </c>
      <c r="B25" s="916" t="s">
        <v>722</v>
      </c>
      <c r="C25" s="916" t="s">
        <v>731</v>
      </c>
      <c r="D25" s="916" t="s">
        <v>118</v>
      </c>
      <c r="E25" s="916" t="s">
        <v>118</v>
      </c>
      <c r="F25" s="1054">
        <v>2.7906999999999999E-9</v>
      </c>
    </row>
    <row r="26" spans="1:6">
      <c r="A26" s="316" t="str">
        <f>CONCATENATE(TableECFTransport[[#This Row],[Voertuigtype]],"_",TableECFTransport[[#This Row],[Wegtype]],"_",TableECFTransport[[#This Row],[Brandstoftechnologie]],"_",TableECFTransport[[#This Row],[Brandstof]])</f>
        <v>Lichte voertuigen_snelwegen_Petrol_Petrol</v>
      </c>
      <c r="B26" s="916" t="s">
        <v>722</v>
      </c>
      <c r="C26" s="916" t="s">
        <v>731</v>
      </c>
      <c r="D26" s="916" t="s">
        <v>310</v>
      </c>
      <c r="E26" s="916" t="s">
        <v>310</v>
      </c>
      <c r="F26" s="1054">
        <v>2.3064400000000002E-9</v>
      </c>
    </row>
    <row r="27" spans="1:6">
      <c r="A27" s="316" t="str">
        <f>CONCATENATE(TableECFTransport[[#This Row],[Voertuigtype]],"_",TableECFTransport[[#This Row],[Wegtype]],"_",TableECFTransport[[#This Row],[Brandstoftechnologie]],"_",TableECFTransport[[#This Row],[Brandstof]])</f>
        <v>Lichte voertuigen_snelwegen_Petrol Hybrid_Petrol</v>
      </c>
      <c r="B27" s="916" t="s">
        <v>722</v>
      </c>
      <c r="C27" s="916" t="s">
        <v>731</v>
      </c>
      <c r="D27" s="916" t="s">
        <v>732</v>
      </c>
      <c r="E27" s="916" t="s">
        <v>310</v>
      </c>
      <c r="F27" s="1054">
        <v>1.82722E-9</v>
      </c>
    </row>
    <row r="28" spans="1:6">
      <c r="A28" s="316" t="str">
        <f>CONCATENATE(TableECFTransport[[#This Row],[Voertuigtype]],"_",TableECFTransport[[#This Row],[Wegtype]],"_",TableECFTransport[[#This Row],[Brandstoftechnologie]],"_",TableECFTransport[[#This Row],[Brandstof]])</f>
        <v>Zware voertuigen_Genummerde wegen_Diesel_Diesel</v>
      </c>
      <c r="B28" s="916" t="s">
        <v>724</v>
      </c>
      <c r="C28" s="916" t="s">
        <v>63</v>
      </c>
      <c r="D28" s="916" t="s">
        <v>201</v>
      </c>
      <c r="E28" s="916" t="s">
        <v>201</v>
      </c>
      <c r="F28" s="1054">
        <v>9.8960399999999993E-9</v>
      </c>
    </row>
    <row r="29" spans="1:6">
      <c r="A29" s="316" t="str">
        <f>CONCATENATE(TableECFTransport[[#This Row],[Voertuigtype]],"_",TableECFTransport[[#This Row],[Wegtype]],"_",TableECFTransport[[#This Row],[Brandstoftechnologie]],"_",TableECFTransport[[#This Row],[Brandstof]])</f>
        <v>Zware voertuigen_Genummerde wegen_Petrol_Petrol</v>
      </c>
      <c r="B29" s="916" t="s">
        <v>724</v>
      </c>
      <c r="C29" s="916" t="s">
        <v>63</v>
      </c>
      <c r="D29" s="916" t="s">
        <v>310</v>
      </c>
      <c r="E29" s="916" t="s">
        <v>310</v>
      </c>
      <c r="F29" s="1054">
        <v>6.4740900000000003E-9</v>
      </c>
    </row>
    <row r="30" spans="1:6">
      <c r="A30" s="316" t="str">
        <f>CONCATENATE(TableECFTransport[[#This Row],[Voertuigtype]],"_",TableECFTransport[[#This Row],[Wegtype]],"_",TableECFTransport[[#This Row],[Brandstoftechnologie]],"_",TableECFTransport[[#This Row],[Brandstof]])</f>
        <v>Zware voertuigen_Niet-genummerde wegen_Diesel_Diesel</v>
      </c>
      <c r="B30" s="916" t="s">
        <v>724</v>
      </c>
      <c r="C30" s="916" t="s">
        <v>64</v>
      </c>
      <c r="D30" s="916" t="s">
        <v>201</v>
      </c>
      <c r="E30" s="916" t="s">
        <v>201</v>
      </c>
      <c r="F30" s="1054">
        <v>1.27825E-8</v>
      </c>
    </row>
    <row r="31" spans="1:6">
      <c r="A31" s="316" t="str">
        <f>CONCATENATE(TableECFTransport[[#This Row],[Voertuigtype]],"_",TableECFTransport[[#This Row],[Wegtype]],"_",TableECFTransport[[#This Row],[Brandstoftechnologie]],"_",TableECFTransport[[#This Row],[Brandstof]])</f>
        <v>Zware voertuigen_Niet-genummerde wegen_Petrol_Petrol</v>
      </c>
      <c r="B31" s="916" t="s">
        <v>724</v>
      </c>
      <c r="C31" s="916" t="s">
        <v>64</v>
      </c>
      <c r="D31" s="916" t="s">
        <v>310</v>
      </c>
      <c r="E31" s="916" t="s">
        <v>310</v>
      </c>
      <c r="F31" s="1054">
        <v>9.6928299999999999E-9</v>
      </c>
    </row>
    <row r="32" spans="1:6">
      <c r="A32" s="316" t="str">
        <f>CONCATENATE(TableECFTransport[[#This Row],[Voertuigtype]],"_",TableECFTransport[[#This Row],[Wegtype]],"_",TableECFTransport[[#This Row],[Brandstoftechnologie]],"_",TableECFTransport[[#This Row],[Brandstof]])</f>
        <v>Zware voertuigen_snelwegen_Diesel_Diesel</v>
      </c>
      <c r="B32" s="916" t="s">
        <v>724</v>
      </c>
      <c r="C32" s="916" t="s">
        <v>731</v>
      </c>
      <c r="D32" s="916" t="s">
        <v>201</v>
      </c>
      <c r="E32" s="916" t="s">
        <v>201</v>
      </c>
      <c r="F32" s="1054">
        <v>9.4456499999999999E-9</v>
      </c>
    </row>
    <row r="33" spans="1:6">
      <c r="A33" s="316" t="str">
        <f>CONCATENATE(TableECFTransport[[#This Row],[Voertuigtype]],"_",TableECFTransport[[#This Row],[Wegtype]],"_",TableECFTransport[[#This Row],[Brandstoftechnologie]],"_",TableECFTransport[[#This Row],[Brandstof]])</f>
        <v>Zware voertuigen_snelwegen_Petrol_Petrol</v>
      </c>
      <c r="B33" s="916" t="s">
        <v>724</v>
      </c>
      <c r="C33" s="916" t="s">
        <v>731</v>
      </c>
      <c r="D33" s="916" t="s">
        <v>310</v>
      </c>
      <c r="E33" s="916" t="s">
        <v>310</v>
      </c>
      <c r="F33" s="1054">
        <v>6.5914600000000003E-9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46"/>
  <sheetViews>
    <sheetView showGridLines="0" zoomScale="80" zoomScaleNormal="80" workbookViewId="0">
      <pane xSplit="2" ySplit="4" topLeftCell="N5" activePane="bottomRight" state="frozen"/>
      <selection activeCell="B35" sqref="B35"/>
      <selection pane="topRight" activeCell="B35" sqref="B35"/>
      <selection pane="bottomLeft" activeCell="B35" sqref="B35"/>
      <selection pane="bottomRight" activeCell="AD20" sqref="AD20"/>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202">
        <v>2013</v>
      </c>
      <c r="B1" s="1203"/>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4"/>
      <c r="B2" s="1205"/>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4"/>
      <c r="B3" s="1205"/>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394</v>
      </c>
      <c r="B5" s="150" t="s">
        <v>746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154</v>
      </c>
      <c r="B7" s="217"/>
      <c r="C7" s="853">
        <v>0</v>
      </c>
      <c r="D7" s="853">
        <v>2.3868542863772446</v>
      </c>
      <c r="E7" s="853">
        <v>0</v>
      </c>
      <c r="F7" s="854">
        <v>2.3868542863772446</v>
      </c>
      <c r="G7" s="853">
        <v>0</v>
      </c>
      <c r="H7" s="853">
        <v>0</v>
      </c>
      <c r="I7" s="853">
        <v>2.01708</v>
      </c>
      <c r="J7" s="853">
        <v>0.63252628011792678</v>
      </c>
      <c r="K7" s="853">
        <v>0</v>
      </c>
      <c r="L7" s="853">
        <v>69.003865847814311</v>
      </c>
      <c r="M7" s="853">
        <v>0</v>
      </c>
      <c r="N7" s="853">
        <v>0</v>
      </c>
      <c r="O7" s="853">
        <v>0</v>
      </c>
      <c r="P7" s="853">
        <v>0</v>
      </c>
      <c r="Q7" s="853">
        <v>0</v>
      </c>
      <c r="R7" s="854">
        <v>71.653472127932233</v>
      </c>
      <c r="S7" s="853">
        <v>99.04902712177595</v>
      </c>
      <c r="T7" s="853">
        <v>0</v>
      </c>
      <c r="U7" s="853">
        <v>0</v>
      </c>
      <c r="V7" s="854">
        <v>99.04902712177595</v>
      </c>
      <c r="W7" s="854">
        <v>173.08935353608541</v>
      </c>
      <c r="X7" s="853">
        <v>0</v>
      </c>
      <c r="Y7" s="853">
        <v>15.051338101011122</v>
      </c>
      <c r="Z7" s="853">
        <v>41.417220448243533</v>
      </c>
      <c r="AA7" s="855">
        <v>0</v>
      </c>
      <c r="AB7" s="855">
        <v>0</v>
      </c>
      <c r="AC7" s="854">
        <v>229.55791208534006</v>
      </c>
    </row>
    <row r="8" spans="1:29">
      <c r="A8" s="218" t="s">
        <v>155</v>
      </c>
      <c r="B8" s="219"/>
      <c r="C8" s="856">
        <v>0</v>
      </c>
      <c r="D8" s="856">
        <v>0</v>
      </c>
      <c r="E8" s="856">
        <v>0</v>
      </c>
      <c r="F8" s="857">
        <v>0</v>
      </c>
      <c r="G8" s="856">
        <v>0</v>
      </c>
      <c r="H8" s="856">
        <v>0</v>
      </c>
      <c r="I8" s="856">
        <v>0.53582161979765419</v>
      </c>
      <c r="J8" s="856">
        <v>2.4245884124455891E-3</v>
      </c>
      <c r="K8" s="856">
        <v>0</v>
      </c>
      <c r="L8" s="856">
        <v>8.2904466789839741</v>
      </c>
      <c r="M8" s="856">
        <v>0</v>
      </c>
      <c r="N8" s="856">
        <v>0.45097566395144634</v>
      </c>
      <c r="O8" s="856">
        <v>0</v>
      </c>
      <c r="P8" s="856">
        <v>0</v>
      </c>
      <c r="Q8" s="856">
        <v>0</v>
      </c>
      <c r="R8" s="857">
        <v>9.2796685511455177</v>
      </c>
      <c r="S8" s="856">
        <v>49.30056179910941</v>
      </c>
      <c r="T8" s="856">
        <v>0</v>
      </c>
      <c r="U8" s="856">
        <v>0</v>
      </c>
      <c r="V8" s="857">
        <v>49.30056179910941</v>
      </c>
      <c r="W8" s="857">
        <v>58.580230350254922</v>
      </c>
      <c r="X8" s="856">
        <v>1.5570444743999998</v>
      </c>
      <c r="Y8" s="856">
        <v>3.5066275241602378</v>
      </c>
      <c r="Z8" s="856">
        <v>44.175068526008694</v>
      </c>
      <c r="AA8" s="858">
        <v>0</v>
      </c>
      <c r="AB8" s="858">
        <v>0</v>
      </c>
      <c r="AC8" s="857">
        <v>107.81897087482386</v>
      </c>
    </row>
    <row r="9" spans="1:29">
      <c r="A9" s="3"/>
      <c r="B9" s="6" t="s">
        <v>156</v>
      </c>
      <c r="C9" s="859">
        <v>0</v>
      </c>
      <c r="D9" s="859">
        <v>0</v>
      </c>
      <c r="E9" s="859">
        <v>0</v>
      </c>
      <c r="F9" s="860">
        <v>0</v>
      </c>
      <c r="G9" s="859">
        <v>0</v>
      </c>
      <c r="H9" s="859">
        <v>0</v>
      </c>
      <c r="I9" s="859">
        <v>0.26080138838814726</v>
      </c>
      <c r="J9" s="859">
        <v>0</v>
      </c>
      <c r="K9" s="859">
        <v>0</v>
      </c>
      <c r="L9" s="859">
        <v>1.3349751400238239</v>
      </c>
      <c r="M9" s="859">
        <v>0</v>
      </c>
      <c r="N9" s="859">
        <v>0</v>
      </c>
      <c r="O9" s="859">
        <v>0</v>
      </c>
      <c r="P9" s="859">
        <v>0</v>
      </c>
      <c r="Q9" s="859">
        <v>0</v>
      </c>
      <c r="R9" s="860">
        <v>1.5957765284119712</v>
      </c>
      <c r="S9" s="859">
        <v>5.793131100383345</v>
      </c>
      <c r="T9" s="859">
        <v>0</v>
      </c>
      <c r="U9" s="859">
        <v>0</v>
      </c>
      <c r="V9" s="860">
        <v>5.793131100383345</v>
      </c>
      <c r="W9" s="860">
        <v>7.3889076287953159</v>
      </c>
      <c r="X9" s="859">
        <v>0</v>
      </c>
      <c r="Y9" s="859">
        <v>1.2782809573360001E-3</v>
      </c>
      <c r="Z9" s="859">
        <v>4.6298624279783267</v>
      </c>
      <c r="AA9" s="861">
        <v>0</v>
      </c>
      <c r="AB9" s="861">
        <v>0</v>
      </c>
      <c r="AC9" s="860">
        <v>12.020048337730978</v>
      </c>
    </row>
    <row r="10" spans="1:29">
      <c r="A10" s="3"/>
      <c r="B10" s="6" t="s">
        <v>157</v>
      </c>
      <c r="C10" s="859">
        <v>0</v>
      </c>
      <c r="D10" s="859">
        <v>0</v>
      </c>
      <c r="E10" s="859">
        <v>0</v>
      </c>
      <c r="F10" s="860">
        <v>0</v>
      </c>
      <c r="G10" s="859">
        <v>0</v>
      </c>
      <c r="H10" s="859">
        <v>0</v>
      </c>
      <c r="I10" s="859">
        <v>3.5274434919006065E-3</v>
      </c>
      <c r="J10" s="859">
        <v>0</v>
      </c>
      <c r="K10" s="859">
        <v>0</v>
      </c>
      <c r="L10" s="859">
        <v>0.53866443807531716</v>
      </c>
      <c r="M10" s="859">
        <v>0</v>
      </c>
      <c r="N10" s="859">
        <v>0</v>
      </c>
      <c r="O10" s="859">
        <v>0</v>
      </c>
      <c r="P10" s="859">
        <v>0</v>
      </c>
      <c r="Q10" s="859">
        <v>0</v>
      </c>
      <c r="R10" s="860">
        <v>0.54219188156721776</v>
      </c>
      <c r="S10" s="859">
        <v>6.266994723980754</v>
      </c>
      <c r="T10" s="859">
        <v>0</v>
      </c>
      <c r="U10" s="859">
        <v>0</v>
      </c>
      <c r="V10" s="860">
        <v>6.266994723980754</v>
      </c>
      <c r="W10" s="860">
        <v>6.8091866055479713</v>
      </c>
      <c r="X10" s="859">
        <v>0</v>
      </c>
      <c r="Y10" s="859">
        <v>3.39927036E-2</v>
      </c>
      <c r="Z10" s="859">
        <v>3.3020483449438589</v>
      </c>
      <c r="AA10" s="861">
        <v>0</v>
      </c>
      <c r="AB10" s="861">
        <v>0</v>
      </c>
      <c r="AC10" s="860">
        <v>10.14522765409183</v>
      </c>
    </row>
    <row r="11" spans="1:29">
      <c r="A11" s="3"/>
      <c r="B11" s="6" t="s">
        <v>158</v>
      </c>
      <c r="C11" s="859">
        <v>0</v>
      </c>
      <c r="D11" s="859">
        <v>0</v>
      </c>
      <c r="E11" s="859">
        <v>0</v>
      </c>
      <c r="F11" s="860">
        <v>0</v>
      </c>
      <c r="G11" s="859">
        <v>0</v>
      </c>
      <c r="H11" s="859">
        <v>0</v>
      </c>
      <c r="I11" s="859">
        <v>1.6626642195656295E-3</v>
      </c>
      <c r="J11" s="859">
        <v>0</v>
      </c>
      <c r="K11" s="859">
        <v>0</v>
      </c>
      <c r="L11" s="859">
        <v>0.62962040553472209</v>
      </c>
      <c r="M11" s="859">
        <v>0</v>
      </c>
      <c r="N11" s="859">
        <v>0</v>
      </c>
      <c r="O11" s="859">
        <v>0</v>
      </c>
      <c r="P11" s="859">
        <v>0</v>
      </c>
      <c r="Q11" s="859">
        <v>0</v>
      </c>
      <c r="R11" s="860">
        <v>0.63128306975428772</v>
      </c>
      <c r="S11" s="859">
        <v>6.6086031695840513</v>
      </c>
      <c r="T11" s="859">
        <v>0</v>
      </c>
      <c r="U11" s="859">
        <v>0</v>
      </c>
      <c r="V11" s="860">
        <v>6.6086031695840513</v>
      </c>
      <c r="W11" s="860">
        <v>7.2398862393383387</v>
      </c>
      <c r="X11" s="859">
        <v>0</v>
      </c>
      <c r="Y11" s="859">
        <v>0</v>
      </c>
      <c r="Z11" s="859">
        <v>1.7923757481626643</v>
      </c>
      <c r="AA11" s="861">
        <v>0</v>
      </c>
      <c r="AB11" s="861">
        <v>0</v>
      </c>
      <c r="AC11" s="860">
        <v>9.0322619875010037</v>
      </c>
    </row>
    <row r="12" spans="1:29">
      <c r="A12" s="3"/>
      <c r="B12" s="6" t="s">
        <v>159</v>
      </c>
      <c r="C12" s="859">
        <v>0</v>
      </c>
      <c r="D12" s="859">
        <v>0</v>
      </c>
      <c r="E12" s="859">
        <v>0</v>
      </c>
      <c r="F12" s="860">
        <v>0</v>
      </c>
      <c r="G12" s="859">
        <v>0</v>
      </c>
      <c r="H12" s="859">
        <v>0</v>
      </c>
      <c r="I12" s="859">
        <v>6.5849510302898581E-2</v>
      </c>
      <c r="J12" s="859">
        <v>2.4245884124455891E-3</v>
      </c>
      <c r="K12" s="859">
        <v>0</v>
      </c>
      <c r="L12" s="859">
        <v>2.5777517612490848</v>
      </c>
      <c r="M12" s="859">
        <v>0</v>
      </c>
      <c r="N12" s="859">
        <v>0</v>
      </c>
      <c r="O12" s="859">
        <v>0</v>
      </c>
      <c r="P12" s="859">
        <v>0</v>
      </c>
      <c r="Q12" s="859">
        <v>0</v>
      </c>
      <c r="R12" s="860">
        <v>2.6460258599644289</v>
      </c>
      <c r="S12" s="859">
        <v>16.664538977986815</v>
      </c>
      <c r="T12" s="859">
        <v>0</v>
      </c>
      <c r="U12" s="859">
        <v>0</v>
      </c>
      <c r="V12" s="860">
        <v>16.664538977986815</v>
      </c>
      <c r="W12" s="860">
        <v>19.310564837951244</v>
      </c>
      <c r="X12" s="859">
        <v>0</v>
      </c>
      <c r="Y12" s="859">
        <v>9.3407956736920022E-3</v>
      </c>
      <c r="Z12" s="859">
        <v>16.948757282345547</v>
      </c>
      <c r="AA12" s="861">
        <v>0</v>
      </c>
      <c r="AB12" s="861">
        <v>0</v>
      </c>
      <c r="AC12" s="860">
        <v>36.268662915970481</v>
      </c>
    </row>
    <row r="13" spans="1:29">
      <c r="A13" s="3"/>
      <c r="B13" s="6" t="s">
        <v>160</v>
      </c>
      <c r="C13" s="859">
        <v>0</v>
      </c>
      <c r="D13" s="859">
        <v>0</v>
      </c>
      <c r="E13" s="859">
        <v>0</v>
      </c>
      <c r="F13" s="860">
        <v>0</v>
      </c>
      <c r="G13" s="859">
        <v>0</v>
      </c>
      <c r="H13" s="859">
        <v>0</v>
      </c>
      <c r="I13" s="859">
        <v>0.18135644611389259</v>
      </c>
      <c r="J13" s="859">
        <v>0</v>
      </c>
      <c r="K13" s="859">
        <v>0</v>
      </c>
      <c r="L13" s="859">
        <v>2.1857709583577396</v>
      </c>
      <c r="M13" s="859">
        <v>0</v>
      </c>
      <c r="N13" s="859">
        <v>1.0151000000000001E-4</v>
      </c>
      <c r="O13" s="859">
        <v>0</v>
      </c>
      <c r="P13" s="859">
        <v>0</v>
      </c>
      <c r="Q13" s="859">
        <v>0</v>
      </c>
      <c r="R13" s="860">
        <v>2.3672289144716321</v>
      </c>
      <c r="S13" s="859">
        <v>9.4519187138590706</v>
      </c>
      <c r="T13" s="859">
        <v>0</v>
      </c>
      <c r="U13" s="859">
        <v>0</v>
      </c>
      <c r="V13" s="860">
        <v>9.4519187138590706</v>
      </c>
      <c r="W13" s="860">
        <v>11.819147628330702</v>
      </c>
      <c r="X13" s="859">
        <v>0</v>
      </c>
      <c r="Y13" s="859">
        <v>3.7698556772543995E-2</v>
      </c>
      <c r="Z13" s="859">
        <v>12.582495347231994</v>
      </c>
      <c r="AA13" s="861">
        <v>0</v>
      </c>
      <c r="AB13" s="861">
        <v>0</v>
      </c>
      <c r="AC13" s="860">
        <v>24.439341532335241</v>
      </c>
    </row>
    <row r="14" spans="1:29">
      <c r="A14" s="220"/>
      <c r="B14" s="221" t="s">
        <v>161</v>
      </c>
      <c r="C14" s="862">
        <v>0</v>
      </c>
      <c r="D14" s="862">
        <v>0</v>
      </c>
      <c r="E14" s="862">
        <v>0</v>
      </c>
      <c r="F14" s="863">
        <v>0</v>
      </c>
      <c r="G14" s="859">
        <v>0</v>
      </c>
      <c r="H14" s="859">
        <v>0</v>
      </c>
      <c r="I14" s="859">
        <v>2.2624167281249451E-2</v>
      </c>
      <c r="J14" s="859">
        <v>0</v>
      </c>
      <c r="K14" s="859">
        <v>0</v>
      </c>
      <c r="L14" s="859">
        <v>1.0236639757432857</v>
      </c>
      <c r="M14" s="859">
        <v>0</v>
      </c>
      <c r="N14" s="859">
        <v>0.45087415395144631</v>
      </c>
      <c r="O14" s="859">
        <v>0</v>
      </c>
      <c r="P14" s="859">
        <v>0</v>
      </c>
      <c r="Q14" s="859">
        <v>0</v>
      </c>
      <c r="R14" s="863">
        <v>1.4971622969759815</v>
      </c>
      <c r="S14" s="859">
        <v>4.5153751133153719</v>
      </c>
      <c r="T14" s="862">
        <v>0</v>
      </c>
      <c r="U14" s="862">
        <v>0</v>
      </c>
      <c r="V14" s="863">
        <v>4.5153751133153719</v>
      </c>
      <c r="W14" s="863">
        <v>6.0125374102913529</v>
      </c>
      <c r="X14" s="859">
        <v>1.5570444743999998</v>
      </c>
      <c r="Y14" s="859">
        <v>3.424317187156666</v>
      </c>
      <c r="Z14" s="859">
        <v>4.919529375346305</v>
      </c>
      <c r="AA14" s="864">
        <v>0</v>
      </c>
      <c r="AB14" s="864">
        <v>0</v>
      </c>
      <c r="AC14" s="863">
        <v>15.913428447194324</v>
      </c>
    </row>
    <row r="15" spans="1:29">
      <c r="A15" s="218" t="s">
        <v>162</v>
      </c>
      <c r="B15" s="222"/>
      <c r="C15" s="865">
        <v>0</v>
      </c>
      <c r="D15" s="865">
        <v>3.3527639999999526E-3</v>
      </c>
      <c r="E15" s="865">
        <v>0.11638189850000005</v>
      </c>
      <c r="F15" s="866">
        <v>0.11973466250000001</v>
      </c>
      <c r="G15" s="865">
        <v>0</v>
      </c>
      <c r="H15" s="865">
        <v>0</v>
      </c>
      <c r="I15" s="865">
        <v>2.6061698114974821</v>
      </c>
      <c r="J15" s="865">
        <v>0.184388419316556</v>
      </c>
      <c r="K15" s="865">
        <v>0</v>
      </c>
      <c r="L15" s="865">
        <v>10.220933587451345</v>
      </c>
      <c r="M15" s="865">
        <v>0</v>
      </c>
      <c r="N15" s="865">
        <v>0.76091920747193631</v>
      </c>
      <c r="O15" s="865">
        <v>0</v>
      </c>
      <c r="P15" s="865">
        <v>7.6442515000000003E-2</v>
      </c>
      <c r="Q15" s="865">
        <v>0</v>
      </c>
      <c r="R15" s="866">
        <v>13.84885354073732</v>
      </c>
      <c r="S15" s="865">
        <v>34.637629025818477</v>
      </c>
      <c r="T15" s="865">
        <v>0</v>
      </c>
      <c r="U15" s="865">
        <v>0</v>
      </c>
      <c r="V15" s="866">
        <v>34.637629025818477</v>
      </c>
      <c r="W15" s="866">
        <v>48.606217229055794</v>
      </c>
      <c r="X15" s="865">
        <v>0</v>
      </c>
      <c r="Y15" s="865">
        <f>SUM(Y16:Y24)</f>
        <v>2.1680551699135031</v>
      </c>
      <c r="Z15" s="865">
        <v>46.715460296875619</v>
      </c>
      <c r="AA15" s="867">
        <v>0</v>
      </c>
      <c r="AB15" s="867">
        <v>0</v>
      </c>
      <c r="AC15" s="866">
        <f>SUM(W15:Z15)</f>
        <v>97.489732695844907</v>
      </c>
    </row>
    <row r="16" spans="1:29">
      <c r="A16" s="5"/>
      <c r="B16" s="6" t="s">
        <v>34</v>
      </c>
      <c r="C16" s="868">
        <v>0</v>
      </c>
      <c r="D16" s="868">
        <v>0</v>
      </c>
      <c r="E16" s="868">
        <v>0</v>
      </c>
      <c r="F16" s="860">
        <v>0</v>
      </c>
      <c r="G16" s="868">
        <v>0</v>
      </c>
      <c r="H16" s="868">
        <v>0</v>
      </c>
      <c r="I16" s="868">
        <v>2.2935234999999997E-3</v>
      </c>
      <c r="J16" s="868">
        <v>0</v>
      </c>
      <c r="K16" s="868">
        <v>0</v>
      </c>
      <c r="L16" s="868">
        <v>9.387590774359994E-3</v>
      </c>
      <c r="M16" s="868">
        <v>0</v>
      </c>
      <c r="N16" s="868">
        <v>9.7300000000000164E-4</v>
      </c>
      <c r="O16" s="868">
        <v>0</v>
      </c>
      <c r="P16" s="868">
        <v>0</v>
      </c>
      <c r="Q16" s="868">
        <v>0</v>
      </c>
      <c r="R16" s="860">
        <v>1.2654114274359996E-2</v>
      </c>
      <c r="S16" s="868">
        <v>0.27790626908160032</v>
      </c>
      <c r="T16" s="868">
        <v>0</v>
      </c>
      <c r="U16" s="868">
        <v>0</v>
      </c>
      <c r="V16" s="869">
        <v>0.27790626908160032</v>
      </c>
      <c r="W16" s="860">
        <v>0.29056038335596029</v>
      </c>
      <c r="X16" s="868">
        <v>0</v>
      </c>
      <c r="Y16" s="868">
        <v>1.0935E-2</v>
      </c>
      <c r="Z16" s="868">
        <v>0.79655185079999935</v>
      </c>
      <c r="AA16" s="861">
        <v>0</v>
      </c>
      <c r="AB16" s="861">
        <v>0</v>
      </c>
      <c r="AC16" s="860">
        <f t="shared" ref="AC16:AC24" si="0">SUM(W16:Z16)</f>
        <v>1.0980472341559597</v>
      </c>
    </row>
    <row r="17" spans="1:31">
      <c r="A17" s="5"/>
      <c r="B17" s="6" t="s">
        <v>37</v>
      </c>
      <c r="C17" s="868">
        <v>0</v>
      </c>
      <c r="D17" s="868">
        <v>0</v>
      </c>
      <c r="E17" s="868">
        <v>0.10562828850000006</v>
      </c>
      <c r="F17" s="860">
        <v>0.10562828850000006</v>
      </c>
      <c r="G17" s="868">
        <v>0</v>
      </c>
      <c r="H17" s="868">
        <v>0</v>
      </c>
      <c r="I17" s="868">
        <v>7.829461900000004E-5</v>
      </c>
      <c r="J17" s="868">
        <v>0</v>
      </c>
      <c r="K17" s="868">
        <v>0</v>
      </c>
      <c r="L17" s="868">
        <v>7.5267085229930017E-2</v>
      </c>
      <c r="M17" s="868">
        <v>0</v>
      </c>
      <c r="N17" s="868">
        <v>2.9999999999752447E-6</v>
      </c>
      <c r="O17" s="868">
        <v>0</v>
      </c>
      <c r="P17" s="868">
        <v>7.6442515000000003E-2</v>
      </c>
      <c r="Q17" s="868">
        <v>0</v>
      </c>
      <c r="R17" s="860">
        <v>0.15179089484892999</v>
      </c>
      <c r="S17" s="868">
        <v>0.47448499490399865</v>
      </c>
      <c r="T17" s="868">
        <v>0</v>
      </c>
      <c r="U17" s="868">
        <v>0</v>
      </c>
      <c r="V17" s="869">
        <v>0.47448499490399865</v>
      </c>
      <c r="W17" s="860">
        <v>0.73190417825292875</v>
      </c>
      <c r="X17" s="868">
        <v>0</v>
      </c>
      <c r="Y17" s="868">
        <v>0</v>
      </c>
      <c r="Z17" s="868">
        <v>0.33125293799999866</v>
      </c>
      <c r="AA17" s="861">
        <v>0</v>
      </c>
      <c r="AB17" s="861">
        <v>0</v>
      </c>
      <c r="AC17" s="860">
        <f t="shared" si="0"/>
        <v>1.0631571162529274</v>
      </c>
    </row>
    <row r="18" spans="1:31">
      <c r="A18" s="5"/>
      <c r="B18" s="6" t="s">
        <v>35</v>
      </c>
      <c r="C18" s="868">
        <v>0</v>
      </c>
      <c r="D18" s="868">
        <v>0</v>
      </c>
      <c r="E18" s="868">
        <v>0</v>
      </c>
      <c r="F18" s="860">
        <v>0</v>
      </c>
      <c r="G18" s="868">
        <v>0</v>
      </c>
      <c r="H18" s="868">
        <v>0</v>
      </c>
      <c r="I18" s="868">
        <v>0.10508962946620613</v>
      </c>
      <c r="J18" s="868">
        <v>0</v>
      </c>
      <c r="K18" s="868">
        <v>0</v>
      </c>
      <c r="L18" s="868">
        <v>0.92507191436388425</v>
      </c>
      <c r="M18" s="868">
        <v>0</v>
      </c>
      <c r="N18" s="868">
        <v>1.3296699506782746E-2</v>
      </c>
      <c r="O18" s="868">
        <v>0</v>
      </c>
      <c r="P18" s="868">
        <v>0</v>
      </c>
      <c r="Q18" s="868">
        <v>0</v>
      </c>
      <c r="R18" s="860">
        <v>1.0434582433368731</v>
      </c>
      <c r="S18" s="868">
        <v>5.7999113853769604</v>
      </c>
      <c r="T18" s="868">
        <v>0</v>
      </c>
      <c r="U18" s="868">
        <v>0</v>
      </c>
      <c r="V18" s="869">
        <v>5.7999113853769604</v>
      </c>
      <c r="W18" s="860">
        <v>6.8433696287138339</v>
      </c>
      <c r="X18" s="868">
        <v>0</v>
      </c>
      <c r="Y18" s="868">
        <v>9.933931352E-2</v>
      </c>
      <c r="Z18" s="868">
        <v>3.6586314988955979</v>
      </c>
      <c r="AA18" s="861">
        <v>0</v>
      </c>
      <c r="AB18" s="861">
        <v>0</v>
      </c>
      <c r="AC18" s="860">
        <f t="shared" si="0"/>
        <v>10.601340441129432</v>
      </c>
    </row>
    <row r="19" spans="1:31">
      <c r="A19" s="5"/>
      <c r="B19" s="6" t="s">
        <v>32</v>
      </c>
      <c r="C19" s="868">
        <v>0</v>
      </c>
      <c r="D19" s="868">
        <v>0</v>
      </c>
      <c r="E19" s="868">
        <v>0</v>
      </c>
      <c r="F19" s="860">
        <v>0</v>
      </c>
      <c r="G19" s="868">
        <v>0</v>
      </c>
      <c r="H19" s="868">
        <v>0</v>
      </c>
      <c r="I19" s="868">
        <v>2.2375415277780508</v>
      </c>
      <c r="J19" s="868">
        <v>0.184388419316556</v>
      </c>
      <c r="K19" s="868">
        <v>0</v>
      </c>
      <c r="L19" s="868">
        <v>5.4105160678045392</v>
      </c>
      <c r="M19" s="868">
        <v>0</v>
      </c>
      <c r="N19" s="868">
        <v>9.5855650848187562E-2</v>
      </c>
      <c r="O19" s="868">
        <v>0</v>
      </c>
      <c r="P19" s="868">
        <v>0</v>
      </c>
      <c r="Q19" s="868">
        <v>0</v>
      </c>
      <c r="R19" s="860">
        <v>7.9283016657473331</v>
      </c>
      <c r="S19" s="868">
        <v>5.718993851463269</v>
      </c>
      <c r="T19" s="868">
        <v>0</v>
      </c>
      <c r="U19" s="868">
        <v>0</v>
      </c>
      <c r="V19" s="869">
        <v>5.718993851463269</v>
      </c>
      <c r="W19" s="860">
        <v>13.647295517210601</v>
      </c>
      <c r="X19" s="868">
        <v>0</v>
      </c>
      <c r="Y19" s="868">
        <v>0.69887882347800012</v>
      </c>
      <c r="Z19" s="868">
        <v>8.2665119203582638</v>
      </c>
      <c r="AA19" s="861">
        <v>0</v>
      </c>
      <c r="AB19" s="861">
        <v>0</v>
      </c>
      <c r="AC19" s="860">
        <f t="shared" si="0"/>
        <v>22.612686261046868</v>
      </c>
    </row>
    <row r="20" spans="1:31">
      <c r="A20" s="5"/>
      <c r="B20" s="6" t="s">
        <v>40</v>
      </c>
      <c r="C20" s="868">
        <v>0</v>
      </c>
      <c r="D20" s="868">
        <v>0</v>
      </c>
      <c r="E20" s="868">
        <v>2.510000000000099E-5</v>
      </c>
      <c r="F20" s="860">
        <v>2.510000000000099E-5</v>
      </c>
      <c r="G20" s="868">
        <v>0</v>
      </c>
      <c r="H20" s="868">
        <v>0</v>
      </c>
      <c r="I20" s="868">
        <v>0.15475446050376718</v>
      </c>
      <c r="J20" s="868">
        <v>0</v>
      </c>
      <c r="K20" s="868">
        <v>0</v>
      </c>
      <c r="L20" s="868">
        <v>2.5370616797411265</v>
      </c>
      <c r="M20" s="868">
        <v>0</v>
      </c>
      <c r="N20" s="868">
        <v>0.2921001806780173</v>
      </c>
      <c r="O20" s="868">
        <v>0</v>
      </c>
      <c r="P20" s="868">
        <v>0</v>
      </c>
      <c r="Q20" s="868">
        <v>0</v>
      </c>
      <c r="R20" s="860">
        <v>2.9839163209229111</v>
      </c>
      <c r="S20" s="868">
        <v>10.321371021532492</v>
      </c>
      <c r="T20" s="868">
        <v>0</v>
      </c>
      <c r="U20" s="868">
        <v>0</v>
      </c>
      <c r="V20" s="869">
        <v>10.321371021532492</v>
      </c>
      <c r="W20" s="860">
        <v>13.305312442455403</v>
      </c>
      <c r="X20" s="868">
        <v>0</v>
      </c>
      <c r="Y20" s="868">
        <v>0.55738253122691295</v>
      </c>
      <c r="Z20" s="868">
        <v>1.8973774079524568</v>
      </c>
      <c r="AA20" s="861">
        <v>0</v>
      </c>
      <c r="AB20" s="861">
        <v>0</v>
      </c>
      <c r="AC20" s="860">
        <f t="shared" si="0"/>
        <v>15.760072381634773</v>
      </c>
    </row>
    <row r="21" spans="1:31">
      <c r="A21" s="5"/>
      <c r="B21" s="6" t="s">
        <v>39</v>
      </c>
      <c r="C21" s="868">
        <v>0</v>
      </c>
      <c r="D21" s="868">
        <v>0</v>
      </c>
      <c r="E21" s="868">
        <v>0</v>
      </c>
      <c r="F21" s="860">
        <v>0</v>
      </c>
      <c r="G21" s="868">
        <v>0</v>
      </c>
      <c r="H21" s="868">
        <v>0</v>
      </c>
      <c r="I21" s="868">
        <v>1.2498371933289179E-3</v>
      </c>
      <c r="J21" s="868">
        <v>0</v>
      </c>
      <c r="K21" s="868">
        <v>0</v>
      </c>
      <c r="L21" s="868">
        <v>0.14010828125236954</v>
      </c>
      <c r="M21" s="868">
        <v>0</v>
      </c>
      <c r="N21" s="868">
        <v>9.2123103091595257E-2</v>
      </c>
      <c r="O21" s="868">
        <v>0</v>
      </c>
      <c r="P21" s="868">
        <v>0</v>
      </c>
      <c r="Q21" s="868">
        <v>0</v>
      </c>
      <c r="R21" s="860">
        <v>0.23348122153729373</v>
      </c>
      <c r="S21" s="868">
        <v>2.5000407776217317</v>
      </c>
      <c r="T21" s="868">
        <v>0</v>
      </c>
      <c r="U21" s="868">
        <v>0</v>
      </c>
      <c r="V21" s="869">
        <v>2.5000407776217317</v>
      </c>
      <c r="W21" s="860">
        <v>2.7335219991590254</v>
      </c>
      <c r="X21" s="868">
        <v>0</v>
      </c>
      <c r="Y21" s="868">
        <v>2.9318E-2</v>
      </c>
      <c r="Z21" s="868">
        <v>6.3052885416522999</v>
      </c>
      <c r="AA21" s="861">
        <v>0</v>
      </c>
      <c r="AB21" s="861">
        <v>0</v>
      </c>
      <c r="AC21" s="860">
        <f t="shared" si="0"/>
        <v>9.0681285408113261</v>
      </c>
    </row>
    <row r="22" spans="1:31">
      <c r="A22" s="5"/>
      <c r="B22" s="6" t="s">
        <v>36</v>
      </c>
      <c r="C22" s="868">
        <v>0</v>
      </c>
      <c r="D22" s="868">
        <v>3.3527639999999526E-3</v>
      </c>
      <c r="E22" s="868">
        <v>1.072851E-2</v>
      </c>
      <c r="F22" s="860">
        <v>1.4081273999999953E-2</v>
      </c>
      <c r="G22" s="868">
        <v>0</v>
      </c>
      <c r="H22" s="868">
        <v>0</v>
      </c>
      <c r="I22" s="868">
        <v>1.9943963643658139E-2</v>
      </c>
      <c r="J22" s="868">
        <v>0</v>
      </c>
      <c r="K22" s="868">
        <v>0</v>
      </c>
      <c r="L22" s="868">
        <v>0.70752090173298887</v>
      </c>
      <c r="M22" s="868">
        <v>0</v>
      </c>
      <c r="N22" s="868">
        <v>0.25805649014735349</v>
      </c>
      <c r="O22" s="868">
        <v>0</v>
      </c>
      <c r="P22" s="868">
        <v>0</v>
      </c>
      <c r="Q22" s="868">
        <v>0</v>
      </c>
      <c r="R22" s="860">
        <v>0.98552135552400055</v>
      </c>
      <c r="S22" s="868">
        <v>1.1172992073252397</v>
      </c>
      <c r="T22" s="868">
        <v>0</v>
      </c>
      <c r="U22" s="868">
        <v>0</v>
      </c>
      <c r="V22" s="869">
        <v>1.1172992073252397</v>
      </c>
      <c r="W22" s="860">
        <v>2.11690183684924</v>
      </c>
      <c r="X22" s="868">
        <v>0</v>
      </c>
      <c r="Y22" s="868">
        <v>0</v>
      </c>
      <c r="Z22" s="868">
        <v>2.5602723367464337</v>
      </c>
      <c r="AA22" s="861">
        <v>0</v>
      </c>
      <c r="AB22" s="861">
        <v>0</v>
      </c>
      <c r="AC22" s="860">
        <f t="shared" si="0"/>
        <v>4.6771741735956738</v>
      </c>
    </row>
    <row r="23" spans="1:31">
      <c r="A23" s="5"/>
      <c r="B23" s="6" t="s">
        <v>38</v>
      </c>
      <c r="C23" s="868">
        <v>0</v>
      </c>
      <c r="D23" s="868">
        <v>0</v>
      </c>
      <c r="E23" s="868">
        <v>0</v>
      </c>
      <c r="F23" s="860">
        <v>0</v>
      </c>
      <c r="G23" s="868">
        <v>0</v>
      </c>
      <c r="H23" s="868">
        <v>0</v>
      </c>
      <c r="I23" s="868">
        <v>2.682351697439056E-2</v>
      </c>
      <c r="J23" s="868">
        <v>0</v>
      </c>
      <c r="K23" s="868">
        <v>0</v>
      </c>
      <c r="L23" s="868">
        <v>0.19104797556613398</v>
      </c>
      <c r="M23" s="868">
        <v>0</v>
      </c>
      <c r="N23" s="868">
        <v>0</v>
      </c>
      <c r="O23" s="868">
        <v>0</v>
      </c>
      <c r="P23" s="868">
        <v>0</v>
      </c>
      <c r="Q23" s="868">
        <v>0</v>
      </c>
      <c r="R23" s="860">
        <v>0.21787149254052454</v>
      </c>
      <c r="S23" s="868">
        <v>0.45101149822999931</v>
      </c>
      <c r="T23" s="868">
        <v>0</v>
      </c>
      <c r="U23" s="868">
        <v>0</v>
      </c>
      <c r="V23" s="869">
        <v>0.45101149822999931</v>
      </c>
      <c r="W23" s="860">
        <v>0.66888299077052382</v>
      </c>
      <c r="X23" s="868">
        <v>0</v>
      </c>
      <c r="Y23" s="868">
        <v>0.47231488668859001</v>
      </c>
      <c r="Z23" s="868">
        <v>10.546674080698569</v>
      </c>
      <c r="AA23" s="861">
        <v>0</v>
      </c>
      <c r="AB23" s="861">
        <v>0</v>
      </c>
      <c r="AC23" s="860">
        <f t="shared" si="0"/>
        <v>11.687871958157682</v>
      </c>
    </row>
    <row r="24" spans="1:31">
      <c r="A24" s="223"/>
      <c r="B24" s="221" t="s">
        <v>33</v>
      </c>
      <c r="C24" s="868">
        <v>0</v>
      </c>
      <c r="D24" s="868">
        <v>0</v>
      </c>
      <c r="E24" s="868">
        <v>0</v>
      </c>
      <c r="F24" s="860">
        <v>0</v>
      </c>
      <c r="G24" s="868">
        <v>0</v>
      </c>
      <c r="H24" s="868">
        <v>0</v>
      </c>
      <c r="I24" s="868">
        <v>5.8395057819079998E-2</v>
      </c>
      <c r="J24" s="868">
        <v>0</v>
      </c>
      <c r="K24" s="868">
        <v>0</v>
      </c>
      <c r="L24" s="868">
        <v>0.22495209098601207</v>
      </c>
      <c r="M24" s="868">
        <v>0</v>
      </c>
      <c r="N24" s="868">
        <v>8.5110831999999359E-3</v>
      </c>
      <c r="O24" s="868">
        <v>0</v>
      </c>
      <c r="P24" s="868">
        <v>0</v>
      </c>
      <c r="Q24" s="868">
        <v>0</v>
      </c>
      <c r="R24" s="860">
        <v>0.29185823200509198</v>
      </c>
      <c r="S24" s="868">
        <v>7.9766100202831893</v>
      </c>
      <c r="T24" s="868">
        <v>0</v>
      </c>
      <c r="U24" s="868">
        <v>0</v>
      </c>
      <c r="V24" s="869">
        <v>7.9766100202831893</v>
      </c>
      <c r="W24" s="860">
        <v>8.2684682522882813</v>
      </c>
      <c r="X24" s="868">
        <v>0</v>
      </c>
      <c r="Y24" s="868">
        <v>0.29988661499999997</v>
      </c>
      <c r="Z24" s="868">
        <v>12.352899721772001</v>
      </c>
      <c r="AA24" s="861">
        <v>0</v>
      </c>
      <c r="AB24" s="861">
        <v>0</v>
      </c>
      <c r="AC24" s="863">
        <f t="shared" si="0"/>
        <v>20.921254589060283</v>
      </c>
    </row>
    <row r="25" spans="1:31">
      <c r="A25" s="5" t="s">
        <v>688</v>
      </c>
      <c r="B25" s="128"/>
      <c r="C25" s="865">
        <v>0</v>
      </c>
      <c r="D25" s="865">
        <v>0.38818740230221194</v>
      </c>
      <c r="E25" s="865">
        <v>0</v>
      </c>
      <c r="F25" s="866">
        <v>0.38818740230221194</v>
      </c>
      <c r="G25" s="856">
        <v>0</v>
      </c>
      <c r="H25" s="856">
        <v>0</v>
      </c>
      <c r="I25" s="856">
        <v>3.25268025778057E-2</v>
      </c>
      <c r="J25" s="856">
        <v>9.7508792887432319E-2</v>
      </c>
      <c r="K25" s="856">
        <v>0</v>
      </c>
      <c r="L25" s="856">
        <v>8.5443085151152456</v>
      </c>
      <c r="M25" s="856">
        <v>0</v>
      </c>
      <c r="N25" s="856">
        <v>0.36157594777819746</v>
      </c>
      <c r="O25" s="856">
        <v>0</v>
      </c>
      <c r="P25" s="856">
        <v>0</v>
      </c>
      <c r="Q25" s="856">
        <v>0</v>
      </c>
      <c r="R25" s="866">
        <v>9.0359200583586805</v>
      </c>
      <c r="S25" s="856">
        <v>15.459119149886043</v>
      </c>
      <c r="T25" s="865">
        <v>0</v>
      </c>
      <c r="U25" s="865">
        <v>0</v>
      </c>
      <c r="V25" s="866">
        <v>15.459119149886043</v>
      </c>
      <c r="W25" s="866">
        <v>24.883226610546934</v>
      </c>
      <c r="X25" s="865">
        <v>0</v>
      </c>
      <c r="Y25" s="856">
        <v>3.2852105281642712</v>
      </c>
      <c r="Z25" s="858">
        <v>-1.9031697183535128</v>
      </c>
      <c r="AA25" s="867">
        <v>0</v>
      </c>
      <c r="AB25" s="867">
        <v>0</v>
      </c>
      <c r="AC25" s="857">
        <v>26.265267420357695</v>
      </c>
      <c r="AE25" s="38"/>
    </row>
    <row r="26" spans="1:31">
      <c r="A26" s="5"/>
      <c r="B26" s="128"/>
      <c r="C26" s="870"/>
      <c r="D26" s="871"/>
      <c r="E26" s="870"/>
      <c r="F26" s="860"/>
      <c r="G26" s="871"/>
      <c r="H26" s="871"/>
      <c r="I26" s="871"/>
      <c r="J26" s="871"/>
      <c r="K26" s="871"/>
      <c r="L26" s="871"/>
      <c r="M26" s="871"/>
      <c r="N26" s="871"/>
      <c r="O26" s="871"/>
      <c r="P26" s="871"/>
      <c r="Q26" s="871"/>
      <c r="R26" s="860"/>
      <c r="S26" s="871"/>
      <c r="T26" s="870"/>
      <c r="U26" s="870"/>
      <c r="V26" s="860"/>
      <c r="W26" s="860"/>
      <c r="X26" s="870"/>
      <c r="Y26" s="874"/>
      <c r="Z26" s="874">
        <v>2.5812283555223998</v>
      </c>
      <c r="AA26" s="875"/>
      <c r="AB26" s="872"/>
      <c r="AC26" s="873"/>
      <c r="AE26" s="38"/>
    </row>
    <row r="27" spans="1:31">
      <c r="A27" s="3"/>
      <c r="B27" s="6" t="s">
        <v>163</v>
      </c>
      <c r="C27" s="859">
        <v>0</v>
      </c>
      <c r="D27" s="859">
        <v>9.4745424270655746E-3</v>
      </c>
      <c r="E27" s="859">
        <v>0</v>
      </c>
      <c r="F27" s="860">
        <v>9.4745424270655746E-3</v>
      </c>
      <c r="G27" s="859">
        <v>0</v>
      </c>
      <c r="H27" s="859">
        <v>0</v>
      </c>
      <c r="I27" s="859">
        <v>1.3342311902511143E-2</v>
      </c>
      <c r="J27" s="859">
        <v>2.8171590184399324E-4</v>
      </c>
      <c r="K27" s="859">
        <v>0</v>
      </c>
      <c r="L27" s="859">
        <v>5.2478487244215906</v>
      </c>
      <c r="M27" s="859">
        <v>0</v>
      </c>
      <c r="N27" s="859">
        <v>0</v>
      </c>
      <c r="O27" s="859">
        <v>0</v>
      </c>
      <c r="P27" s="859">
        <v>0</v>
      </c>
      <c r="Q27" s="859">
        <v>0</v>
      </c>
      <c r="R27" s="860">
        <v>5.2614727522259459</v>
      </c>
      <c r="S27" s="859">
        <v>0.14969027286971434</v>
      </c>
      <c r="T27" s="859">
        <v>0</v>
      </c>
      <c r="U27" s="859">
        <v>0</v>
      </c>
      <c r="V27" s="860">
        <v>0.14969027286971434</v>
      </c>
      <c r="W27" s="860">
        <v>5.4206375675227259</v>
      </c>
      <c r="X27" s="859">
        <v>0</v>
      </c>
      <c r="Y27" s="859">
        <v>1.14042204808416</v>
      </c>
      <c r="Z27" s="859">
        <v>2.1133330058760538</v>
      </c>
      <c r="AA27" s="861">
        <v>0</v>
      </c>
      <c r="AB27" s="861">
        <v>0</v>
      </c>
      <c r="AC27" s="860">
        <v>8.674392621482939</v>
      </c>
    </row>
    <row r="28" spans="1:31">
      <c r="A28" s="3"/>
      <c r="B28" s="6" t="s">
        <v>164</v>
      </c>
      <c r="C28" s="859">
        <v>0</v>
      </c>
      <c r="D28" s="859">
        <v>3.906778703074649E-4</v>
      </c>
      <c r="E28" s="859">
        <v>0</v>
      </c>
      <c r="F28" s="860">
        <v>3.906778703074649E-4</v>
      </c>
      <c r="G28" s="859">
        <v>0</v>
      </c>
      <c r="H28" s="859">
        <v>0</v>
      </c>
      <c r="I28" s="859">
        <v>3.9692275450815412E-3</v>
      </c>
      <c r="J28" s="859">
        <v>2.3690460665372622E-4</v>
      </c>
      <c r="K28" s="859">
        <v>0</v>
      </c>
      <c r="L28" s="859">
        <v>1.5159149605096127</v>
      </c>
      <c r="M28" s="859">
        <v>0</v>
      </c>
      <c r="N28" s="859">
        <v>0</v>
      </c>
      <c r="O28" s="859">
        <v>0</v>
      </c>
      <c r="P28" s="859">
        <v>0</v>
      </c>
      <c r="Q28" s="859">
        <v>0</v>
      </c>
      <c r="R28" s="860">
        <v>1.520121092661348</v>
      </c>
      <c r="S28" s="859">
        <v>2.3320061296582477E-2</v>
      </c>
      <c r="T28" s="859">
        <v>0</v>
      </c>
      <c r="U28" s="859">
        <v>0</v>
      </c>
      <c r="V28" s="860">
        <v>2.3320061296582477E-2</v>
      </c>
      <c r="W28" s="860">
        <v>1.543831831828238</v>
      </c>
      <c r="X28" s="859">
        <v>0</v>
      </c>
      <c r="Y28" s="859">
        <v>1.6930448043989255</v>
      </c>
      <c r="Z28" s="859">
        <v>0.14551405966634082</v>
      </c>
      <c r="AA28" s="861">
        <v>0</v>
      </c>
      <c r="AB28" s="861">
        <v>0</v>
      </c>
      <c r="AC28" s="860">
        <v>3.3823906958935042</v>
      </c>
    </row>
    <row r="29" spans="1:31">
      <c r="A29" s="3"/>
      <c r="B29" s="6" t="s">
        <v>165</v>
      </c>
      <c r="C29" s="859">
        <v>0</v>
      </c>
      <c r="D29" s="859">
        <v>0.2048901255029934</v>
      </c>
      <c r="E29" s="859">
        <v>0</v>
      </c>
      <c r="F29" s="860">
        <v>0.2048901255029934</v>
      </c>
      <c r="G29" s="859">
        <v>0</v>
      </c>
      <c r="H29" s="859">
        <v>0</v>
      </c>
      <c r="I29" s="859">
        <v>6.3035776720373003E-3</v>
      </c>
      <c r="J29" s="859">
        <v>1.3533895116268463E-3</v>
      </c>
      <c r="K29" s="859">
        <v>0</v>
      </c>
      <c r="L29" s="859">
        <v>0.62716529987147196</v>
      </c>
      <c r="M29" s="859">
        <v>0</v>
      </c>
      <c r="N29" s="859">
        <v>0.30409137790658897</v>
      </c>
      <c r="O29" s="859">
        <v>0</v>
      </c>
      <c r="P29" s="859">
        <v>0</v>
      </c>
      <c r="Q29" s="859">
        <v>0</v>
      </c>
      <c r="R29" s="860">
        <v>0.93891364496172502</v>
      </c>
      <c r="S29" s="859">
        <v>15.039663554398411</v>
      </c>
      <c r="T29" s="859">
        <v>0</v>
      </c>
      <c r="U29" s="859">
        <v>0</v>
      </c>
      <c r="V29" s="860">
        <v>15.039663554398411</v>
      </c>
      <c r="W29" s="860">
        <v>16.18346732486313</v>
      </c>
      <c r="X29" s="859">
        <v>0</v>
      </c>
      <c r="Y29" s="859">
        <v>0.45156987568118595</v>
      </c>
      <c r="Z29" s="859">
        <v>-5.0552284425575076</v>
      </c>
      <c r="AA29" s="861">
        <v>0</v>
      </c>
      <c r="AB29" s="861">
        <v>0</v>
      </c>
      <c r="AC29" s="860">
        <v>11.579808757986811</v>
      </c>
    </row>
    <row r="30" spans="1:31">
      <c r="A30" s="3"/>
      <c r="B30" s="6" t="s">
        <v>166</v>
      </c>
      <c r="C30" s="859">
        <v>0</v>
      </c>
      <c r="D30" s="859">
        <v>0.17343205650184546</v>
      </c>
      <c r="E30" s="859">
        <v>0</v>
      </c>
      <c r="F30" s="860">
        <v>0.17343205650184546</v>
      </c>
      <c r="G30" s="859">
        <v>0</v>
      </c>
      <c r="H30" s="859">
        <v>0</v>
      </c>
      <c r="I30" s="859">
        <v>8.9099277710787128E-3</v>
      </c>
      <c r="J30" s="859">
        <v>5.8385207142182833E-3</v>
      </c>
      <c r="K30" s="859">
        <v>0</v>
      </c>
      <c r="L30" s="859">
        <v>1.1431493405807702</v>
      </c>
      <c r="M30" s="859">
        <v>0</v>
      </c>
      <c r="N30" s="859">
        <v>5.7484569871608472E-2</v>
      </c>
      <c r="O30" s="859">
        <v>0</v>
      </c>
      <c r="P30" s="859">
        <v>0</v>
      </c>
      <c r="Q30" s="859">
        <v>0</v>
      </c>
      <c r="R30" s="860">
        <v>1.2153823589376758</v>
      </c>
      <c r="S30" s="859">
        <v>0.2464452613213351</v>
      </c>
      <c r="T30" s="859">
        <v>0</v>
      </c>
      <c r="U30" s="859">
        <v>0</v>
      </c>
      <c r="V30" s="860">
        <v>0.2464452613213351</v>
      </c>
      <c r="W30" s="860">
        <v>1.6352596767608563</v>
      </c>
      <c r="X30" s="859">
        <v>0</v>
      </c>
      <c r="Y30" s="859">
        <v>1.7380000000000002E-4</v>
      </c>
      <c r="Z30" s="859">
        <v>0.8931619622456004</v>
      </c>
      <c r="AA30" s="861">
        <v>0</v>
      </c>
      <c r="AB30" s="861">
        <v>0</v>
      </c>
      <c r="AC30" s="860">
        <v>2.5285954390064567</v>
      </c>
    </row>
    <row r="31" spans="1:31">
      <c r="A31" s="3"/>
      <c r="B31" s="6" t="s">
        <v>167</v>
      </c>
      <c r="C31" s="859">
        <v>0</v>
      </c>
      <c r="D31" s="859">
        <v>0</v>
      </c>
      <c r="E31" s="859">
        <v>0</v>
      </c>
      <c r="F31" s="860">
        <v>0</v>
      </c>
      <c r="G31" s="859">
        <v>0</v>
      </c>
      <c r="H31" s="859">
        <v>0</v>
      </c>
      <c r="I31" s="859">
        <v>1.7576870969999996E-6</v>
      </c>
      <c r="J31" s="859">
        <v>8.6830058340493635E-2</v>
      </c>
      <c r="K31" s="859">
        <v>0</v>
      </c>
      <c r="L31" s="859">
        <v>6.8157765275399847E-3</v>
      </c>
      <c r="M31" s="859">
        <v>0</v>
      </c>
      <c r="N31" s="859">
        <v>0</v>
      </c>
      <c r="O31" s="859">
        <v>0</v>
      </c>
      <c r="P31" s="859">
        <v>0</v>
      </c>
      <c r="Q31" s="859">
        <v>0</v>
      </c>
      <c r="R31" s="860">
        <v>9.364759255513061E-2</v>
      </c>
      <c r="S31" s="859">
        <v>0</v>
      </c>
      <c r="T31" s="859">
        <v>0</v>
      </c>
      <c r="U31" s="859">
        <v>0</v>
      </c>
      <c r="V31" s="860">
        <v>0</v>
      </c>
      <c r="W31" s="860">
        <v>9.364759255513061E-2</v>
      </c>
      <c r="X31" s="859">
        <v>0</v>
      </c>
      <c r="Y31" s="859">
        <v>0</v>
      </c>
      <c r="Z31" s="859">
        <v>0</v>
      </c>
      <c r="AA31" s="861">
        <v>0</v>
      </c>
      <c r="AB31" s="861">
        <v>0</v>
      </c>
      <c r="AC31" s="860">
        <v>9.364759255513061E-2</v>
      </c>
    </row>
    <row r="32" spans="1:31">
      <c r="A32" s="4"/>
      <c r="B32" s="127" t="s">
        <v>168</v>
      </c>
      <c r="C32" s="877">
        <v>0</v>
      </c>
      <c r="D32" s="877">
        <v>0</v>
      </c>
      <c r="E32" s="877">
        <v>0</v>
      </c>
      <c r="F32" s="876">
        <v>0</v>
      </c>
      <c r="G32" s="877">
        <v>0</v>
      </c>
      <c r="H32" s="877">
        <v>0</v>
      </c>
      <c r="I32" s="877">
        <v>0</v>
      </c>
      <c r="J32" s="877">
        <v>2.96820381259584E-3</v>
      </c>
      <c r="K32" s="877">
        <v>0</v>
      </c>
      <c r="L32" s="877">
        <v>3.4144132042592998E-3</v>
      </c>
      <c r="M32" s="877">
        <v>0</v>
      </c>
      <c r="N32" s="877">
        <v>0</v>
      </c>
      <c r="O32" s="877">
        <v>0</v>
      </c>
      <c r="P32" s="877">
        <v>0</v>
      </c>
      <c r="Q32" s="877">
        <v>0</v>
      </c>
      <c r="R32" s="876">
        <v>6.3826170168551398E-3</v>
      </c>
      <c r="S32" s="877">
        <v>0</v>
      </c>
      <c r="T32" s="877">
        <v>0</v>
      </c>
      <c r="U32" s="877">
        <v>0</v>
      </c>
      <c r="V32" s="876">
        <v>0</v>
      </c>
      <c r="W32" s="876">
        <v>6.3826170168551398E-3</v>
      </c>
      <c r="X32" s="877">
        <v>0</v>
      </c>
      <c r="Y32" s="877">
        <v>0</v>
      </c>
      <c r="Z32" s="877">
        <v>4.9696416000000005E-5</v>
      </c>
      <c r="AA32" s="878">
        <v>0</v>
      </c>
      <c r="AB32" s="878">
        <v>0</v>
      </c>
      <c r="AC32" s="876">
        <v>6.43231343285514E-3</v>
      </c>
    </row>
    <row r="37" spans="8:24">
      <c r="X37" s="906"/>
    </row>
    <row r="38" spans="8:24">
      <c r="H38" s="890"/>
      <c r="X38" s="906"/>
    </row>
    <row r="39" spans="8:24">
      <c r="X39" s="906"/>
    </row>
    <row r="40" spans="8:24">
      <c r="X40" s="906"/>
    </row>
    <row r="41" spans="8:24">
      <c r="X41" s="906"/>
    </row>
    <row r="42" spans="8:24">
      <c r="X42" s="906"/>
    </row>
    <row r="43" spans="8:24">
      <c r="X43" s="906"/>
    </row>
    <row r="44" spans="8:24">
      <c r="X44" s="906"/>
    </row>
    <row r="45" spans="8:24">
      <c r="X45" s="906"/>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479</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193</v>
      </c>
      <c r="B6" s="130" t="s">
        <v>481</v>
      </c>
      <c r="C6" s="163" t="s">
        <v>497</v>
      </c>
    </row>
    <row r="7" spans="1:3" s="11" customFormat="1">
      <c r="A7" s="132"/>
      <c r="B7" s="133"/>
      <c r="C7" s="134"/>
    </row>
    <row r="8" spans="1:3" s="11" customFormat="1" ht="60">
      <c r="A8" s="113" t="s">
        <v>154</v>
      </c>
      <c r="B8" s="130" t="s">
        <v>481</v>
      </c>
      <c r="C8" s="313" t="s">
        <v>498</v>
      </c>
    </row>
    <row r="9" spans="1:3" s="11" customFormat="1">
      <c r="A9" s="132"/>
      <c r="B9" s="133"/>
      <c r="C9" s="134"/>
    </row>
    <row r="10" spans="1:3" s="11" customFormat="1" ht="60">
      <c r="A10" s="113" t="s">
        <v>155</v>
      </c>
      <c r="B10" s="130" t="s">
        <v>481</v>
      </c>
      <c r="C10" s="313" t="s">
        <v>498</v>
      </c>
    </row>
    <row r="11" spans="1:3" s="11" customFormat="1">
      <c r="A11" s="132"/>
      <c r="B11" s="133"/>
      <c r="C11" s="134"/>
    </row>
    <row r="12" spans="1:3" s="11" customFormat="1" ht="60">
      <c r="A12" s="113" t="s">
        <v>389</v>
      </c>
      <c r="B12" s="130" t="s">
        <v>481</v>
      </c>
      <c r="C12" s="313" t="s">
        <v>498</v>
      </c>
    </row>
    <row r="13" spans="1:3" s="11" customFormat="1">
      <c r="A13" s="132"/>
      <c r="B13" s="133"/>
      <c r="C13" s="134"/>
    </row>
    <row r="14" spans="1:3" s="11" customFormat="1" ht="60">
      <c r="A14" s="113" t="s">
        <v>111</v>
      </c>
      <c r="B14" s="130" t="s">
        <v>499</v>
      </c>
      <c r="C14" s="313" t="s">
        <v>498</v>
      </c>
    </row>
    <row r="15" spans="1:3" s="11" customFormat="1" ht="63">
      <c r="A15" s="123"/>
      <c r="B15" s="130" t="s">
        <v>500</v>
      </c>
      <c r="C15" s="313" t="s">
        <v>504</v>
      </c>
    </row>
    <row r="16" spans="1:3" s="11" customFormat="1">
      <c r="A16" s="132"/>
      <c r="B16" s="133"/>
      <c r="C16" s="134"/>
    </row>
    <row r="17" spans="1:3" s="11" customFormat="1" ht="45">
      <c r="A17" s="113" t="s">
        <v>480</v>
      </c>
      <c r="B17" s="130" t="s">
        <v>554</v>
      </c>
      <c r="C17" s="163" t="s">
        <v>555</v>
      </c>
    </row>
    <row r="18" spans="1:3" s="11" customFormat="1">
      <c r="A18" s="132"/>
      <c r="B18" s="133"/>
      <c r="C18" s="134"/>
    </row>
    <row r="19" spans="1:3" s="11" customFormat="1" ht="60">
      <c r="A19" s="113" t="s">
        <v>392</v>
      </c>
      <c r="B19" s="312" t="s">
        <v>552</v>
      </c>
      <c r="C19" s="163" t="s">
        <v>553</v>
      </c>
    </row>
    <row r="20" spans="1:3" s="11" customFormat="1">
      <c r="A20" s="113"/>
      <c r="B20" s="130"/>
      <c r="C20" s="131"/>
    </row>
    <row r="21" spans="1:3" ht="21">
      <c r="A21" s="126" t="s">
        <v>483</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0" t="s">
        <v>193</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636.673</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550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484</v>
      </c>
      <c r="B8" s="21">
        <f>MAX((B5+B6),0)</f>
        <v>636.673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0.20516911332571913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130.62563488842557</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6" sqref="D56"/>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0" t="s">
        <v>154</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17622.379302876401</v>
      </c>
      <c r="C5" s="17">
        <f>IF(ISERROR('Eigen informatie GS &amp; warmtenet'!B57),0,'Eigen informatie GS &amp; warmtenet'!B57)</f>
        <v>0</v>
      </c>
      <c r="D5" s="30">
        <f>(SUM(HH_hh_gas_kWh,HH_rest_gas_kWh)/1000)*0.902</f>
        <v>56943.28013095128</v>
      </c>
      <c r="E5" s="17">
        <f>B46*B57</f>
        <v>9215.691087578547</v>
      </c>
      <c r="F5" s="17">
        <f>B51*B62</f>
        <v>11063.580587495509</v>
      </c>
      <c r="G5" s="18"/>
      <c r="H5" s="17"/>
      <c r="I5" s="17"/>
      <c r="J5" s="17">
        <f>B50*B61+C50*C61</f>
        <v>0</v>
      </c>
      <c r="K5" s="17"/>
      <c r="L5" s="17"/>
      <c r="M5" s="17"/>
      <c r="N5" s="17">
        <f>B48*B59+C48*C59</f>
        <v>20831.660065596734</v>
      </c>
      <c r="O5" s="17">
        <f>B69*B70*B71</f>
        <v>243.88000000000002</v>
      </c>
      <c r="P5" s="17">
        <f>B77*B78*B79/1000-B77*B78*B79/1000/B80</f>
        <v>457.6</v>
      </c>
    </row>
    <row r="6" spans="1:16">
      <c r="A6" s="16" t="s">
        <v>633</v>
      </c>
      <c r="B6" s="779">
        <f>kWh_PV_kleiner_dan_10kW</f>
        <v>2529.5739125864729</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20151.953215462876</v>
      </c>
      <c r="C8" s="21">
        <f>C5</f>
        <v>0</v>
      </c>
      <c r="D8" s="21">
        <f>D5</f>
        <v>56943.28013095128</v>
      </c>
      <c r="E8" s="21">
        <f>E5</f>
        <v>9215.691087578547</v>
      </c>
      <c r="F8" s="21">
        <f>F5</f>
        <v>11063.580587495509</v>
      </c>
      <c r="G8" s="21"/>
      <c r="H8" s="21"/>
      <c r="I8" s="21"/>
      <c r="J8" s="21">
        <f>J5</f>
        <v>0</v>
      </c>
      <c r="K8" s="21"/>
      <c r="L8" s="21">
        <f>L5</f>
        <v>0</v>
      </c>
      <c r="M8" s="21">
        <f>M5</f>
        <v>0</v>
      </c>
      <c r="N8" s="21">
        <f>N5</f>
        <v>20831.660065596734</v>
      </c>
      <c r="O8" s="21">
        <f>O5</f>
        <v>243.88000000000002</v>
      </c>
      <c r="P8" s="21">
        <f>P5</f>
        <v>457.6</v>
      </c>
    </row>
    <row r="9" spans="1:16">
      <c r="B9" s="19"/>
      <c r="C9" s="19"/>
      <c r="D9" s="261"/>
      <c r="E9" s="19"/>
      <c r="F9" s="19"/>
      <c r="G9" s="19"/>
      <c r="H9" s="19"/>
      <c r="I9" s="19"/>
      <c r="J9" s="19"/>
      <c r="K9" s="19"/>
      <c r="L9" s="19"/>
      <c r="M9" s="19"/>
      <c r="N9" s="19"/>
      <c r="O9" s="19"/>
      <c r="P9" s="19"/>
    </row>
    <row r="10" spans="1:16">
      <c r="A10" s="24" t="s">
        <v>213</v>
      </c>
      <c r="B10" s="25">
        <f ca="1">'EF ele_warmte'!B12</f>
        <v>0.20516911332571913</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4134.5583729978925</v>
      </c>
      <c r="C12" s="23">
        <f ca="1">C10*C8</f>
        <v>0</v>
      </c>
      <c r="D12" s="23">
        <f>D8*D10</f>
        <v>11502.542586452159</v>
      </c>
      <c r="E12" s="23">
        <f>E10*E8</f>
        <v>2091.9618768803302</v>
      </c>
      <c r="F12" s="23">
        <f>F10*F8</f>
        <v>2953.9760168613011</v>
      </c>
      <c r="G12" s="23"/>
      <c r="H12" s="23"/>
      <c r="I12" s="23"/>
      <c r="J12" s="23">
        <f>J10*J8</f>
        <v>0</v>
      </c>
      <c r="K12" s="23"/>
      <c r="L12" s="23">
        <f>L10*L8</f>
        <v>0</v>
      </c>
      <c r="M12" s="23">
        <f>M10*M8</f>
        <v>0</v>
      </c>
      <c r="N12" s="23">
        <f>N10*N8</f>
        <v>0</v>
      </c>
      <c r="O12" s="23">
        <f>O10*O8</f>
        <v>0</v>
      </c>
      <c r="P12" s="23">
        <f>P10*P8</f>
        <v>0</v>
      </c>
    </row>
    <row r="15" spans="1:16">
      <c r="A15" s="195" t="s">
        <v>495</v>
      </c>
      <c r="B15" s="205"/>
      <c r="C15" s="205"/>
      <c r="D15" s="227"/>
    </row>
    <row r="16" spans="1:16">
      <c r="A16" s="3"/>
      <c r="B16" s="43"/>
      <c r="C16" s="43"/>
      <c r="D16" s="176"/>
    </row>
    <row r="17" spans="1:7">
      <c r="A17" s="228" t="s">
        <v>214</v>
      </c>
      <c r="B17" s="204" t="s">
        <v>215</v>
      </c>
      <c r="C17" s="204" t="s">
        <v>219</v>
      </c>
      <c r="D17" s="229" t="s">
        <v>181</v>
      </c>
      <c r="E17" s="15"/>
    </row>
    <row r="18" spans="1:7">
      <c r="A18" s="173" t="s">
        <v>70</v>
      </c>
      <c r="B18" s="37">
        <f>Aantalw2001_aardgas</f>
        <v>1860</v>
      </c>
      <c r="C18" s="168" t="s">
        <v>110</v>
      </c>
      <c r="D18" s="230"/>
      <c r="E18" s="15"/>
    </row>
    <row r="19" spans="1:7">
      <c r="A19" s="173" t="s">
        <v>71</v>
      </c>
      <c r="B19" s="37">
        <f>aantalw2001_ander</f>
        <v>2</v>
      </c>
      <c r="C19" s="168" t="s">
        <v>110</v>
      </c>
      <c r="D19" s="231"/>
      <c r="E19" s="15"/>
    </row>
    <row r="20" spans="1:7">
      <c r="A20" s="173" t="s">
        <v>72</v>
      </c>
      <c r="B20" s="37">
        <f>aantalw2001_propaan</f>
        <v>106</v>
      </c>
      <c r="C20" s="169">
        <f>IF(ISERROR(B20/SUM($B$20,$B$21,$B$22)*100),0,B20/SUM($B$20,$B$21,$B$22)*100)</f>
        <v>33.974358974358978</v>
      </c>
      <c r="D20" s="231"/>
      <c r="E20" s="15"/>
    </row>
    <row r="21" spans="1:7">
      <c r="A21" s="173" t="s">
        <v>73</v>
      </c>
      <c r="B21" s="37">
        <f>aantalw2001_elektriciteit</f>
        <v>136</v>
      </c>
      <c r="C21" s="169">
        <f>IF(ISERROR(B21/SUM($B$20,$B$21,$B$22)*100),0,B21/SUM($B$20,$B$21,$B$22)*100)</f>
        <v>43.589743589743591</v>
      </c>
      <c r="D21" s="231"/>
      <c r="E21" s="15"/>
    </row>
    <row r="22" spans="1:7">
      <c r="A22" s="173" t="s">
        <v>74</v>
      </c>
      <c r="B22" s="37">
        <f>aantalw2001_hout</f>
        <v>70</v>
      </c>
      <c r="C22" s="169">
        <f>IF(ISERROR(B22/SUM($B$20,$B$21,$B$22)*100),0,B22/SUM($B$20,$B$21,$B$22)*100)</f>
        <v>22.435897435897438</v>
      </c>
      <c r="D22" s="231"/>
      <c r="E22" s="15"/>
    </row>
    <row r="23" spans="1:7">
      <c r="A23" s="173" t="s">
        <v>75</v>
      </c>
      <c r="B23" s="37">
        <f>aantalw2001_niet_gespec</f>
        <v>52</v>
      </c>
      <c r="C23" s="168" t="s">
        <v>110</v>
      </c>
      <c r="D23" s="230"/>
      <c r="E23" s="15"/>
    </row>
    <row r="24" spans="1:7">
      <c r="A24" s="173" t="s">
        <v>76</v>
      </c>
      <c r="B24" s="37">
        <f>aantalw2001_steenkool</f>
        <v>136</v>
      </c>
      <c r="C24" s="168" t="s">
        <v>110</v>
      </c>
      <c r="D24" s="231"/>
      <c r="E24" s="15"/>
    </row>
    <row r="25" spans="1:7">
      <c r="A25" s="173" t="s">
        <v>77</v>
      </c>
      <c r="B25" s="37">
        <f>aantalw2001_stookolie</f>
        <v>1749</v>
      </c>
      <c r="C25" s="168" t="s">
        <v>110</v>
      </c>
      <c r="D25" s="230"/>
      <c r="E25" s="52"/>
    </row>
    <row r="26" spans="1:7">
      <c r="A26" s="173" t="s">
        <v>78</v>
      </c>
      <c r="B26" s="37">
        <f>aantalw2001_WP</f>
        <v>5</v>
      </c>
      <c r="C26" s="168" t="s">
        <v>110</v>
      </c>
      <c r="D26" s="230"/>
      <c r="E26" s="15"/>
    </row>
    <row r="27" spans="1:7" s="15" customFormat="1">
      <c r="A27" s="173"/>
      <c r="B27" s="29"/>
      <c r="C27" s="36"/>
      <c r="D27" s="230"/>
    </row>
    <row r="28" spans="1:7" s="15" customFormat="1">
      <c r="A28" s="232" t="s">
        <v>742</v>
      </c>
      <c r="B28" s="37">
        <f>aantalHuishoudens</f>
        <v>4958</v>
      </c>
      <c r="C28" s="36"/>
      <c r="D28" s="230"/>
    </row>
    <row r="29" spans="1:7" s="15" customFormat="1">
      <c r="A29" s="232" t="s">
        <v>743</v>
      </c>
      <c r="B29" s="37">
        <f>SUM(HH_hh_gas_aantal,HH_rest_gas_aantal)</f>
        <v>3281</v>
      </c>
      <c r="C29" s="36"/>
      <c r="D29" s="230"/>
    </row>
    <row r="30" spans="1:7" s="15" customFormat="1">
      <c r="A30" s="233"/>
      <c r="B30" s="29"/>
      <c r="C30" s="36"/>
      <c r="D30" s="234"/>
    </row>
    <row r="31" spans="1:7">
      <c r="A31" s="174" t="s">
        <v>741</v>
      </c>
      <c r="B31" s="170" t="s">
        <v>215</v>
      </c>
      <c r="C31" s="167" t="s">
        <v>216</v>
      </c>
      <c r="D31" s="176"/>
      <c r="G31" s="15"/>
    </row>
    <row r="32" spans="1:7">
      <c r="A32" s="173" t="s">
        <v>70</v>
      </c>
      <c r="B32" s="37">
        <f>B29</f>
        <v>3281</v>
      </c>
      <c r="C32" s="169">
        <f>IF(ISERROR(B32/SUM($B$32,$B$34,$B$35,$B$36,$B$38,$B$39)*100),0,B32/SUM($B$32,$B$34,$B$35,$B$36,$B$38,$B$39)*100)</f>
        <v>66.497770571544393</v>
      </c>
      <c r="D32" s="235"/>
      <c r="G32" s="15"/>
    </row>
    <row r="33" spans="1:7">
      <c r="A33" s="173" t="s">
        <v>71</v>
      </c>
      <c r="B33" s="34" t="s">
        <v>110</v>
      </c>
      <c r="C33" s="169"/>
      <c r="D33" s="235"/>
      <c r="G33" s="15"/>
    </row>
    <row r="34" spans="1:7">
      <c r="A34" s="173" t="s">
        <v>72</v>
      </c>
      <c r="B34" s="33">
        <f>IF((($B$28-$B$32-$B$39-$B$77-$B$38)*C20/100)&lt;0,0,($B$28-$B$32-$B$39-$B$77-$B$38)*C20/100)</f>
        <v>401.88269230769242</v>
      </c>
      <c r="C34" s="169">
        <f>IF(ISERROR(B34/SUM($B$32,$B$34,$B$35,$B$36,$B$38,$B$39)*100),0,B34/SUM($B$32,$B$34,$B$35,$B$36,$B$38,$B$39)*100)</f>
        <v>8.1451700913597982</v>
      </c>
      <c r="D34" s="235"/>
      <c r="G34" s="15"/>
    </row>
    <row r="35" spans="1:7">
      <c r="A35" s="173" t="s">
        <v>73</v>
      </c>
      <c r="B35" s="33">
        <f>IF((($B$28-$B$32-$B$39-$B$77-$B$38)*C21/100)&lt;0,0,($B$28-$B$32-$B$39-$B$77-$B$38)*C21/100)</f>
        <v>515.62307692307695</v>
      </c>
      <c r="C35" s="169">
        <f>IF(ISERROR(B35/SUM($B$32,$B$34,$B$35,$B$36,$B$38,$B$39)*100),0,B35/SUM($B$32,$B$34,$B$35,$B$36,$B$38,$B$39)*100)</f>
        <v>10.450406909669171</v>
      </c>
      <c r="D35" s="235"/>
      <c r="G35" s="15"/>
    </row>
    <row r="36" spans="1:7">
      <c r="A36" s="173" t="s">
        <v>74</v>
      </c>
      <c r="B36" s="33">
        <f>IF((($B$28-$B$32-$B$39-$B$77-$B$38)*C22/100)&lt;0,0,($B$28-$B$32-$B$39-$B$77-$B$38)*C22/100)</f>
        <v>265.39423076923083</v>
      </c>
      <c r="C36" s="169">
        <f>IF(ISERROR(B36/SUM($B$32,$B$34,$B$35,$B$36,$B$38,$B$39)*100),0,B36/SUM($B$32,$B$34,$B$35,$B$36,$B$38,$B$39)*100)</f>
        <v>5.3788859093885453</v>
      </c>
      <c r="D36" s="235"/>
      <c r="G36" s="15"/>
    </row>
    <row r="37" spans="1:7">
      <c r="A37" s="173" t="s">
        <v>75</v>
      </c>
      <c r="B37" s="34" t="s">
        <v>110</v>
      </c>
      <c r="C37" s="169"/>
      <c r="D37" s="175"/>
      <c r="G37" s="15"/>
    </row>
    <row r="38" spans="1:7">
      <c r="A38" s="173" t="s">
        <v>76</v>
      </c>
      <c r="B38" s="33">
        <f>IF((B24-(B29-B18)*0.1)&lt;0,0,B24-(B29-B18)*0.1)</f>
        <v>0</v>
      </c>
      <c r="C38" s="169">
        <f>IF(ISERROR(B38/SUM($B$32,$B$34,$B$35,$B$36,$B$38,$B$39)*100),0,B38/SUM($B$32,$B$34,$B$35,$B$36,$B$38,$B$39)*100)</f>
        <v>0</v>
      </c>
      <c r="D38" s="236"/>
      <c r="G38" s="15"/>
    </row>
    <row r="39" spans="1:7">
      <c r="A39" s="173" t="s">
        <v>77</v>
      </c>
      <c r="B39" s="33">
        <f>IF((B25-(B29-B18))&lt;0,0,B25-(B29-B18)*0.9)</f>
        <v>470.09999999999991</v>
      </c>
      <c r="C39" s="169">
        <f>IF(ISERROR(B39/SUM($B$32,$B$34,$B$35,$B$36,$B$38,$B$39)*100),0,B39/SUM($B$32,$B$34,$B$35,$B$36,$B$38,$B$39)*100)</f>
        <v>9.527766518038101</v>
      </c>
      <c r="D39" s="236"/>
      <c r="G39" s="15"/>
    </row>
    <row r="40" spans="1:7">
      <c r="A40" s="173" t="s">
        <v>78</v>
      </c>
      <c r="B40" s="33" t="s">
        <v>218</v>
      </c>
      <c r="C40" s="169"/>
      <c r="D40" s="235"/>
      <c r="G40" s="15"/>
    </row>
    <row r="41" spans="1:7">
      <c r="A41" s="3"/>
      <c r="B41" s="43"/>
      <c r="C41" s="43"/>
      <c r="D41" s="176"/>
    </row>
    <row r="42" spans="1:7">
      <c r="A42" s="3"/>
      <c r="B42" s="43"/>
      <c r="C42" s="43"/>
      <c r="D42" s="176"/>
    </row>
    <row r="43" spans="1:7">
      <c r="A43" s="174" t="s">
        <v>487</v>
      </c>
      <c r="B43" s="171" t="s">
        <v>692</v>
      </c>
      <c r="C43" s="171" t="s">
        <v>693</v>
      </c>
      <c r="D43" s="176"/>
    </row>
    <row r="44" spans="1:7">
      <c r="A44" s="173" t="s">
        <v>70</v>
      </c>
      <c r="B44" s="33">
        <f t="shared" ref="B44:B52" si="0">B32</f>
        <v>3281</v>
      </c>
      <c r="C44" s="34" t="s">
        <v>110</v>
      </c>
      <c r="D44" s="176"/>
    </row>
    <row r="45" spans="1:7">
      <c r="A45" s="173" t="s">
        <v>71</v>
      </c>
      <c r="B45" s="33" t="str">
        <f t="shared" si="0"/>
        <v>-</v>
      </c>
      <c r="C45" s="34" t="s">
        <v>110</v>
      </c>
      <c r="D45" s="176"/>
    </row>
    <row r="46" spans="1:7">
      <c r="A46" s="173" t="s">
        <v>72</v>
      </c>
      <c r="B46" s="33">
        <f t="shared" si="0"/>
        <v>401.88269230769242</v>
      </c>
      <c r="C46" s="34" t="s">
        <v>110</v>
      </c>
      <c r="D46" s="176"/>
    </row>
    <row r="47" spans="1:7">
      <c r="A47" s="173" t="s">
        <v>73</v>
      </c>
      <c r="B47" s="33">
        <f t="shared" si="0"/>
        <v>515.62307692307695</v>
      </c>
      <c r="C47" s="34" t="s">
        <v>110</v>
      </c>
      <c r="D47" s="176"/>
    </row>
    <row r="48" spans="1:7">
      <c r="A48" s="173" t="s">
        <v>74</v>
      </c>
      <c r="B48" s="33">
        <f t="shared" si="0"/>
        <v>265.39423076923083</v>
      </c>
      <c r="C48" s="33">
        <f>B48*10</f>
        <v>2653.9423076923085</v>
      </c>
      <c r="D48" s="236"/>
    </row>
    <row r="49" spans="1:6">
      <c r="A49" s="173" t="s">
        <v>75</v>
      </c>
      <c r="B49" s="33" t="str">
        <f t="shared" si="0"/>
        <v>-</v>
      </c>
      <c r="C49" s="34" t="s">
        <v>110</v>
      </c>
      <c r="D49" s="236"/>
    </row>
    <row r="50" spans="1:6">
      <c r="A50" s="173" t="s">
        <v>76</v>
      </c>
      <c r="B50" s="33">
        <f t="shared" si="0"/>
        <v>0</v>
      </c>
      <c r="C50" s="33">
        <f>B50*2</f>
        <v>0</v>
      </c>
      <c r="D50" s="236"/>
    </row>
    <row r="51" spans="1:6">
      <c r="A51" s="173" t="s">
        <v>77</v>
      </c>
      <c r="B51" s="33">
        <f t="shared" si="0"/>
        <v>470.09999999999991</v>
      </c>
      <c r="C51" s="34" t="s">
        <v>110</v>
      </c>
      <c r="D51" s="176"/>
    </row>
    <row r="52" spans="1:6">
      <c r="A52" s="173" t="s">
        <v>78</v>
      </c>
      <c r="B52" s="33" t="str">
        <f t="shared" si="0"/>
        <v>zie verder</v>
      </c>
      <c r="C52" s="34" t="s">
        <v>110</v>
      </c>
      <c r="D52" s="176"/>
    </row>
    <row r="53" spans="1:6">
      <c r="A53" s="3"/>
      <c r="B53" s="43"/>
      <c r="C53" s="43"/>
      <c r="D53" s="176"/>
    </row>
    <row r="54" spans="1:6">
      <c r="A54" s="174" t="s">
        <v>490</v>
      </c>
      <c r="B54" s="167" t="s">
        <v>690</v>
      </c>
      <c r="C54" s="167" t="s">
        <v>691</v>
      </c>
      <c r="D54" s="301" t="s">
        <v>907</v>
      </c>
      <c r="E54" s="164"/>
      <c r="F54" s="164"/>
    </row>
    <row r="55" spans="1:6">
      <c r="A55" s="173" t="s">
        <v>70</v>
      </c>
      <c r="B55" s="165">
        <v>16.734069240520522</v>
      </c>
      <c r="C55" s="172" t="s">
        <v>110</v>
      </c>
      <c r="D55" s="175"/>
      <c r="E55" s="165"/>
      <c r="F55" s="165"/>
    </row>
    <row r="56" spans="1:6">
      <c r="A56" s="173" t="s">
        <v>71</v>
      </c>
      <c r="B56" s="172" t="s">
        <v>110</v>
      </c>
      <c r="C56" s="172" t="s">
        <v>110</v>
      </c>
      <c r="D56" s="175"/>
      <c r="E56" s="165"/>
      <c r="F56" s="165"/>
    </row>
    <row r="57" spans="1:6">
      <c r="A57" s="173" t="s">
        <v>72</v>
      </c>
      <c r="B57" s="165">
        <v>22.931296281161469</v>
      </c>
      <c r="C57" s="172" t="s">
        <v>110</v>
      </c>
      <c r="D57" s="175"/>
      <c r="E57" s="165"/>
      <c r="F57" s="165"/>
    </row>
    <row r="58" spans="1:6">
      <c r="A58" s="173" t="s">
        <v>73</v>
      </c>
      <c r="B58" s="165">
        <v>13.431418235879525</v>
      </c>
      <c r="C58" s="172" t="s">
        <v>110</v>
      </c>
      <c r="D58" s="175"/>
      <c r="E58" s="165"/>
      <c r="F58" s="165"/>
    </row>
    <row r="59" spans="1:6">
      <c r="A59" s="173" t="s">
        <v>74</v>
      </c>
      <c r="B59" s="172">
        <v>11.31379438425042</v>
      </c>
      <c r="C59" s="172">
        <v>6.7179472048924458</v>
      </c>
      <c r="D59" s="175"/>
      <c r="E59" s="165"/>
      <c r="F59" s="165"/>
    </row>
    <row r="60" spans="1:6">
      <c r="A60" s="173" t="s">
        <v>75</v>
      </c>
      <c r="B60" s="172" t="s">
        <v>110</v>
      </c>
      <c r="C60" s="172" t="s">
        <v>110</v>
      </c>
      <c r="D60" s="175"/>
      <c r="E60" s="165"/>
      <c r="F60" s="165"/>
    </row>
    <row r="61" spans="1:6">
      <c r="A61" s="173" t="s">
        <v>76</v>
      </c>
      <c r="B61" s="165">
        <v>16.151814058896115</v>
      </c>
      <c r="C61" s="172">
        <v>9.634663575289391</v>
      </c>
      <c r="D61" s="175"/>
      <c r="E61" s="165"/>
      <c r="F61" s="165"/>
    </row>
    <row r="62" spans="1:6">
      <c r="A62" s="173" t="s">
        <v>77</v>
      </c>
      <c r="B62" s="172">
        <v>23.53452581896514</v>
      </c>
      <c r="C62" s="172" t="s">
        <v>110</v>
      </c>
      <c r="D62" s="176"/>
      <c r="E62" s="165"/>
      <c r="F62" s="165"/>
    </row>
    <row r="63" spans="1:6">
      <c r="A63" s="173" t="s">
        <v>78</v>
      </c>
      <c r="B63" s="172" t="s">
        <v>218</v>
      </c>
      <c r="C63" s="172" t="s">
        <v>110</v>
      </c>
      <c r="D63" s="176"/>
      <c r="E63" s="165"/>
      <c r="F63" s="165"/>
    </row>
    <row r="64" spans="1:6">
      <c r="A64" s="177"/>
      <c r="B64" s="237"/>
      <c r="C64" s="237"/>
      <c r="D64" s="178"/>
      <c r="E64" s="165"/>
      <c r="F64" s="165"/>
    </row>
    <row r="65" spans="1:6">
      <c r="E65" s="15"/>
      <c r="F65" s="15"/>
    </row>
    <row r="66" spans="1:6">
      <c r="A66" s="196" t="s">
        <v>488</v>
      </c>
      <c r="B66" s="205"/>
      <c r="C66" s="205"/>
      <c r="D66" s="206"/>
    </row>
    <row r="67" spans="1:6" s="15" customFormat="1">
      <c r="A67" s="174"/>
      <c r="B67" s="32"/>
      <c r="C67" s="32"/>
      <c r="D67" s="207"/>
    </row>
    <row r="68" spans="1:6" s="15" customFormat="1">
      <c r="A68" s="208"/>
      <c r="B68" s="209"/>
      <c r="C68" s="210" t="s">
        <v>377</v>
      </c>
      <c r="D68" s="224" t="s">
        <v>181</v>
      </c>
    </row>
    <row r="69" spans="1:6">
      <c r="A69" s="173" t="s">
        <v>265</v>
      </c>
      <c r="B69" s="319">
        <f>aantalZB_NB_wonen+aantalZB_NB_wonen_met_kantoor+ZB_HH_bestaande_bouw</f>
        <v>156</v>
      </c>
      <c r="C69" s="43"/>
      <c r="D69" s="175"/>
    </row>
    <row r="70" spans="1:6">
      <c r="A70" s="173" t="s">
        <v>485</v>
      </c>
      <c r="B70" s="315">
        <v>4.2</v>
      </c>
      <c r="C70" s="43"/>
      <c r="D70" s="309" t="s">
        <v>519</v>
      </c>
    </row>
    <row r="71" spans="1:6">
      <c r="A71" s="247" t="s">
        <v>486</v>
      </c>
      <c r="B71" s="320">
        <f>1.34/3.6</f>
        <v>0.37222222222222223</v>
      </c>
      <c r="C71" s="43" t="s">
        <v>217</v>
      </c>
      <c r="D71" s="309" t="s">
        <v>519</v>
      </c>
    </row>
    <row r="72" spans="1:6">
      <c r="A72" s="177"/>
      <c r="B72" s="248"/>
      <c r="C72" s="180"/>
      <c r="D72" s="181"/>
    </row>
    <row r="73" spans="1:6">
      <c r="D73" s="166"/>
    </row>
    <row r="74" spans="1:6">
      <c r="A74" s="196" t="s">
        <v>489</v>
      </c>
      <c r="B74" s="205"/>
      <c r="C74" s="205"/>
      <c r="D74" s="206"/>
    </row>
    <row r="75" spans="1:6">
      <c r="A75" s="174"/>
      <c r="B75" s="32"/>
      <c r="C75" s="32"/>
      <c r="D75" s="211"/>
    </row>
    <row r="76" spans="1:6">
      <c r="A76" s="185"/>
      <c r="B76" s="184"/>
      <c r="C76" s="210" t="s">
        <v>377</v>
      </c>
      <c r="D76" s="225" t="s">
        <v>181</v>
      </c>
    </row>
    <row r="77" spans="1:6">
      <c r="A77" s="173" t="s">
        <v>265</v>
      </c>
      <c r="B77" s="319">
        <f>aantalWP_NB_wonen+aantalWP_NB_wonen_met_kantoor+WP_HH_bestaande_bouw</f>
        <v>24</v>
      </c>
      <c r="C77" s="32"/>
      <c r="D77" s="179"/>
    </row>
    <row r="78" spans="1:6">
      <c r="A78" s="173" t="s">
        <v>455</v>
      </c>
      <c r="B78" s="315">
        <v>13</v>
      </c>
      <c r="C78" s="32" t="s">
        <v>262</v>
      </c>
      <c r="D78" s="309" t="s">
        <v>519</v>
      </c>
    </row>
    <row r="79" spans="1:6">
      <c r="A79" s="173" t="s">
        <v>456</v>
      </c>
      <c r="B79" s="315">
        <v>2000</v>
      </c>
      <c r="C79" s="32" t="s">
        <v>264</v>
      </c>
      <c r="D79" s="309" t="s">
        <v>519</v>
      </c>
    </row>
    <row r="80" spans="1:6">
      <c r="A80" s="173" t="s">
        <v>416</v>
      </c>
      <c r="B80" s="315">
        <v>3.75</v>
      </c>
      <c r="C80" s="43"/>
      <c r="D80" s="309" t="s">
        <v>519</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8"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155</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253"/>
      <c r="G4" s="14"/>
      <c r="H4" s="14"/>
      <c r="I4" s="14"/>
      <c r="J4" s="14"/>
      <c r="K4" s="14"/>
      <c r="L4" s="14"/>
      <c r="M4" s="14"/>
      <c r="N4" s="14"/>
      <c r="O4" s="14"/>
      <c r="P4" s="14"/>
      <c r="R4" s="6"/>
    </row>
    <row r="5" spans="1:18">
      <c r="A5" s="16" t="s">
        <v>258</v>
      </c>
      <c r="B5" s="30">
        <f>SUM(B6:B12)</f>
        <v>20415.117634579827</v>
      </c>
      <c r="C5" s="17">
        <f>IF(ISERROR('Eigen informatie GS &amp; warmtenet'!B58),0,'Eigen informatie GS &amp; warmtenet'!B58)</f>
        <v>0</v>
      </c>
      <c r="D5" s="30">
        <f>SUM(D6:D12)</f>
        <v>23196.79265911007</v>
      </c>
      <c r="E5" s="17">
        <f>SUM(E6:E12)</f>
        <v>318.50371367332571</v>
      </c>
      <c r="F5" s="17">
        <f>SUM(F6:F12)</f>
        <v>4087.9699121857957</v>
      </c>
      <c r="G5" s="18"/>
      <c r="H5" s="17"/>
      <c r="I5" s="17"/>
      <c r="J5" s="17">
        <f>SUM(J6:J12)</f>
        <v>0</v>
      </c>
      <c r="K5" s="17"/>
      <c r="L5" s="17"/>
      <c r="M5" s="17"/>
      <c r="N5" s="17">
        <f>SUM(N6:N12)</f>
        <v>1508.3544064970715</v>
      </c>
      <c r="O5" s="17">
        <f>B38*B39*B40</f>
        <v>3.1266666666666669</v>
      </c>
      <c r="P5" s="17">
        <f>B46*B47*B48/1000-B46*B47*B48/1000/B49</f>
        <v>19.066666666666666</v>
      </c>
      <c r="R5" s="32"/>
    </row>
    <row r="6" spans="1:18">
      <c r="A6" s="32" t="s">
        <v>53</v>
      </c>
      <c r="B6" s="37">
        <f>B26</f>
        <v>2985.9074680067902</v>
      </c>
      <c r="C6" s="33"/>
      <c r="D6" s="37">
        <f>IF(ISERROR(TER_kantoor_gas_kWh/1000),0,TER_kantoor_gas_kWh/1000)*0.902</f>
        <v>3693.2151896384039</v>
      </c>
      <c r="E6" s="33">
        <f>$C$26*'E Balans VL '!I12/100/3.6*1000000</f>
        <v>11.600882666649676</v>
      </c>
      <c r="F6" s="33">
        <f>$C$26*('E Balans VL '!L12+'E Balans VL '!N12)/100/3.6*1000000</f>
        <v>454.12935629202167</v>
      </c>
      <c r="G6" s="34"/>
      <c r="H6" s="33"/>
      <c r="I6" s="33"/>
      <c r="J6" s="33">
        <f>$C$26*('E Balans VL '!D12+'E Balans VL '!E12)/100/3.6*1000000</f>
        <v>0</v>
      </c>
      <c r="K6" s="33"/>
      <c r="L6" s="33"/>
      <c r="M6" s="33"/>
      <c r="N6" s="33">
        <f>$C$26*'E Balans VL '!Y12/100/3.6*1000000</f>
        <v>1.6455927177772793</v>
      </c>
      <c r="O6" s="33"/>
      <c r="P6" s="33"/>
      <c r="R6" s="32"/>
    </row>
    <row r="7" spans="1:18">
      <c r="A7" s="32" t="s">
        <v>52</v>
      </c>
      <c r="B7" s="37">
        <f t="shared" ref="B7:B12" si="0">B27</f>
        <v>2216.8534722171903</v>
      </c>
      <c r="C7" s="33"/>
      <c r="D7" s="37">
        <f>IF(ISERROR(TER_horeca_gas_kWh/1000),0,TER_horeca_gas_kWh/1000)*0.902</f>
        <v>2308.5702019552396</v>
      </c>
      <c r="E7" s="33">
        <f>$C$27*'E Balans VL '!I9/100/3.6*1000000</f>
        <v>124.87594877841471</v>
      </c>
      <c r="F7" s="33">
        <f>$C$27*('E Balans VL '!L9+'E Balans VL '!N9)/100/3.6*1000000</f>
        <v>639.20782107940795</v>
      </c>
      <c r="G7" s="34"/>
      <c r="H7" s="33"/>
      <c r="I7" s="33"/>
      <c r="J7" s="33">
        <f>$C$27*('E Balans VL '!D9+'E Balans VL '!E9)/100/3.6*1000000</f>
        <v>0</v>
      </c>
      <c r="K7" s="33"/>
      <c r="L7" s="33"/>
      <c r="M7" s="33"/>
      <c r="N7" s="33">
        <f>$C$27*'E Balans VL '!Y9/100/3.6*1000000</f>
        <v>0.61206172382465684</v>
      </c>
      <c r="O7" s="33"/>
      <c r="P7" s="33"/>
      <c r="R7" s="32"/>
    </row>
    <row r="8" spans="1:18">
      <c r="A8" s="6" t="s">
        <v>51</v>
      </c>
      <c r="B8" s="37">
        <f t="shared" si="0"/>
        <v>5405.6317151858202</v>
      </c>
      <c r="C8" s="33"/>
      <c r="D8" s="37">
        <f>IF(ISERROR(TER_handel_gas_kWh/1000),0,TER_handel_gas_kWh/1000)*0.902</f>
        <v>8974.2271173873669</v>
      </c>
      <c r="E8" s="33">
        <f>$C$28*'E Balans VL '!I13/100/3.6*1000000</f>
        <v>77.91349249990472</v>
      </c>
      <c r="F8" s="33">
        <f>$C$28*('E Balans VL '!L13+'E Balans VL '!N13)/100/3.6*1000000</f>
        <v>939.08411759560101</v>
      </c>
      <c r="G8" s="34"/>
      <c r="H8" s="33"/>
      <c r="I8" s="33"/>
      <c r="J8" s="33">
        <f>$C$28*('E Balans VL '!D13+'E Balans VL '!E13)/100/3.6*1000000</f>
        <v>0</v>
      </c>
      <c r="K8" s="33"/>
      <c r="L8" s="33"/>
      <c r="M8" s="33"/>
      <c r="N8" s="33">
        <f>$C$28*'E Balans VL '!Y13/100/3.6*1000000</f>
        <v>16.195874386015753</v>
      </c>
      <c r="O8" s="33"/>
      <c r="P8" s="33"/>
      <c r="R8" s="32"/>
    </row>
    <row r="9" spans="1:18">
      <c r="A9" s="32" t="s">
        <v>50</v>
      </c>
      <c r="B9" s="37">
        <f t="shared" si="0"/>
        <v>465.33435137194903</v>
      </c>
      <c r="C9" s="33"/>
      <c r="D9" s="37">
        <f>IF(ISERROR(TER_gezond_gas_kWh/1000),0,TER_gezond_gas_kWh/1000)*0.902</f>
        <v>368.93433104168162</v>
      </c>
      <c r="E9" s="33">
        <f>$C$29*'E Balans VL '!I10/100/3.6*1000000</f>
        <v>0.49709769749984661</v>
      </c>
      <c r="F9" s="33">
        <f>$C$29*('E Balans VL '!L10+'E Balans VL '!N10)/100/3.6*1000000</f>
        <v>75.910174750386574</v>
      </c>
      <c r="G9" s="34"/>
      <c r="H9" s="33"/>
      <c r="I9" s="33"/>
      <c r="J9" s="33">
        <f>$C$29*('E Balans VL '!D10+'E Balans VL '!E10)/100/3.6*1000000</f>
        <v>0</v>
      </c>
      <c r="K9" s="33"/>
      <c r="L9" s="33"/>
      <c r="M9" s="33"/>
      <c r="N9" s="33">
        <f>$C$29*'E Balans VL '!Y10/100/3.6*1000000</f>
        <v>4.7903516328904168</v>
      </c>
      <c r="O9" s="33"/>
      <c r="P9" s="33"/>
      <c r="R9" s="32"/>
    </row>
    <row r="10" spans="1:18">
      <c r="A10" s="32" t="s">
        <v>49</v>
      </c>
      <c r="B10" s="37">
        <f t="shared" si="0"/>
        <v>1212.23132621744</v>
      </c>
      <c r="C10" s="33"/>
      <c r="D10" s="37">
        <f>IF(ISERROR(TER_ander_gas_kWh/1000),0,TER_ander_gas_kWh/1000)*0.902</f>
        <v>209.01988165816834</v>
      </c>
      <c r="E10" s="33">
        <f>$C$30*'E Balans VL '!I14/100/3.6*1000000</f>
        <v>5.5748674752010459</v>
      </c>
      <c r="F10" s="33">
        <f>$C$30*('E Balans VL '!L14+'E Balans VL '!N14)/100/3.6*1000000</f>
        <v>363.34396568009117</v>
      </c>
      <c r="G10" s="34"/>
      <c r="H10" s="33"/>
      <c r="I10" s="33"/>
      <c r="J10" s="33">
        <f>$C$30*('E Balans VL '!D14+'E Balans VL '!E14)/100/3.6*1000000</f>
        <v>0</v>
      </c>
      <c r="K10" s="33"/>
      <c r="L10" s="33"/>
      <c r="M10" s="33"/>
      <c r="N10" s="33">
        <f>$C$30*'E Balans VL '!Y14/100/3.6*1000000</f>
        <v>843.79302336900651</v>
      </c>
      <c r="O10" s="33"/>
      <c r="P10" s="33"/>
      <c r="R10" s="32"/>
    </row>
    <row r="11" spans="1:18">
      <c r="A11" s="32" t="s">
        <v>54</v>
      </c>
      <c r="B11" s="37">
        <f t="shared" si="0"/>
        <v>50.102021594058002</v>
      </c>
      <c r="C11" s="33"/>
      <c r="D11" s="37">
        <f>IF(ISERROR(TER_onderwijs_gas_kWh/1000),0,TER_onderwijs_gas_kWh/1000)*0.902</f>
        <v>0</v>
      </c>
      <c r="E11" s="33">
        <f>$C$31*'E Balans VL '!I11/100/3.6*1000000</f>
        <v>4.6476213884135163E-2</v>
      </c>
      <c r="F11" s="33">
        <f>$C$31*('E Balans VL '!L11+'E Balans VL '!N11)/100/3.6*1000000</f>
        <v>17.599688673815603</v>
      </c>
      <c r="G11" s="34"/>
      <c r="H11" s="33"/>
      <c r="I11" s="33"/>
      <c r="J11" s="33">
        <f>$C$31*('E Balans VL '!D11+'E Balans VL '!E11)/100/3.6*1000000</f>
        <v>0</v>
      </c>
      <c r="K11" s="33"/>
      <c r="L11" s="33"/>
      <c r="M11" s="33"/>
      <c r="N11" s="33">
        <f>$C$31*'E Balans VL '!Y11/100/3.6*1000000</f>
        <v>0</v>
      </c>
      <c r="O11" s="33"/>
      <c r="P11" s="33"/>
      <c r="R11" s="32"/>
    </row>
    <row r="12" spans="1:18">
      <c r="A12" s="32" t="s">
        <v>259</v>
      </c>
      <c r="B12" s="37">
        <f t="shared" si="0"/>
        <v>8079.0572799865795</v>
      </c>
      <c r="C12" s="33"/>
      <c r="D12" s="37">
        <f>IF(ISERROR(TER_rest_gas_kWh/1000),0,TER_rest_gas_kWh/1000)*0.902</f>
        <v>7642.8259374292084</v>
      </c>
      <c r="E12" s="33">
        <f>$C$32*'E Balans VL '!I8/100/3.6*1000000</f>
        <v>97.994948341771533</v>
      </c>
      <c r="F12" s="33">
        <f>$C$32*('E Balans VL '!L8+'E Balans VL '!N8)/100/3.6*1000000</f>
        <v>1598.6947881144717</v>
      </c>
      <c r="G12" s="34"/>
      <c r="H12" s="33"/>
      <c r="I12" s="33"/>
      <c r="J12" s="33">
        <f>$C$32*('E Balans VL '!D8+'E Balans VL '!E8)/100/3.6*1000000</f>
        <v>0</v>
      </c>
      <c r="K12" s="33"/>
      <c r="L12" s="33"/>
      <c r="M12" s="33"/>
      <c r="N12" s="33">
        <f>$C$32*'E Balans VL '!Y8/100/3.6*1000000</f>
        <v>641.31750266755682</v>
      </c>
      <c r="O12" s="33"/>
      <c r="P12" s="33"/>
      <c r="R12" s="32"/>
    </row>
    <row r="13" spans="1:18">
      <c r="A13" s="16" t="s">
        <v>496</v>
      </c>
      <c r="B13" s="249">
        <f ca="1">'lokale energieproductie'!N38+'lokale energieproductie'!N31</f>
        <v>1035</v>
      </c>
      <c r="C13" s="249">
        <f ca="1">'lokale energieproductie'!O38+'lokale energieproductie'!O31</f>
        <v>0</v>
      </c>
      <c r="D13" s="310">
        <f ca="1">('lokale energieproductie'!P31+'lokale energieproductie'!P38)*(-1)</f>
        <v>0</v>
      </c>
      <c r="E13" s="250"/>
      <c r="F13" s="310">
        <f ca="1">('lokale energieproductie'!S31+'lokale energieproductie'!S38)*(-1)</f>
        <v>0</v>
      </c>
      <c r="G13" s="251"/>
      <c r="H13" s="250"/>
      <c r="I13" s="250"/>
      <c r="J13" s="250"/>
      <c r="K13" s="250"/>
      <c r="L13" s="310">
        <f ca="1">('lokale energieproductie'!U31+'lokale energieproductie'!T31+'lokale energieproductie'!U38+'lokale energieproductie'!T38)*(-1)</f>
        <v>0</v>
      </c>
      <c r="M13" s="250"/>
      <c r="N13" s="310">
        <f ca="1">('lokale energieproductie'!Q31+'lokale energieproductie'!R31+'lokale energieproductie'!V31+'lokale energieproductie'!Q38+'lokale energieproductie'!R38+'lokale energieproductie'!V38)*(-1)</f>
        <v>-2957.1428571428573</v>
      </c>
      <c r="O13" s="250"/>
      <c r="P13" s="250"/>
      <c r="R13" s="32"/>
    </row>
    <row r="14" spans="1:18">
      <c r="A14" s="16" t="s">
        <v>510</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260</v>
      </c>
      <c r="B16" s="21">
        <f t="shared" ref="B16:N16" ca="1" si="1">MAX((B5+B13+B14),0)</f>
        <v>21450.117634579827</v>
      </c>
      <c r="C16" s="21">
        <f t="shared" ca="1" si="1"/>
        <v>0</v>
      </c>
      <c r="D16" s="21">
        <f t="shared" ca="1" si="1"/>
        <v>23196.79265911007</v>
      </c>
      <c r="E16" s="21">
        <f t="shared" si="1"/>
        <v>318.50371367332571</v>
      </c>
      <c r="F16" s="21">
        <f t="shared" ca="1" si="1"/>
        <v>4087.9699121857957</v>
      </c>
      <c r="G16" s="21">
        <f t="shared" si="1"/>
        <v>0</v>
      </c>
      <c r="H16" s="21">
        <f t="shared" si="1"/>
        <v>0</v>
      </c>
      <c r="I16" s="21">
        <f t="shared" si="1"/>
        <v>0</v>
      </c>
      <c r="J16" s="21">
        <f t="shared" si="1"/>
        <v>0</v>
      </c>
      <c r="K16" s="21">
        <f t="shared" si="1"/>
        <v>0</v>
      </c>
      <c r="L16" s="21">
        <f t="shared" ca="1" si="1"/>
        <v>0</v>
      </c>
      <c r="M16" s="21">
        <f t="shared" si="1"/>
        <v>0</v>
      </c>
      <c r="N16" s="21">
        <f t="shared" ca="1" si="1"/>
        <v>0</v>
      </c>
      <c r="O16" s="21">
        <f>O5</f>
        <v>3.1266666666666669</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0.20516911332571913</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4400.9016158191152</v>
      </c>
      <c r="C20" s="23">
        <f t="shared" ref="C20:P20" ca="1" si="2">C16*C18</f>
        <v>0</v>
      </c>
      <c r="D20" s="23">
        <f t="shared" ca="1" si="2"/>
        <v>4685.7521171402341</v>
      </c>
      <c r="E20" s="23">
        <f t="shared" si="2"/>
        <v>72.300343003844944</v>
      </c>
      <c r="F20" s="23">
        <f t="shared" ca="1" si="2"/>
        <v>1091.4879665536075</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495</v>
      </c>
      <c r="B23" s="205"/>
      <c r="C23" s="205"/>
      <c r="D23" s="227"/>
    </row>
    <row r="24" spans="1:18">
      <c r="A24" s="238"/>
      <c r="B24" s="32"/>
      <c r="C24" s="32"/>
      <c r="D24" s="239"/>
    </row>
    <row r="25" spans="1:18">
      <c r="A25" s="240"/>
      <c r="B25" s="226" t="s">
        <v>266</v>
      </c>
      <c r="C25" s="226" t="s">
        <v>267</v>
      </c>
      <c r="D25" s="241" t="s">
        <v>181</v>
      </c>
    </row>
    <row r="26" spans="1:18">
      <c r="A26" s="233" t="s">
        <v>53</v>
      </c>
      <c r="B26" s="33">
        <f>IF(ISERROR(TER_kantoor_ele_kWh/1000),0,TER_kantoor_ele_kWh/1000)</f>
        <v>2985.9074680067902</v>
      </c>
      <c r="C26" s="39">
        <f>IF(ISERROR(B26*3.6/1000000/'E Balans VL '!Z12*100),0,B26*3.6/1000000/'E Balans VL '!Z12*100)</f>
        <v>6.3422153646753077E-2</v>
      </c>
      <c r="D26" s="239" t="s">
        <v>689</v>
      </c>
      <c r="F26" s="6"/>
    </row>
    <row r="27" spans="1:18">
      <c r="A27" s="233" t="s">
        <v>52</v>
      </c>
      <c r="B27" s="33">
        <f>IF(ISERROR(TER_horeca_ele_kWh/1000),0,TER_horeca_ele_kWh/1000)</f>
        <v>2216.8534722171903</v>
      </c>
      <c r="C27" s="39">
        <f>IF(ISERROR(B27*3.6/1000000/'E Balans VL '!Z9*100),0,B27*3.6/1000000/'E Balans VL '!Z9*100)</f>
        <v>0.17237385827610263</v>
      </c>
      <c r="D27" s="239" t="s">
        <v>689</v>
      </c>
      <c r="F27" s="6"/>
    </row>
    <row r="28" spans="1:18">
      <c r="A28" s="173" t="s">
        <v>51</v>
      </c>
      <c r="B28" s="33">
        <f>IF(ISERROR(TER_handel_ele_kWh/1000),0,TER_handel_ele_kWh/1000)</f>
        <v>5405.6317151858202</v>
      </c>
      <c r="C28" s="39">
        <f>IF(ISERROR(B28*3.6/1000000/'E Balans VL '!Z13*100),0,B28*3.6/1000000/'E Balans VL '!Z13*100)</f>
        <v>0.15466148516359271</v>
      </c>
      <c r="D28" s="239" t="s">
        <v>689</v>
      </c>
      <c r="F28" s="6"/>
    </row>
    <row r="29" spans="1:18">
      <c r="A29" s="233" t="s">
        <v>50</v>
      </c>
      <c r="B29" s="33">
        <f>IF(ISERROR(TER_gezond_ele_kWh/1000),0,TER_gezond_ele_kWh/1000)</f>
        <v>465.33435137194903</v>
      </c>
      <c r="C29" s="39">
        <f>IF(ISERROR(B29*3.6/1000000/'E Balans VL '!Z10*100),0,B29*3.6/1000000/'E Balans VL '!Z10*100)</f>
        <v>5.0732257373036674E-2</v>
      </c>
      <c r="D29" s="239" t="s">
        <v>689</v>
      </c>
      <c r="F29" s="6"/>
    </row>
    <row r="30" spans="1:18">
      <c r="A30" s="233" t="s">
        <v>49</v>
      </c>
      <c r="B30" s="33">
        <f>IF(ISERROR(TER_ander_ele_kWh/1000),0,TER_ander_ele_kWh/1000)</f>
        <v>1212.23132621744</v>
      </c>
      <c r="C30" s="39">
        <f>IF(ISERROR(B30*3.6/1000000/'E Balans VL '!Z14*100),0,B30*3.6/1000000/'E Balans VL '!Z14*100)</f>
        <v>8.8708338571015899E-2</v>
      </c>
      <c r="D30" s="239" t="s">
        <v>689</v>
      </c>
      <c r="F30" s="6"/>
    </row>
    <row r="31" spans="1:18">
      <c r="A31" s="233" t="s">
        <v>54</v>
      </c>
      <c r="B31" s="33">
        <f>IF(ISERROR(TER_onderwijs_ele_kWh/1000),0,TER_onderwijs_ele_kWh/1000)</f>
        <v>50.102021594058002</v>
      </c>
      <c r="C31" s="39">
        <f>IF(ISERROR(B31*3.6/1000000/'E Balans VL '!Z11*100),0,B31*3.6/1000000/'E Balans VL '!Z11*100)</f>
        <v>1.0063028241901868E-2</v>
      </c>
      <c r="D31" s="239" t="s">
        <v>689</v>
      </c>
    </row>
    <row r="32" spans="1:18">
      <c r="A32" s="233" t="s">
        <v>259</v>
      </c>
      <c r="B32" s="33">
        <f>IF(ISERROR(TER_rest_ele_kWh/1000),0,TER_rest_ele_kWh/1000)</f>
        <v>8079.0572799865795</v>
      </c>
      <c r="C32" s="39">
        <f>IF(ISERROR(B32*3.6/1000000/'E Balans VL '!Z8*100),0,B32*3.6/1000000/'E Balans VL '!Z8*100)</f>
        <v>6.5839413901141355E-2</v>
      </c>
      <c r="D32" s="239" t="s">
        <v>689</v>
      </c>
    </row>
    <row r="33" spans="1:4">
      <c r="A33" s="242"/>
      <c r="B33" s="182"/>
      <c r="C33" s="182"/>
      <c r="D33" s="243"/>
    </row>
    <row r="34" spans="1:4">
      <c r="A34" s="32"/>
      <c r="B34" s="32"/>
      <c r="C34" s="32"/>
    </row>
    <row r="35" spans="1:4">
      <c r="A35" s="195" t="s">
        <v>488</v>
      </c>
      <c r="B35" s="205"/>
      <c r="C35" s="205"/>
      <c r="D35" s="227"/>
    </row>
    <row r="36" spans="1:4">
      <c r="A36" s="238"/>
      <c r="B36" s="32"/>
      <c r="C36" s="32"/>
      <c r="D36" s="234"/>
    </row>
    <row r="37" spans="1:4">
      <c r="A37" s="244"/>
      <c r="B37" s="245"/>
      <c r="C37" s="226" t="s">
        <v>377</v>
      </c>
      <c r="D37" s="246" t="s">
        <v>181</v>
      </c>
    </row>
    <row r="38" spans="1:4">
      <c r="A38" s="173" t="s">
        <v>265</v>
      </c>
      <c r="B38" s="319">
        <f>aantalZB_NB_ander+aantalZB_NB_ander_met_kantoor+aantalZB_NB_kantoor+aantalZB_NB_school+ZB_NHH_bestaande_bouw+aantalZB_NB_NIET_RESIDENTIEEL_EPN</f>
        <v>2</v>
      </c>
      <c r="C38" s="43"/>
      <c r="D38" s="234"/>
    </row>
    <row r="39" spans="1:4">
      <c r="A39" s="173" t="s">
        <v>485</v>
      </c>
      <c r="B39" s="315">
        <v>4.2</v>
      </c>
      <c r="C39" s="43"/>
      <c r="D39" s="309" t="s">
        <v>519</v>
      </c>
    </row>
    <row r="40" spans="1:4">
      <c r="A40" s="6" t="s">
        <v>486</v>
      </c>
      <c r="B40" s="320">
        <f>1.34/3.6</f>
        <v>0.37222222222222223</v>
      </c>
      <c r="C40" s="43" t="s">
        <v>217</v>
      </c>
      <c r="D40" s="309" t="s">
        <v>519</v>
      </c>
    </row>
    <row r="41" spans="1:4">
      <c r="A41" s="242"/>
      <c r="B41" s="182"/>
      <c r="C41" s="182"/>
      <c r="D41" s="243"/>
    </row>
    <row r="43" spans="1:4">
      <c r="A43" s="196" t="s">
        <v>489</v>
      </c>
      <c r="B43" s="205"/>
      <c r="C43" s="205"/>
      <c r="D43" s="227"/>
    </row>
    <row r="44" spans="1:4">
      <c r="A44" s="232"/>
      <c r="B44" s="32"/>
      <c r="C44" s="32"/>
      <c r="D44" s="234"/>
    </row>
    <row r="45" spans="1:4">
      <c r="A45" s="244"/>
      <c r="B45" s="245"/>
      <c r="C45" s="226" t="s">
        <v>377</v>
      </c>
      <c r="D45" s="246" t="s">
        <v>181</v>
      </c>
    </row>
    <row r="46" spans="1:4">
      <c r="A46" s="173" t="s">
        <v>265</v>
      </c>
      <c r="B46" s="542">
        <f>aantalWP_NB_ander+antalWP_NB_ander_met_kantoor+aantalWP_NB_kantoor+aantalWP_NB_school+WP_NHH_bestaande_bouw+aantalWP_NB_NIET_RESIDENTIEEL_EPN</f>
        <v>1</v>
      </c>
      <c r="C46" s="32"/>
      <c r="D46" s="234"/>
    </row>
    <row r="47" spans="1:4">
      <c r="A47" s="173" t="s">
        <v>455</v>
      </c>
      <c r="B47" s="543">
        <v>13</v>
      </c>
      <c r="C47" s="32" t="s">
        <v>262</v>
      </c>
      <c r="D47" s="309" t="s">
        <v>519</v>
      </c>
    </row>
    <row r="48" spans="1:4">
      <c r="A48" s="173" t="s">
        <v>456</v>
      </c>
      <c r="B48" s="543">
        <v>2000</v>
      </c>
      <c r="C48" s="32" t="s">
        <v>264</v>
      </c>
      <c r="D48" s="309" t="s">
        <v>519</v>
      </c>
    </row>
    <row r="49" spans="1:4">
      <c r="A49" s="173" t="s">
        <v>416</v>
      </c>
      <c r="B49" s="543">
        <v>3.75</v>
      </c>
      <c r="C49" s="32"/>
      <c r="D49" s="309" t="s">
        <v>519</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162</v>
      </c>
      <c r="B1" s="1211" t="s">
        <v>194</v>
      </c>
      <c r="C1" s="1212"/>
      <c r="D1" s="1212"/>
      <c r="E1" s="1212"/>
      <c r="F1" s="1212"/>
      <c r="G1" s="1212"/>
      <c r="H1" s="1212"/>
      <c r="I1" s="1212"/>
      <c r="J1" s="1212"/>
      <c r="K1" s="1212"/>
      <c r="L1" s="1212"/>
      <c r="M1" s="1212"/>
      <c r="N1" s="1212"/>
      <c r="O1" s="1212"/>
      <c r="P1" s="1212"/>
      <c r="R1" s="76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c r="R2" s="762"/>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c r="R3" s="762"/>
    </row>
    <row r="4" spans="1:18" ht="15.75">
      <c r="A4" s="13"/>
      <c r="B4" s="14"/>
      <c r="C4" s="14"/>
      <c r="D4" s="14"/>
      <c r="E4" s="14"/>
      <c r="F4" s="14"/>
      <c r="G4" s="14"/>
      <c r="H4" s="14"/>
      <c r="I4" s="14"/>
      <c r="J4" s="14"/>
      <c r="K4" s="14"/>
      <c r="L4" s="14"/>
      <c r="M4" s="14"/>
      <c r="N4" s="14"/>
      <c r="O4" s="14"/>
      <c r="P4" s="14"/>
      <c r="R4" s="6"/>
    </row>
    <row r="5" spans="1:18">
      <c r="A5" s="16" t="s">
        <v>268</v>
      </c>
      <c r="B5" s="30">
        <f>SUM(B6:B15)</f>
        <v>73011.189852326323</v>
      </c>
      <c r="C5" s="17">
        <f>IF(ISERROR('Eigen informatie GS &amp; warmtenet'!B59),0,'Eigen informatie GS &amp; warmtenet'!B59)</f>
        <v>0</v>
      </c>
      <c r="D5" s="30">
        <f>SUM(D6:D15)</f>
        <v>87043.11880259098</v>
      </c>
      <c r="E5" s="17">
        <f>SUM(E6:E15)</f>
        <v>5192.9687994590868</v>
      </c>
      <c r="F5" s="17">
        <f>SUM(F6:F15)</f>
        <v>49583.619094702291</v>
      </c>
      <c r="G5" s="18"/>
      <c r="H5" s="17"/>
      <c r="I5" s="17"/>
      <c r="J5" s="17">
        <f>SUM(J6:J15)</f>
        <v>117.30057810376063</v>
      </c>
      <c r="K5" s="17"/>
      <c r="L5" s="17"/>
      <c r="M5" s="17"/>
      <c r="N5" s="17">
        <f>SUM(N6:N15)</f>
        <v>9666.8743141455889</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106.217513308137</v>
      </c>
      <c r="C8" s="33"/>
      <c r="D8" s="37">
        <f>IF( ISERROR(IND_metaal_Gas_kWH/1000),0,IND_metaal_Gas_kWH/1000)*0.902</f>
        <v>0</v>
      </c>
      <c r="E8" s="33">
        <f>C30*'E Balans VL '!I18/100/3.6*1000000</f>
        <v>3.0509656738437383</v>
      </c>
      <c r="F8" s="33">
        <f>C30*'E Balans VL '!L18/100/3.6*1000000+C30*'E Balans VL '!N18/100/3.6*1000000</f>
        <v>27.242749307174712</v>
      </c>
      <c r="G8" s="34"/>
      <c r="H8" s="33"/>
      <c r="I8" s="33"/>
      <c r="J8" s="40">
        <f>C30*'E Balans VL '!D18/100/3.6*1000000+C30*'E Balans VL '!E18/100/3.6*1000000</f>
        <v>0</v>
      </c>
      <c r="K8" s="33"/>
      <c r="L8" s="33"/>
      <c r="M8" s="33"/>
      <c r="N8" s="33">
        <f>C30*'E Balans VL '!Y18/100/3.6*1000000</f>
        <v>2.8840223069792388</v>
      </c>
      <c r="O8" s="33"/>
      <c r="P8" s="33"/>
      <c r="R8" s="32"/>
    </row>
    <row r="9" spans="1:18">
      <c r="A9" s="6" t="s">
        <v>32</v>
      </c>
      <c r="B9" s="37">
        <f t="shared" si="0"/>
        <v>2220.1632306844899</v>
      </c>
      <c r="C9" s="33"/>
      <c r="D9" s="37">
        <f>IF( ISERROR(IND_andere_gas_kWh/1000),0,IND_andere_gas_kWh/1000)*0.902</f>
        <v>1911.4184960681064</v>
      </c>
      <c r="E9" s="33">
        <f>C31*'E Balans VL '!I19/100/3.6*1000000</f>
        <v>600.94359930314226</v>
      </c>
      <c r="F9" s="33">
        <f>C31*'E Balans VL '!L19/100/3.6*1000000+C31*'E Balans VL '!N19/100/3.6*1000000</f>
        <v>1478.8636539828424</v>
      </c>
      <c r="G9" s="34"/>
      <c r="H9" s="33"/>
      <c r="I9" s="33"/>
      <c r="J9" s="40">
        <f>C31*'E Balans VL '!D19/100/3.6*1000000+C31*'E Balans VL '!E19/100/3.6*1000000</f>
        <v>0</v>
      </c>
      <c r="K9" s="33"/>
      <c r="L9" s="33"/>
      <c r="M9" s="33"/>
      <c r="N9" s="33">
        <f>C31*'E Balans VL '!Y19/100/3.6*1000000</f>
        <v>187.70009425240698</v>
      </c>
      <c r="O9" s="33"/>
      <c r="P9" s="33"/>
      <c r="R9" s="32"/>
    </row>
    <row r="10" spans="1:18">
      <c r="A10" s="6" t="s">
        <v>40</v>
      </c>
      <c r="B10" s="37">
        <f t="shared" si="0"/>
        <v>25048.309119525897</v>
      </c>
      <c r="C10" s="33"/>
      <c r="D10" s="37">
        <f>IF( ISERROR(IND_voed_gas_kWh/1000),0,IND_voed_gas_kWh/1000)*0.902</f>
        <v>16752.800962643272</v>
      </c>
      <c r="E10" s="33">
        <f>C32*'E Balans VL '!I20/100/3.6*1000000</f>
        <v>2042.9976387812835</v>
      </c>
      <c r="F10" s="33">
        <f>C32*'E Balans VL '!L20/100/3.6*1000000+C32*'E Balans VL '!N20/100/3.6*1000000</f>
        <v>37349.30147894298</v>
      </c>
      <c r="G10" s="34"/>
      <c r="H10" s="33"/>
      <c r="I10" s="33"/>
      <c r="J10" s="40">
        <f>C32*'E Balans VL '!D20/100/3.6*1000000+C32*'E Balans VL '!E20/100/3.6*1000000</f>
        <v>0.33135872508284797</v>
      </c>
      <c r="K10" s="33"/>
      <c r="L10" s="33"/>
      <c r="M10" s="33"/>
      <c r="N10" s="33">
        <f>C32*'E Balans VL '!Y20/100/3.6*1000000</f>
        <v>7358.3093597925608</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45636.499988807795</v>
      </c>
      <c r="C15" s="33"/>
      <c r="D15" s="37">
        <f>IF( ISERROR(IND_rest_gas_kWh/1000),0,IND_rest_gas_kWh/1000)*0.902</f>
        <v>68378.899343879602</v>
      </c>
      <c r="E15" s="33">
        <f>C37*'E Balans VL '!I15/100/3.6*1000000</f>
        <v>2545.9765957008171</v>
      </c>
      <c r="F15" s="33">
        <f>C37*'E Balans VL '!L15/100/3.6*1000000+C37*'E Balans VL '!N15/100/3.6*1000000</f>
        <v>10728.211212469294</v>
      </c>
      <c r="G15" s="34"/>
      <c r="H15" s="33"/>
      <c r="I15" s="33"/>
      <c r="J15" s="40">
        <f>C37*'E Balans VL '!D15/100/3.6*1000000+C37*'E Balans VL '!E15/100/3.6*1000000</f>
        <v>116.96921937867778</v>
      </c>
      <c r="K15" s="33"/>
      <c r="L15" s="33"/>
      <c r="M15" s="33"/>
      <c r="N15" s="33">
        <f>C37*'E Balans VL '!Y15/100/3.6*1000000</f>
        <v>2117.9808377936424</v>
      </c>
      <c r="O15" s="33"/>
      <c r="P15" s="33"/>
      <c r="R15" s="32"/>
    </row>
    <row r="16" spans="1:18">
      <c r="A16" s="16" t="s">
        <v>496</v>
      </c>
      <c r="B16" s="249">
        <f>'lokale energieproductie'!N37+'lokale energieproductie'!N30</f>
        <v>0</v>
      </c>
      <c r="C16" s="249">
        <f>'lokale energieproductie'!O37+'lokale energieproductie'!O30</f>
        <v>0</v>
      </c>
      <c r="D16" s="310">
        <f>('lokale energieproductie'!P30+'lokale energieproductie'!P37)*(-1)</f>
        <v>0</v>
      </c>
      <c r="E16" s="250"/>
      <c r="F16" s="310">
        <f>('lokale energieproductie'!S30+'lokale energieproductie'!S37)*(-1)</f>
        <v>0</v>
      </c>
      <c r="G16" s="251"/>
      <c r="H16" s="250"/>
      <c r="I16" s="250"/>
      <c r="J16" s="250"/>
      <c r="K16" s="250"/>
      <c r="L16" s="310">
        <f>('lokale energieproductie'!T30+'lokale energieproductie'!U30+'lokale energieproductie'!T37+'lokale energieproductie'!U37)*(-1)</f>
        <v>0</v>
      </c>
      <c r="M16" s="250"/>
      <c r="N16" s="310">
        <f>('lokale energieproductie'!Q30+'lokale energieproductie'!R30+'lokale energieproductie'!V30+'lokale energieproductie'!Q37+'lokale energieproductie'!R37+'lokale energieproductie'!V37)*(-1)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277</v>
      </c>
      <c r="B18" s="21">
        <f>B5+B16</f>
        <v>73011.189852326323</v>
      </c>
      <c r="C18" s="21">
        <f>C5+C16</f>
        <v>0</v>
      </c>
      <c r="D18" s="21">
        <f>MAX((D5+D16),0)</f>
        <v>87043.11880259098</v>
      </c>
      <c r="E18" s="21">
        <f>MAX((E5+E16),0)</f>
        <v>5192.9687994590868</v>
      </c>
      <c r="F18" s="21">
        <f>MAX((F5+F16),0)</f>
        <v>49583.619094702291</v>
      </c>
      <c r="G18" s="21"/>
      <c r="H18" s="21"/>
      <c r="I18" s="21"/>
      <c r="J18" s="21">
        <f>MAX((J5+J16),0)</f>
        <v>117.30057810376063</v>
      </c>
      <c r="K18" s="21"/>
      <c r="L18" s="21">
        <f>MAX((L5+L16),0)</f>
        <v>0</v>
      </c>
      <c r="M18" s="21"/>
      <c r="N18" s="21">
        <f>MAX((N5+N16),0)</f>
        <v>9666.8743141455889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0.20516911332571913</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14979.641084857534</v>
      </c>
      <c r="C22" s="23">
        <f ca="1">C18*C20</f>
        <v>0</v>
      </c>
      <c r="D22" s="23">
        <f>D18*D20</f>
        <v>17582.709998123381</v>
      </c>
      <c r="E22" s="23">
        <f>E18*E20</f>
        <v>1178.8039174772127</v>
      </c>
      <c r="F22" s="23">
        <f>F18*F20</f>
        <v>13238.826298285512</v>
      </c>
      <c r="G22" s="23"/>
      <c r="H22" s="23"/>
      <c r="I22" s="23"/>
      <c r="J22" s="23">
        <f>J18*J20</f>
        <v>41.524404648731263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495</v>
      </c>
      <c r="B25" s="205"/>
      <c r="C25" s="205"/>
      <c r="D25" s="227"/>
    </row>
    <row r="26" spans="1:18">
      <c r="A26" s="238"/>
      <c r="B26" s="32"/>
      <c r="C26" s="32"/>
      <c r="D26" s="239"/>
    </row>
    <row r="27" spans="1:18">
      <c r="A27" s="240"/>
      <c r="B27" s="226" t="s">
        <v>266</v>
      </c>
      <c r="C27" s="226" t="s">
        <v>267</v>
      </c>
      <c r="D27" s="241" t="s">
        <v>181</v>
      </c>
    </row>
    <row r="28" spans="1:18">
      <c r="A28" s="173" t="s">
        <v>34</v>
      </c>
      <c r="B28" s="37"/>
      <c r="C28" s="39"/>
      <c r="D28" s="239" t="s">
        <v>689</v>
      </c>
    </row>
    <row r="29" spans="1:18">
      <c r="A29" s="173" t="s">
        <v>37</v>
      </c>
      <c r="B29" s="37">
        <f>IF( ISERROR(IND_nonf_ele_kWh/1000),0,IND_nonf_ele_kWh/1000)</f>
        <v>0</v>
      </c>
      <c r="C29" s="39">
        <f>IF(ISERROR(B29*3.6/1000000/'E Balans VL '!Z17*100),0,B29*3.6/1000000/'E Balans VL '!Z17*100)</f>
        <v>0</v>
      </c>
      <c r="D29" s="239" t="s">
        <v>689</v>
      </c>
    </row>
    <row r="30" spans="1:18">
      <c r="A30" s="173" t="s">
        <v>35</v>
      </c>
      <c r="B30" s="37">
        <f>IF( ISERROR(IND_metaal_ele_kWh/1000),0,IND_metaal_ele_kWh/1000)</f>
        <v>106.217513308137</v>
      </c>
      <c r="C30" s="39">
        <f>IF(ISERROR(B30*3.6/1000000/'E Balans VL '!Z18*100),0,B30*3.6/1000000/'E Balans VL '!Z18*100)</f>
        <v>1.045153216509288E-2</v>
      </c>
      <c r="D30" s="239" t="s">
        <v>689</v>
      </c>
    </row>
    <row r="31" spans="1:18">
      <c r="A31" s="6" t="s">
        <v>32</v>
      </c>
      <c r="B31" s="37">
        <f>IF( ISERROR(IND_ander_ele_kWh/1000),0,IND_ander_ele_kWh/1000)</f>
        <v>2220.1632306844899</v>
      </c>
      <c r="C31" s="39">
        <f>IF(ISERROR(B31*3.6/1000000/'E Balans VL '!Z19*100),0,B31*3.6/1000000/'E Balans VL '!Z19*100)</f>
        <v>9.6686337689545987E-2</v>
      </c>
      <c r="D31" s="239" t="s">
        <v>689</v>
      </c>
    </row>
    <row r="32" spans="1:18">
      <c r="A32" s="173" t="s">
        <v>40</v>
      </c>
      <c r="B32" s="37">
        <f>IF( ISERROR(IND_voed_ele_kWh/1000),0,IND_voed_ele_kWh/1000)</f>
        <v>25048.309119525897</v>
      </c>
      <c r="C32" s="39">
        <f>IF(ISERROR(B32*3.6/1000000/'E Balans VL '!Z20*100),0,B32*3.6/1000000/'E Balans VL '!Z20*100)</f>
        <v>4.7525554195147635</v>
      </c>
      <c r="D32" s="239" t="s">
        <v>689</v>
      </c>
    </row>
    <row r="33" spans="1:5">
      <c r="A33" s="173" t="s">
        <v>39</v>
      </c>
      <c r="B33" s="37">
        <f>IF( ISERROR(IND_textiel_ele_kWh/1000),0,IND_textiel_ele_kWh/1000)</f>
        <v>0</v>
      </c>
      <c r="C33" s="39">
        <f>IF(ISERROR(B33*3.6/1000000/'E Balans VL '!Z21*100),0,B33*3.6/1000000/'E Balans VL '!Z21*100)</f>
        <v>0</v>
      </c>
      <c r="D33" s="239" t="s">
        <v>689</v>
      </c>
    </row>
    <row r="34" spans="1:5">
      <c r="A34" s="173" t="s">
        <v>36</v>
      </c>
      <c r="B34" s="37">
        <f>IF( ISERROR(IND_min_ele_kWh/1000),0,IND_min_ele_kWh/1000)</f>
        <v>0</v>
      </c>
      <c r="C34" s="39">
        <f>IF(ISERROR(B34*3.6/1000000/'E Balans VL '!Z22*100),0,B34*3.6/1000000/'E Balans VL '!Z22*100)</f>
        <v>0</v>
      </c>
      <c r="D34" s="239" t="s">
        <v>689</v>
      </c>
    </row>
    <row r="35" spans="1:5">
      <c r="A35" s="173" t="s">
        <v>38</v>
      </c>
      <c r="B35" s="37">
        <f>IF( ISERROR(IND_papier_ele_kWh/1000),0,IND_papier_ele_kWh/1000)</f>
        <v>0</v>
      </c>
      <c r="C35" s="39">
        <f>IF(ISERROR(B35*3.6/1000000/'E Balans VL '!Z22*100),0,B35*3.6/1000000/'E Balans VL '!Z22*100)</f>
        <v>0</v>
      </c>
      <c r="D35" s="239" t="s">
        <v>689</v>
      </c>
    </row>
    <row r="36" spans="1:5">
      <c r="A36" s="173" t="s">
        <v>33</v>
      </c>
      <c r="B36" s="37">
        <f>IF( ISERROR(IND_chemie_ele_kWh/1000),0,IND_chemie_ele_kWh/1000)</f>
        <v>0</v>
      </c>
      <c r="C36" s="39">
        <f>IF(ISERROR(B36*3.6/1000000/'E Balans VL '!Z24*100),0,B36*3.6/1000000/'E Balans VL '!Z24*100)</f>
        <v>0</v>
      </c>
      <c r="D36" s="239" t="s">
        <v>689</v>
      </c>
    </row>
    <row r="37" spans="1:5">
      <c r="A37" s="173" t="s">
        <v>269</v>
      </c>
      <c r="B37" s="37">
        <f>IF( ISERROR(IND_rest_ele_kWh/1000),0,IND_rest_ele_kWh/1000)</f>
        <v>45636.499988807795</v>
      </c>
      <c r="C37" s="39">
        <f>IF(ISERROR(B37*3.6/1000000/'E Balans VL '!Z15*100),0,B37*3.6/1000000/'E Balans VL '!Z15*100)</f>
        <v>0.35168528558991008</v>
      </c>
      <c r="D37" s="239" t="s">
        <v>689</v>
      </c>
    </row>
    <row r="38" spans="1:5">
      <c r="A38" s="242"/>
      <c r="B38" s="182"/>
      <c r="C38" s="182"/>
      <c r="D38" s="243"/>
    </row>
    <row r="39" spans="1:5">
      <c r="A39" s="233"/>
      <c r="B39" s="32"/>
      <c r="C39" s="32"/>
      <c r="D39" s="32"/>
      <c r="E39" s="32"/>
    </row>
    <row r="40" spans="1:5">
      <c r="A40" s="195" t="s">
        <v>488</v>
      </c>
      <c r="B40" s="205"/>
      <c r="C40" s="205"/>
      <c r="D40" s="227"/>
    </row>
    <row r="41" spans="1:5">
      <c r="A41" s="238"/>
      <c r="B41" s="32"/>
      <c r="C41" s="32"/>
      <c r="D41" s="234"/>
    </row>
    <row r="42" spans="1:5">
      <c r="A42" s="244"/>
      <c r="B42" s="245"/>
      <c r="C42" s="226" t="s">
        <v>377</v>
      </c>
      <c r="D42" s="246" t="s">
        <v>181</v>
      </c>
    </row>
    <row r="43" spans="1:5">
      <c r="A43" s="173" t="s">
        <v>265</v>
      </c>
      <c r="B43" s="319">
        <f>aantalZB_NB_industrie+aantalZB_NB_industrie_met_kantoor</f>
        <v>0</v>
      </c>
      <c r="C43" s="43"/>
      <c r="D43" s="234"/>
    </row>
    <row r="44" spans="1:5">
      <c r="A44" s="173" t="s">
        <v>485</v>
      </c>
      <c r="B44" s="315">
        <v>4.2</v>
      </c>
      <c r="C44" s="43"/>
      <c r="D44" s="309" t="s">
        <v>519</v>
      </c>
    </row>
    <row r="45" spans="1:5">
      <c r="A45" s="6" t="s">
        <v>486</v>
      </c>
      <c r="B45" s="320">
        <f>1.34/3.6</f>
        <v>0.37222222222222223</v>
      </c>
      <c r="C45" s="43" t="s">
        <v>217</v>
      </c>
      <c r="D45" s="309" t="s">
        <v>519</v>
      </c>
    </row>
    <row r="46" spans="1:5" s="32" customFormat="1">
      <c r="A46" s="177"/>
      <c r="B46" s="248"/>
      <c r="C46" s="182"/>
      <c r="D46" s="243"/>
    </row>
    <row r="48" spans="1:5">
      <c r="A48" s="196" t="s">
        <v>489</v>
      </c>
      <c r="B48" s="205"/>
      <c r="C48" s="205"/>
      <c r="D48" s="227"/>
    </row>
    <row r="49" spans="1:4">
      <c r="A49" s="232"/>
      <c r="B49" s="32"/>
      <c r="C49" s="32"/>
      <c r="D49" s="234"/>
    </row>
    <row r="50" spans="1:4">
      <c r="A50" s="244"/>
      <c r="B50" s="245"/>
      <c r="C50" s="226" t="s">
        <v>377</v>
      </c>
      <c r="D50" s="246" t="s">
        <v>181</v>
      </c>
    </row>
    <row r="51" spans="1:4">
      <c r="A51" s="173" t="s">
        <v>265</v>
      </c>
      <c r="B51" s="319">
        <f>aantalWP_NB_industrie+AantalWP_NB_industrie_met_kantoor</f>
        <v>0</v>
      </c>
      <c r="C51" s="32"/>
      <c r="D51" s="234"/>
    </row>
    <row r="52" spans="1:4">
      <c r="A52" s="173" t="s">
        <v>261</v>
      </c>
      <c r="B52" s="315">
        <v>13</v>
      </c>
      <c r="C52" s="32" t="s">
        <v>262</v>
      </c>
      <c r="D52" s="309" t="s">
        <v>519</v>
      </c>
    </row>
    <row r="53" spans="1:4">
      <c r="A53" s="173" t="s">
        <v>263</v>
      </c>
      <c r="B53" s="315">
        <v>2000</v>
      </c>
      <c r="C53" s="32" t="s">
        <v>264</v>
      </c>
      <c r="D53" s="309" t="s">
        <v>519</v>
      </c>
    </row>
    <row r="54" spans="1:4">
      <c r="A54" s="173" t="s">
        <v>416</v>
      </c>
      <c r="B54" s="315">
        <v>3.75</v>
      </c>
      <c r="C54" s="32"/>
      <c r="D54" s="309" t="s">
        <v>519</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270</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472.66475898465399</v>
      </c>
      <c r="C5" s="17">
        <f>'Eigen informatie GS &amp; warmtenet'!B60</f>
        <v>0</v>
      </c>
      <c r="D5" s="30">
        <f>IF(ISERROR(SUM(LB_lb_gas_kWh,LB_rest_gas_kWh)/1000),0,SUM(LB_lb_gas_kWh,LB_rest_gas_kWh)/1000)*0.902</f>
        <v>22516.816857951897</v>
      </c>
      <c r="E5" s="17">
        <f>B17*'E Balans VL '!I25/3.6*1000000/100</f>
        <v>5.9561848792213672</v>
      </c>
      <c r="F5" s="17">
        <f>B17*('E Balans VL '!L25/3.6*1000000+'E Balans VL '!N25/3.6*1000000)/100</f>
        <v>1630.8118280944454</v>
      </c>
      <c r="G5" s="18"/>
      <c r="H5" s="17"/>
      <c r="I5" s="17"/>
      <c r="J5" s="17">
        <f>('E Balans VL '!D25+'E Balans VL '!E25)/3.6*1000000*landbouw!B17/100</f>
        <v>71.083406687944873</v>
      </c>
      <c r="K5" s="17"/>
      <c r="L5" s="17">
        <f>L6*(-1)</f>
        <v>0</v>
      </c>
      <c r="M5" s="17"/>
      <c r="N5" s="17">
        <f>N6*(-1)</f>
        <v>0</v>
      </c>
      <c r="O5" s="17"/>
      <c r="P5" s="17"/>
      <c r="R5" s="32"/>
    </row>
    <row r="6" spans="1:18">
      <c r="A6" s="16" t="s">
        <v>496</v>
      </c>
      <c r="B6" s="17" t="s">
        <v>210</v>
      </c>
      <c r="C6" s="17">
        <f>'lokale energieproductie'!O39+'lokale energieproductie'!O32</f>
        <v>9000</v>
      </c>
      <c r="D6" s="310">
        <f>('lokale energieproductie'!P32+'lokale energieproductie'!P39)*(-1)</f>
        <v>-18000</v>
      </c>
      <c r="E6" s="250"/>
      <c r="F6" s="310">
        <f>('lokale energieproductie'!S32+'lokale energieproductie'!S39)*(-1)</f>
        <v>0</v>
      </c>
      <c r="G6" s="251"/>
      <c r="H6" s="250"/>
      <c r="I6" s="250"/>
      <c r="J6" s="250"/>
      <c r="K6" s="250"/>
      <c r="L6" s="310">
        <f>('lokale energieproductie'!T32+'lokale energieproductie'!U32+'lokale energieproductie'!T39+'lokale energieproductie'!U39)*(-1)</f>
        <v>0</v>
      </c>
      <c r="M6" s="250"/>
      <c r="N6" s="1030">
        <f>('lokale energieproductie'!V32+'lokale energieproductie'!R32+'lokale energieproductie'!Q32+'lokale energieproductie'!Q39+'lokale energieproductie'!R39+'lokale energieproductie'!V39)*(-1)</f>
        <v>0</v>
      </c>
      <c r="O6" s="250"/>
      <c r="P6" s="250"/>
      <c r="R6" s="32"/>
    </row>
    <row r="7" spans="1:18">
      <c r="A7" s="32"/>
      <c r="B7" s="29"/>
      <c r="C7" s="29"/>
      <c r="D7" s="252"/>
      <c r="E7" s="29"/>
      <c r="F7" s="29"/>
      <c r="G7" s="28"/>
      <c r="H7" s="29"/>
      <c r="I7" s="29"/>
      <c r="J7" s="29"/>
      <c r="K7" s="29"/>
      <c r="L7" s="29"/>
      <c r="M7" s="29"/>
      <c r="N7" s="29"/>
      <c r="O7" s="29"/>
      <c r="P7" s="29"/>
      <c r="R7" s="32"/>
    </row>
    <row r="8" spans="1:18">
      <c r="A8" s="20" t="s">
        <v>272</v>
      </c>
      <c r="B8" s="21">
        <f>B5</f>
        <v>472.66475898465399</v>
      </c>
      <c r="C8" s="21">
        <f>C5+C6</f>
        <v>9000</v>
      </c>
      <c r="D8" s="21">
        <f>MAX((D5+D6),0)</f>
        <v>4516.816857951897</v>
      </c>
      <c r="E8" s="21">
        <f>MAX((E5+E6),0)</f>
        <v>5.9561848792213672</v>
      </c>
      <c r="F8" s="21">
        <f>MAX((F5+F6),0)</f>
        <v>1630.8118280944454</v>
      </c>
      <c r="G8" s="21"/>
      <c r="H8" s="21"/>
      <c r="I8" s="21"/>
      <c r="J8" s="21">
        <f>MAX((J5+J6),0)</f>
        <v>71.083406687944873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0.20516911332571913</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96.976209501196195</v>
      </c>
      <c r="C12" s="23">
        <f ca="1">C8*C10</f>
        <v>2138.8235294117649</v>
      </c>
      <c r="D12" s="23">
        <f>D8*D10</f>
        <v>912.39700530628329</v>
      </c>
      <c r="E12" s="23">
        <f>E8*E10</f>
        <v>1.3520539675832504</v>
      </c>
      <c r="F12" s="23">
        <f>F8*F10</f>
        <v>435.42675810121693</v>
      </c>
      <c r="G12" s="23"/>
      <c r="H12" s="23"/>
      <c r="I12" s="23"/>
      <c r="J12" s="23">
        <f>J8*J10</f>
        <v>25.163525967532482</v>
      </c>
      <c r="K12" s="23"/>
      <c r="L12" s="23">
        <f>L8*L10</f>
        <v>0</v>
      </c>
      <c r="M12" s="23">
        <f>M8*M10</f>
        <v>0</v>
      </c>
      <c r="N12" s="23">
        <f>N8*N10</f>
        <v>0</v>
      </c>
      <c r="O12" s="23"/>
      <c r="P12" s="23"/>
    </row>
    <row r="14" spans="1:18">
      <c r="A14" s="195" t="s">
        <v>502</v>
      </c>
      <c r="B14" s="205"/>
      <c r="C14" s="227"/>
    </row>
    <row r="15" spans="1:18">
      <c r="A15" s="238"/>
      <c r="B15" s="32"/>
      <c r="C15" s="239"/>
    </row>
    <row r="16" spans="1:18">
      <c r="A16" s="257"/>
      <c r="B16" s="42" t="s">
        <v>291</v>
      </c>
      <c r="C16" s="241" t="s">
        <v>181</v>
      </c>
    </row>
    <row r="17" spans="1:4">
      <c r="A17" s="258" t="s">
        <v>111</v>
      </c>
      <c r="B17" s="256">
        <f>IF(ISERROR(SUM(LB_lb_ele_kWh,LB_rest_ele_kWh)*3.6/1000000000/'E Balans VL '!Z26*100),0,SUM(LB_lb_ele_kWh,LB_rest_ele_kWh)*3.6/1000000000/'E Balans VL '!Z26*100)</f>
        <v>6.5921836349902438E-2</v>
      </c>
      <c r="C17" s="239" t="s">
        <v>689</v>
      </c>
      <c r="D17" s="254"/>
    </row>
    <row r="18" spans="1:4">
      <c r="A18" s="242"/>
      <c r="B18" s="255"/>
      <c r="C18" s="243"/>
    </row>
    <row r="19" spans="1:4">
      <c r="A19" s="32"/>
      <c r="B19" s="48"/>
      <c r="C19" s="32"/>
    </row>
    <row r="20" spans="1:4">
      <c r="A20" s="32"/>
      <c r="B20" s="48"/>
      <c r="C20" s="32"/>
    </row>
    <row r="21" spans="1:4" ht="15.75" thickBot="1">
      <c r="B21" s="32"/>
    </row>
    <row r="22" spans="1:4" ht="15.75" customHeight="1">
      <c r="A22" s="1218" t="s">
        <v>302</v>
      </c>
      <c r="B22" s="1221" t="s">
        <v>303</v>
      </c>
      <c r="C22" s="1221" t="s">
        <v>501</v>
      </c>
    </row>
    <row r="23" spans="1:4">
      <c r="A23" s="1219"/>
      <c r="B23" s="1222"/>
      <c r="C23" s="1222"/>
    </row>
    <row r="24" spans="1:4" ht="15.75" thickBot="1">
      <c r="A24" s="1220"/>
      <c r="B24" s="1223"/>
      <c r="C24" s="1223"/>
    </row>
    <row r="25" spans="1:4" ht="15.75">
      <c r="A25" s="13"/>
      <c r="B25" s="32"/>
    </row>
    <row r="26" spans="1:4">
      <c r="A26" s="41" t="s">
        <v>273</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117.01437445721119</v>
      </c>
      <c r="C26" s="249">
        <f>B26*'GWP N2O_CH4'!B5</f>
        <v>2457.3018636014349</v>
      </c>
      <c r="D26" s="50"/>
    </row>
    <row r="27" spans="1:4">
      <c r="A27" s="41" t="s">
        <v>274</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34.502124147429342</v>
      </c>
      <c r="C27" s="249">
        <f>B27*'GWP N2O_CH4'!B5</f>
        <v>724.54460709601619</v>
      </c>
      <c r="D27" s="50"/>
    </row>
    <row r="28" spans="1:4">
      <c r="A28" s="41" t="s">
        <v>275</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1.6178493298566801</v>
      </c>
      <c r="C28" s="249">
        <f>B28*'GWP N2O_CH4'!B4</f>
        <v>501.53329225557081</v>
      </c>
      <c r="D28" s="50"/>
    </row>
    <row r="29" spans="1:4">
      <c r="A29" s="41" t="s">
        <v>276</v>
      </c>
      <c r="B29" s="249">
        <f>B34*'ha_N2O bodem landbouw'!B4</f>
        <v>3.9015888219694097</v>
      </c>
      <c r="C29" s="249">
        <f>B29*'GWP N2O_CH4'!B4</f>
        <v>1209.4925348105171</v>
      </c>
      <c r="D29" s="50"/>
    </row>
    <row r="31" spans="1:4">
      <c r="A31" s="195" t="s">
        <v>503</v>
      </c>
      <c r="B31" s="205"/>
      <c r="C31" s="227"/>
    </row>
    <row r="32" spans="1:4">
      <c r="A32" s="238"/>
      <c r="B32" s="32"/>
      <c r="C32" s="239"/>
    </row>
    <row r="33" spans="1:5">
      <c r="A33" s="240"/>
      <c r="B33" s="226" t="s">
        <v>636</v>
      </c>
      <c r="C33" s="241" t="s">
        <v>181</v>
      </c>
    </row>
    <row r="34" spans="1:5">
      <c r="A34" s="259" t="s">
        <v>111</v>
      </c>
      <c r="B34" s="35">
        <f>IF(ISERROR(aantalCultuurgronden/'ha_N2O bodem landbouw'!B5),0,aantalCultuurgronden/'ha_N2O bodem landbouw'!B5)</f>
        <v>9.7418774308215153E-4</v>
      </c>
      <c r="C34" s="260" t="s">
        <v>681</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19" zoomScale="85" zoomScaleNormal="85" workbookViewId="0">
      <selection activeCell="E35" sqref="E3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6" customFormat="1" ht="17.25" thickTop="1" thickBot="1">
      <c r="A1" s="1210" t="s">
        <v>505</v>
      </c>
      <c r="B1" s="1211" t="s">
        <v>558</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c r="C4" s="15"/>
    </row>
    <row r="5" spans="1:18" s="8" customFormat="1">
      <c r="A5" s="287" t="s">
        <v>328</v>
      </c>
      <c r="B5" s="429">
        <f>SUM(B6:B11)</f>
        <v>2.2290286779087949E-5</v>
      </c>
      <c r="C5" s="444" t="s">
        <v>210</v>
      </c>
      <c r="D5" s="429">
        <f>SUM(D6:D11)</f>
        <v>3.4217322957668246E-5</v>
      </c>
      <c r="E5" s="429">
        <f>SUM(E6:E11)</f>
        <v>1.344496766316114E-3</v>
      </c>
      <c r="F5" s="442" t="s">
        <v>210</v>
      </c>
      <c r="G5" s="429">
        <f>SUM(G6:G11)</f>
        <v>0.40386577082768815</v>
      </c>
      <c r="H5" s="429">
        <f>SUM(H6:H11)</f>
        <v>6.4030184718803063E-2</v>
      </c>
      <c r="I5" s="444" t="s">
        <v>210</v>
      </c>
      <c r="J5" s="444" t="s">
        <v>210</v>
      </c>
      <c r="K5" s="444" t="s">
        <v>210</v>
      </c>
      <c r="L5" s="444" t="s">
        <v>210</v>
      </c>
      <c r="M5" s="429">
        <f>SUM(M6:M11)</f>
        <v>2.1153725906139162E-2</v>
      </c>
      <c r="N5" s="444" t="s">
        <v>210</v>
      </c>
      <c r="O5" s="444" t="s">
        <v>210</v>
      </c>
      <c r="P5" s="445" t="s">
        <v>210</v>
      </c>
    </row>
    <row r="6" spans="1:18">
      <c r="A6" s="264" t="s">
        <v>723</v>
      </c>
      <c r="B6" s="88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1.1643908075729351E-5</v>
      </c>
      <c r="C6" s="883"/>
      <c r="D6" s="883">
        <f>vkm_GW_PW*SUMIFS(TableVerdeelsleutelVkm[CNG],TableVerdeelsleutelVkm[Voertuigtype],"Lichte voertuigen")*SUMIFS(TableECFTransport[EnergieConsumptieFactor (PJ per km)],TableECFTransport[Index],CONCATENATE($A6,"_CNG_CNG"))</f>
        <v>1.7255924947164186E-5</v>
      </c>
      <c r="E6" s="883">
        <f>vkm_GW_PW*SUMIFS(TableVerdeelsleutelVkm[LPG],TableVerdeelsleutelVkm[Voertuigtype],"Lichte voertuigen")*SUMIFS(TableECFTransport[EnergieConsumptieFactor (PJ per km)],TableECFTransport[Index],CONCATENATE($A6,"_LPG_LPG"))</f>
        <v>6.1804417780285392E-4</v>
      </c>
      <c r="F6" s="432"/>
      <c r="G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0.12438325003150649</v>
      </c>
      <c r="H6" s="88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3.1775479086995642E-2</v>
      </c>
      <c r="I6" s="883"/>
      <c r="J6" s="883"/>
      <c r="K6" s="883"/>
      <c r="L6" s="883"/>
      <c r="M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7.0645346121901639E-3</v>
      </c>
      <c r="N6" s="430"/>
      <c r="O6" s="430"/>
      <c r="P6" s="431"/>
    </row>
    <row r="7" spans="1:18">
      <c r="A7" s="264" t="s">
        <v>725</v>
      </c>
      <c r="B7" s="88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883"/>
      <c r="D7" s="883">
        <f>vkm_GW_ZV*SUMIFS(TableVerdeelsleutelVkm[CNG],TableVerdeelsleutelVkm[Voertuigtype],"Zware voertuigen")*SUMIFS(TableECFTransport[EnergieConsumptieFactor (PJ per km)],TableECFTransport[Index],CONCATENATE($A7,"_CNG_CNG"))</f>
        <v>0</v>
      </c>
      <c r="E7" s="883">
        <f>vkm_GW_ZV*SUMIFS(TableVerdeelsleutelVkm[LPG],TableVerdeelsleutelVkm[Voertuigtype],"Zware voertuigen")*SUMIFS(TableECFTransport[EnergieConsumptieFactor (PJ per km)],TableECFTransport[Index],CONCATENATE($A7,"_LPG_LPG"))</f>
        <v>0</v>
      </c>
      <c r="F7" s="432"/>
      <c r="G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5.445057499843934E-2</v>
      </c>
      <c r="H7" s="88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1.2651234585294228E-6</v>
      </c>
      <c r="I7" s="883"/>
      <c r="J7" s="883"/>
      <c r="K7" s="883"/>
      <c r="L7" s="883"/>
      <c r="M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2.4585284514892962E-3</v>
      </c>
      <c r="N7" s="430"/>
      <c r="O7" s="430"/>
      <c r="P7" s="431"/>
    </row>
    <row r="8" spans="1:18">
      <c r="A8" s="264" t="s">
        <v>726</v>
      </c>
      <c r="B8" s="88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1.1707621641651499E-6</v>
      </c>
      <c r="C8" s="883"/>
      <c r="D8" s="432">
        <f>vkm_NGW_PW*SUMIFS(TableVerdeelsleutelVkm[CNG],TableVerdeelsleutelVkm[Voertuigtype],"Lichte voertuigen")*SUMIFS(TableECFTransport[EnergieConsumptieFactor (PJ per km)],TableECFTransport[Index],CONCATENATE($A8,"_CNG_CNG"))</f>
        <v>2.9443974245135439E-6</v>
      </c>
      <c r="E8" s="432">
        <f>vkm_NGW_PW*SUMIFS(TableVerdeelsleutelVkm[LPG],TableVerdeelsleutelVkm[Voertuigtype],"Lichte voertuigen")*SUMIFS(TableECFTransport[EnergieConsumptieFactor (PJ per km)],TableECFTransport[Index],CONCATENATE($A8,"_LPG_LPG"))</f>
        <v>9.9716797626437953E-5</v>
      </c>
      <c r="F8" s="432"/>
      <c r="G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1.906326555056493E-2</v>
      </c>
      <c r="H8" s="88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5.2099508651292543E-3</v>
      </c>
      <c r="I8" s="883"/>
      <c r="J8" s="883"/>
      <c r="K8" s="883"/>
      <c r="L8" s="883"/>
      <c r="M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1.0982252646411469E-3</v>
      </c>
      <c r="N8" s="430"/>
      <c r="O8" s="430"/>
      <c r="P8" s="431"/>
    </row>
    <row r="9" spans="1:18">
      <c r="A9" s="264" t="s">
        <v>727</v>
      </c>
      <c r="B9" s="88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883"/>
      <c r="D9" s="432">
        <f>vkm_NGW_ZV*SUMIFS(TableVerdeelsleutelVkm[CNG],TableVerdeelsleutelVkm[Voertuigtype],"Zware voertuigen")*SUMIFS(TableECFTransport[EnergieConsumptieFactor (PJ per km)],TableECFTransport[Index],CONCATENATE($A9,"_CNG_CNG"))</f>
        <v>0</v>
      </c>
      <c r="E9" s="432">
        <f>vkm_NGW_ZV*SUMIFS(TableVerdeelsleutelVkm[LPG],TableVerdeelsleutelVkm[Voertuigtype],"Zware voertuigen")*SUMIFS(TableECFTransport[EnergieConsumptieFactor (PJ per km)],TableECFTransport[Index],CONCATENATE($A9,"_LPG_LPG"))</f>
        <v>0</v>
      </c>
      <c r="F9" s="432"/>
      <c r="G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5.5932055929854658E-3</v>
      </c>
      <c r="H9" s="88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1.5062904605873594E-7</v>
      </c>
      <c r="I9" s="883"/>
      <c r="J9" s="883"/>
      <c r="K9" s="883"/>
      <c r="L9" s="883"/>
      <c r="M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2.5254290529902614E-4</v>
      </c>
      <c r="N9" s="430"/>
      <c r="O9" s="430"/>
      <c r="P9" s="431"/>
    </row>
    <row r="10" spans="1:18">
      <c r="A10" s="264" t="s">
        <v>728</v>
      </c>
      <c r="B10" s="88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9.4756165391934491E-6</v>
      </c>
      <c r="C10" s="883"/>
      <c r="D10" s="432">
        <f>vkm_SW_PW*SUMIFS(TableVerdeelsleutelVkm[CNG],TableVerdeelsleutelVkm[Voertuigtype],"Lichte voertuigen")*SUMIFS(TableECFTransport[EnergieConsumptieFactor (PJ per km)],TableECFTransport[Index],CONCATENATE($A10,"_CNG_CNG"))</f>
        <v>1.4017000585990513E-5</v>
      </c>
      <c r="E10" s="432">
        <f>vkm_SW_PW*SUMIFS(TableVerdeelsleutelVkm[LPG],TableVerdeelsleutelVkm[Voertuigtype],"Lichte voertuigen")*SUMIFS(TableECFTransport[EnergieConsumptieFactor (PJ per km)],TableECFTransport[Index],CONCATENATE($A10,"_LPG_LPG"))</f>
        <v>6.2673579088682208E-4</v>
      </c>
      <c r="F10" s="432"/>
      <c r="G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0.11434309358588822</v>
      </c>
      <c r="H10" s="88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2.7041206829277572E-2</v>
      </c>
      <c r="I10" s="883"/>
      <c r="J10" s="883"/>
      <c r="K10" s="883"/>
      <c r="L10" s="883"/>
      <c r="M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6.3953923059929E-3</v>
      </c>
      <c r="N10" s="430"/>
      <c r="O10" s="430"/>
      <c r="P10" s="431"/>
    </row>
    <row r="11" spans="1:18">
      <c r="A11" s="4" t="s">
        <v>729</v>
      </c>
      <c r="B11" s="88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884"/>
      <c r="D11" s="434">
        <f>vkm_SW_ZV*SUMIFS(TableVerdeelsleutelVkm[CNG],TableVerdeelsleutelVkm[Voertuigtype],"Zware voertuigen")*SUMIFS(TableECFTransport[EnergieConsumptieFactor (PJ per km)],TableECFTransport[Index],CONCATENATE($A11,"_CNG_CNG"))</f>
        <v>0</v>
      </c>
      <c r="E11" s="434">
        <f>vkm_SW_ZV*SUMIFS(TableVerdeelsleutelVkm[LPG],TableVerdeelsleutelVkm[Voertuigtype],"Zware voertuigen")*SUMIFS(TableECFTransport[EnergieConsumptieFactor (PJ per km)],TableECFTransport[Index],CONCATENATE($A11,"_LPG_LPG"))</f>
        <v>0</v>
      </c>
      <c r="F11" s="434"/>
      <c r="G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8.6032381068303715E-2</v>
      </c>
      <c r="H11" s="88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2.1321848960037125E-6</v>
      </c>
      <c r="I11" s="884"/>
      <c r="J11" s="884"/>
      <c r="K11" s="884"/>
      <c r="L11" s="884"/>
      <c r="M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3.8845023665266308E-3</v>
      </c>
      <c r="N11" s="433"/>
      <c r="O11" s="433"/>
      <c r="P11" s="435"/>
    </row>
    <row r="12" spans="1:18">
      <c r="A12" s="331" t="s">
        <v>556</v>
      </c>
      <c r="B12" s="443">
        <f>('Eigen vloot'!B27)*(-1)</f>
        <v>0</v>
      </c>
      <c r="C12" s="443"/>
      <c r="D12" s="443">
        <f>('Eigen vloot'!D27)*(-1)</f>
        <v>0</v>
      </c>
      <c r="E12" s="443">
        <f>('Eigen vloot'!E27)*(-1)</f>
        <v>0</v>
      </c>
      <c r="F12" s="436"/>
      <c r="G12" s="443">
        <f>('Eigen vloot'!G27)*(-1)</f>
        <v>0</v>
      </c>
      <c r="H12" s="443">
        <f>('Eigen vloot'!H27)*(-1)</f>
        <v>0</v>
      </c>
      <c r="I12" s="443"/>
      <c r="J12" s="443"/>
      <c r="K12" s="443"/>
      <c r="L12" s="443"/>
      <c r="M12" s="443">
        <f>('Eigen vloot'!M27)*(-1)</f>
        <v>0</v>
      </c>
      <c r="N12" s="443"/>
      <c r="O12" s="443"/>
      <c r="P12" s="446"/>
    </row>
    <row r="13" spans="1:18">
      <c r="B13" s="11"/>
      <c r="C13" s="55"/>
      <c r="D13" s="55"/>
      <c r="E13" s="55"/>
      <c r="F13" s="55"/>
      <c r="G13" s="11"/>
      <c r="H13" s="11"/>
      <c r="I13" s="10"/>
      <c r="J13" s="11"/>
      <c r="K13" s="11"/>
      <c r="L13" s="11"/>
      <c r="M13" s="11"/>
      <c r="N13" s="11"/>
      <c r="O13" s="11"/>
      <c r="P13" s="11"/>
    </row>
    <row r="14" spans="1:18" s="15" customFormat="1">
      <c r="A14" s="20" t="s">
        <v>337</v>
      </c>
      <c r="B14" s="21">
        <f>((B5)*10^9/3600)+B12</f>
        <v>6.1917463275244309</v>
      </c>
      <c r="C14" s="21"/>
      <c r="D14" s="21">
        <f t="shared" ref="D14:M14" si="0">((D5)*10^9/3600)+D12</f>
        <v>9.5048119326856231</v>
      </c>
      <c r="E14" s="21">
        <f t="shared" si="0"/>
        <v>373.47132397669833</v>
      </c>
      <c r="F14" s="21"/>
      <c r="G14" s="21">
        <f t="shared" si="0"/>
        <v>112184.93634102448</v>
      </c>
      <c r="H14" s="21">
        <f t="shared" si="0"/>
        <v>17786.162421889741</v>
      </c>
      <c r="I14" s="21"/>
      <c r="J14" s="21"/>
      <c r="K14" s="21"/>
      <c r="L14" s="21"/>
      <c r="M14" s="21">
        <f t="shared" si="0"/>
        <v>5876.0349739275453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0.20516911332571913</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1.2703551039559653</v>
      </c>
      <c r="C18" s="23"/>
      <c r="D18" s="23">
        <f t="shared" ref="D18:M18" si="1">D14*D16</f>
        <v>1.919972010402496</v>
      </c>
      <c r="E18" s="23">
        <f t="shared" si="1"/>
        <v>84.777990542710526</v>
      </c>
      <c r="F18" s="23"/>
      <c r="G18" s="23">
        <f t="shared" si="1"/>
        <v>29953.378003053538</v>
      </c>
      <c r="H18" s="23">
        <f t="shared" si="1"/>
        <v>4428.7544430505459</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0"/>
    </row>
    <row r="21" spans="1:18">
      <c r="A21" s="265" t="s">
        <v>507</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307</v>
      </c>
      <c r="B23" s="912" t="s">
        <v>308</v>
      </c>
      <c r="C23" s="912" t="s">
        <v>733</v>
      </c>
      <c r="D23" s="912" t="s">
        <v>734</v>
      </c>
      <c r="E23" s="912" t="s">
        <v>735</v>
      </c>
      <c r="F23" s="912" t="s">
        <v>670</v>
      </c>
      <c r="G23" s="912" t="s">
        <v>736</v>
      </c>
      <c r="H23" s="912" t="s">
        <v>737</v>
      </c>
      <c r="I23" s="912" t="s">
        <v>118</v>
      </c>
      <c r="J23" s="912" t="s">
        <v>738</v>
      </c>
      <c r="K23" s="912" t="s">
        <v>739</v>
      </c>
      <c r="L23" s="913" t="s">
        <v>740</v>
      </c>
      <c r="M23" s="129" t="s">
        <v>181</v>
      </c>
      <c r="N23" s="271" t="s">
        <v>315</v>
      </c>
    </row>
    <row r="24" spans="1:18">
      <c r="A24" s="32" t="s">
        <v>722</v>
      </c>
      <c r="B24" s="1055">
        <v>9.0617099999999997E-5</v>
      </c>
      <c r="C24" s="1055">
        <v>0.79286321999999998</v>
      </c>
      <c r="D24" s="1056"/>
      <c r="E24" s="1055"/>
      <c r="F24" s="1055"/>
      <c r="G24" s="1055">
        <v>1.8283700000000001E-4</v>
      </c>
      <c r="H24" s="1056"/>
      <c r="I24" s="1056">
        <v>3.6833830000000001E-3</v>
      </c>
      <c r="J24" s="1056">
        <v>0.20105731399999999</v>
      </c>
      <c r="K24" s="1056">
        <v>2.305465E-3</v>
      </c>
      <c r="L24" s="914"/>
      <c r="M24" s="1062" t="s">
        <v>898</v>
      </c>
      <c r="N24" s="882">
        <f>SUM(B24:K24)</f>
        <v>1.0001828361</v>
      </c>
    </row>
    <row r="25" spans="1:18">
      <c r="A25" s="32" t="s">
        <v>724</v>
      </c>
      <c r="B25" s="1056"/>
      <c r="C25" s="1055">
        <v>0.99996447099999997</v>
      </c>
      <c r="D25" s="1056"/>
      <c r="E25" s="1056"/>
      <c r="F25" s="1055"/>
      <c r="G25" s="1056"/>
      <c r="H25" s="1056"/>
      <c r="I25" s="1056"/>
      <c r="J25" s="1056">
        <v>3.5528699999999997E-5</v>
      </c>
      <c r="K25" s="1056"/>
      <c r="L25" s="914"/>
      <c r="M25" s="1062" t="s">
        <v>898</v>
      </c>
      <c r="N25" s="882">
        <f>SUM(B25:K25)</f>
        <v>0.99999999969999998</v>
      </c>
    </row>
    <row r="26" spans="1:18">
      <c r="A26" s="242"/>
      <c r="B26" s="182"/>
      <c r="C26" s="182"/>
      <c r="D26" s="182"/>
      <c r="E26" s="182"/>
      <c r="F26" s="182"/>
      <c r="G26" s="182"/>
      <c r="H26" s="182"/>
      <c r="I26" s="182"/>
      <c r="J26" s="182"/>
      <c r="K26" s="182"/>
      <c r="L26" s="180"/>
      <c r="M26" s="180"/>
      <c r="N26" s="178"/>
    </row>
    <row r="27" spans="1:18" s="43" customFormat="1"/>
    <row r="28" spans="1:18">
      <c r="A28" s="265" t="s">
        <v>508</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28" t="s">
        <v>201</v>
      </c>
      <c r="B30" s="276" t="s">
        <v>317</v>
      </c>
      <c r="C30" s="879">
        <v>2013</v>
      </c>
      <c r="D30" s="276" t="s">
        <v>318</v>
      </c>
      <c r="E30" s="245" t="s">
        <v>181</v>
      </c>
      <c r="F30" s="273"/>
      <c r="G30" s="245"/>
      <c r="H30" s="245"/>
      <c r="I30" s="245"/>
      <c r="J30" s="245"/>
      <c r="K30" s="245"/>
      <c r="L30" s="274"/>
    </row>
    <row r="31" spans="1:18">
      <c r="A31" s="277" t="s">
        <v>319</v>
      </c>
      <c r="B31" s="278"/>
      <c r="F31" s="53"/>
      <c r="G31" s="43"/>
      <c r="H31" s="43"/>
      <c r="I31" s="43"/>
      <c r="J31" s="43"/>
      <c r="K31" s="43"/>
      <c r="L31" s="176"/>
    </row>
    <row r="32" spans="1:18">
      <c r="A32" s="279" t="s">
        <v>320</v>
      </c>
      <c r="B32" s="280"/>
      <c r="F32" s="53"/>
      <c r="G32" s="43"/>
      <c r="H32" s="43"/>
      <c r="I32" s="43"/>
      <c r="J32" s="43"/>
      <c r="K32" s="43"/>
      <c r="L32" s="176"/>
    </row>
    <row r="33" spans="1:16">
      <c r="A33" s="279" t="s">
        <v>321</v>
      </c>
      <c r="B33" s="281"/>
      <c r="F33" s="53"/>
      <c r="G33" s="43"/>
      <c r="H33" s="43"/>
      <c r="I33" s="43"/>
      <c r="J33" s="43"/>
      <c r="K33" s="43"/>
      <c r="L33" s="176"/>
    </row>
    <row r="34" spans="1:16">
      <c r="A34" s="279" t="s">
        <v>322</v>
      </c>
      <c r="B34" s="281"/>
      <c r="F34" s="53"/>
      <c r="G34" s="43"/>
      <c r="H34" s="43"/>
      <c r="I34" s="43"/>
      <c r="J34" s="43"/>
      <c r="K34" s="43"/>
      <c r="L34" s="176"/>
    </row>
    <row r="35" spans="1:16">
      <c r="A35" s="279" t="s">
        <v>323</v>
      </c>
      <c r="B35" s="281"/>
      <c r="C35" s="283">
        <v>4.3200000000000002E-2</v>
      </c>
      <c r="D35" s="58"/>
      <c r="E35" s="1067" t="s">
        <v>900</v>
      </c>
      <c r="F35" s="53"/>
      <c r="G35" s="43"/>
      <c r="H35" s="43"/>
      <c r="I35" s="43"/>
      <c r="J35" s="43"/>
      <c r="K35" s="43"/>
      <c r="L35" s="176"/>
    </row>
    <row r="36" spans="1:16">
      <c r="A36" s="264"/>
      <c r="B36" s="43"/>
      <c r="C36" s="43"/>
      <c r="D36" s="43"/>
      <c r="E36" s="156"/>
      <c r="F36" s="53"/>
      <c r="G36" s="43"/>
      <c r="H36" s="43"/>
      <c r="I36" s="43"/>
      <c r="J36" s="43"/>
      <c r="K36" s="43"/>
      <c r="L36" s="176"/>
    </row>
    <row r="37" spans="1:16">
      <c r="A37" s="428" t="s">
        <v>119</v>
      </c>
      <c r="B37" s="276" t="s">
        <v>317</v>
      </c>
      <c r="C37" s="879">
        <f>C30</f>
        <v>2013</v>
      </c>
      <c r="D37" s="276" t="s">
        <v>318</v>
      </c>
      <c r="E37" s="915" t="s">
        <v>181</v>
      </c>
      <c r="F37" s="286"/>
      <c r="G37" s="270"/>
      <c r="H37" s="270"/>
      <c r="I37" s="270"/>
      <c r="J37" s="270"/>
      <c r="K37" s="270"/>
      <c r="L37" s="271"/>
    </row>
    <row r="38" spans="1:16">
      <c r="A38" s="279" t="s">
        <v>324</v>
      </c>
      <c r="B38" s="280"/>
      <c r="F38" s="282"/>
      <c r="G38" s="58"/>
      <c r="H38" s="58"/>
      <c r="I38" s="58"/>
      <c r="J38" s="58"/>
      <c r="K38" s="58"/>
      <c r="L38" s="284"/>
    </row>
    <row r="39" spans="1:16">
      <c r="A39" s="279" t="s">
        <v>325</v>
      </c>
      <c r="B39" s="280"/>
      <c r="F39" s="282"/>
      <c r="G39" s="58"/>
      <c r="H39" s="58"/>
      <c r="I39" s="58"/>
      <c r="J39" s="58"/>
      <c r="K39" s="58"/>
      <c r="L39" s="284"/>
    </row>
    <row r="40" spans="1:16">
      <c r="A40" s="279" t="s">
        <v>321</v>
      </c>
      <c r="B40" s="281"/>
      <c r="F40" s="58"/>
      <c r="G40" s="58"/>
      <c r="H40" s="58"/>
      <c r="I40" s="58"/>
      <c r="J40" s="58"/>
      <c r="K40" s="58"/>
      <c r="L40" s="284"/>
    </row>
    <row r="41" spans="1:16">
      <c r="A41" s="279" t="s">
        <v>326</v>
      </c>
      <c r="B41" s="281"/>
      <c r="F41" s="58"/>
      <c r="G41" s="58"/>
      <c r="H41" s="58"/>
      <c r="I41" s="58"/>
      <c r="J41" s="58"/>
      <c r="K41" s="58"/>
      <c r="L41" s="284"/>
    </row>
    <row r="42" spans="1:16">
      <c r="A42" s="279" t="s">
        <v>323</v>
      </c>
      <c r="B42" s="281"/>
      <c r="C42" s="283">
        <v>4.36E-2</v>
      </c>
      <c r="D42" s="282"/>
      <c r="E42" t="str">
        <f>E35</f>
        <v>Data VMM maart 2020</v>
      </c>
      <c r="F42" s="58"/>
      <c r="G42" s="285"/>
      <c r="H42" s="58"/>
      <c r="I42" s="58"/>
      <c r="J42" s="58"/>
      <c r="K42" s="58"/>
      <c r="L42" s="284"/>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24" t="s">
        <v>506</v>
      </c>
      <c r="B46" s="1225" t="s">
        <v>557</v>
      </c>
      <c r="C46" s="1226"/>
      <c r="D46" s="1226"/>
      <c r="E46" s="1226"/>
      <c r="F46" s="1226"/>
      <c r="G46" s="1226"/>
      <c r="H46" s="1226"/>
      <c r="I46" s="1226"/>
      <c r="J46" s="1226"/>
      <c r="K46" s="1226"/>
      <c r="L46" s="1226"/>
      <c r="M46" s="1226"/>
      <c r="N46" s="1226"/>
      <c r="O46" s="1226"/>
      <c r="P46" s="1226"/>
    </row>
    <row r="47" spans="1:16" s="15" customFormat="1" ht="15.75" thickTop="1">
      <c r="A47" s="1224"/>
      <c r="B47" s="1227" t="s">
        <v>20</v>
      </c>
      <c r="C47" s="1227" t="s">
        <v>195</v>
      </c>
      <c r="D47" s="1229" t="s">
        <v>196</v>
      </c>
      <c r="E47" s="1230"/>
      <c r="F47" s="1230"/>
      <c r="G47" s="1230"/>
      <c r="H47" s="1230"/>
      <c r="I47" s="1230"/>
      <c r="J47" s="1230"/>
      <c r="K47" s="1231"/>
      <c r="L47" s="1229" t="s">
        <v>197</v>
      </c>
      <c r="M47" s="1230"/>
      <c r="N47" s="1230"/>
      <c r="O47" s="1230"/>
      <c r="P47" s="1231"/>
    </row>
    <row r="48" spans="1:16" s="15" customFormat="1" ht="45">
      <c r="A48" s="1224"/>
      <c r="B48" s="1228"/>
      <c r="C48" s="1228"/>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2.3613595823861167E-3</v>
      </c>
      <c r="H50" s="321">
        <f t="shared" si="2"/>
        <v>0</v>
      </c>
      <c r="I50" s="321">
        <f t="shared" si="2"/>
        <v>0</v>
      </c>
      <c r="J50" s="321">
        <f t="shared" si="2"/>
        <v>0</v>
      </c>
      <c r="K50" s="321">
        <f t="shared" si="2"/>
        <v>0</v>
      </c>
      <c r="L50" s="321">
        <f t="shared" si="2"/>
        <v>0</v>
      </c>
      <c r="M50" s="321">
        <f t="shared" si="2"/>
        <v>1.0510606854633225E-4</v>
      </c>
      <c r="N50" s="321">
        <f t="shared" si="2"/>
        <v>0</v>
      </c>
      <c r="O50" s="321">
        <f t="shared" si="2"/>
        <v>0</v>
      </c>
      <c r="P50" s="322">
        <f t="shared" si="2"/>
        <v>0</v>
      </c>
    </row>
    <row r="51" spans="1:18">
      <c r="A51" s="264"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2.3613595823861167E-3</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1.0510606854633225E-4</v>
      </c>
      <c r="N51" s="323"/>
      <c r="O51" s="323"/>
      <c r="P51" s="326"/>
    </row>
    <row r="52" spans="1:18">
      <c r="A52" s="4" t="s">
        <v>329</v>
      </c>
      <c r="B52" s="327">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655.93321732947686</v>
      </c>
      <c r="H54" s="21">
        <f t="shared" si="3"/>
        <v>0</v>
      </c>
      <c r="I54" s="21">
        <f t="shared" si="3"/>
        <v>0</v>
      </c>
      <c r="J54" s="21">
        <f t="shared" si="3"/>
        <v>0</v>
      </c>
      <c r="K54" s="21">
        <f t="shared" si="3"/>
        <v>0</v>
      </c>
      <c r="L54" s="21">
        <f t="shared" si="3"/>
        <v>0</v>
      </c>
      <c r="M54" s="21">
        <f t="shared" si="3"/>
        <v>29.196130151758958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0.20516911332571913</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175.13416902697034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571</v>
      </c>
      <c r="B61" s="267"/>
      <c r="C61" s="268"/>
    </row>
    <row r="62" spans="1:18" s="15" customFormat="1">
      <c r="A62" s="294"/>
      <c r="B62" s="290"/>
      <c r="C62" s="295"/>
    </row>
    <row r="63" spans="1:18">
      <c r="A63" s="296"/>
      <c r="B63" s="133"/>
      <c r="C63" s="297" t="s">
        <v>181</v>
      </c>
    </row>
    <row r="64" spans="1:18">
      <c r="A64" s="288" t="s">
        <v>201</v>
      </c>
      <c r="B64" s="291">
        <f>100%-B65</f>
        <v>0.97799999999999998</v>
      </c>
      <c r="C64" s="176"/>
    </row>
    <row r="65" spans="1:12">
      <c r="A65" s="288" t="s">
        <v>332</v>
      </c>
      <c r="B65" s="300">
        <v>2.1999999999999999E-2</v>
      </c>
      <c r="C65" s="176" t="s">
        <v>756</v>
      </c>
    </row>
    <row r="66" spans="1:12" s="15" customFormat="1">
      <c r="A66" s="289"/>
      <c r="B66" s="272"/>
      <c r="C66" s="234"/>
    </row>
    <row r="67" spans="1:12">
      <c r="A67" s="292" t="s">
        <v>315</v>
      </c>
      <c r="B67" s="293">
        <f>SUM(B64:B65)</f>
        <v>1</v>
      </c>
      <c r="C67" s="178"/>
    </row>
    <row r="70" spans="1:12">
      <c r="A70" s="265" t="s">
        <v>508</v>
      </c>
      <c r="B70" s="267"/>
      <c r="C70" s="267"/>
      <c r="D70" s="267"/>
      <c r="E70" s="267"/>
      <c r="F70" s="267"/>
      <c r="G70" s="267"/>
      <c r="H70" s="267"/>
      <c r="I70" s="267"/>
      <c r="J70" s="267"/>
      <c r="K70" s="267"/>
      <c r="L70" s="268"/>
    </row>
    <row r="71" spans="1:12">
      <c r="A71" s="426" t="s">
        <v>572</v>
      </c>
    </row>
    <row r="72" spans="1:12">
      <c r="A72" s="264"/>
      <c r="B72" s="269"/>
      <c r="C72" s="269"/>
      <c r="D72" s="269"/>
      <c r="E72" s="269"/>
    </row>
    <row r="73" spans="1:12">
      <c r="A73" s="275"/>
      <c r="B73" s="276" t="s">
        <v>317</v>
      </c>
      <c r="C73" s="879">
        <f>C30</f>
        <v>2013</v>
      </c>
      <c r="D73" s="276" t="s">
        <v>318</v>
      </c>
      <c r="E73" s="245" t="s">
        <v>181</v>
      </c>
    </row>
    <row r="74" spans="1:12">
      <c r="A74" t="str">
        <f t="shared" ref="A74:A75" si="5">A31</f>
        <v>diesel</v>
      </c>
      <c r="B74" s="425"/>
    </row>
    <row r="75" spans="1:12">
      <c r="A75" t="str">
        <f t="shared" si="5"/>
        <v>biodiesel</v>
      </c>
      <c r="B75" s="425"/>
    </row>
    <row r="76" spans="1:12">
      <c r="A76" t="str">
        <f>A33</f>
        <v>vol% liter</v>
      </c>
      <c r="B76" s="425"/>
    </row>
    <row r="77" spans="1:12">
      <c r="A77" t="str">
        <f>A34</f>
        <v>gew% kg</v>
      </c>
      <c r="B77" s="425"/>
    </row>
    <row r="78" spans="1:12">
      <c r="A78" t="str">
        <f>A35</f>
        <v>J%</v>
      </c>
      <c r="B78" s="425"/>
      <c r="C78" s="427">
        <f>C35</f>
        <v>4.3200000000000002E-2</v>
      </c>
      <c r="D78" s="425"/>
      <c r="E78" t="str">
        <f>E35</f>
        <v>Data VMM maart 2020</v>
      </c>
    </row>
    <row r="79" spans="1:12">
      <c r="B79" s="425"/>
      <c r="C79" s="425"/>
      <c r="D79" s="425"/>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67" zoomScale="65" zoomScaleNormal="65" workbookViewId="0">
      <selection activeCell="M28" sqref="M28"/>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44" customFormat="1" ht="17.45" customHeight="1" thickTop="1" thickBot="1">
      <c r="A1" s="1232" t="s">
        <v>240</v>
      </c>
      <c r="B1" s="1235" t="s">
        <v>241</v>
      </c>
      <c r="C1" s="1244" t="s">
        <v>242</v>
      </c>
      <c r="D1" s="1245"/>
      <c r="E1" s="1245"/>
      <c r="F1" s="1245"/>
      <c r="G1" s="1245"/>
      <c r="H1" s="1245"/>
      <c r="I1" s="1245"/>
      <c r="J1" s="1245"/>
      <c r="K1" s="1245"/>
      <c r="L1" s="1245"/>
      <c r="M1" s="1245"/>
      <c r="N1" s="1246"/>
      <c r="O1" s="1247" t="s">
        <v>243</v>
      </c>
      <c r="P1" s="1235" t="s">
        <v>559</v>
      </c>
      <c r="Q1" s="1247"/>
      <c r="S1" s="1253"/>
      <c r="T1" s="1253"/>
      <c r="U1" s="1253"/>
    </row>
    <row r="2" spans="1:21" s="544" customFormat="1" ht="15.75" thickBot="1">
      <c r="A2" s="1233"/>
      <c r="B2" s="1233"/>
      <c r="C2" s="1237" t="s">
        <v>196</v>
      </c>
      <c r="D2" s="1238"/>
      <c r="E2" s="1238"/>
      <c r="F2" s="1238"/>
      <c r="G2" s="1239"/>
      <c r="H2" s="1240" t="s">
        <v>244</v>
      </c>
      <c r="I2" s="1242" t="s">
        <v>245</v>
      </c>
      <c r="J2" s="1242" t="s">
        <v>233</v>
      </c>
      <c r="K2" s="1242" t="s">
        <v>246</v>
      </c>
      <c r="L2" s="1242" t="s">
        <v>126</v>
      </c>
      <c r="M2" s="1242" t="s">
        <v>860</v>
      </c>
      <c r="N2" s="1256" t="s">
        <v>861</v>
      </c>
      <c r="O2" s="1248"/>
      <c r="P2" s="1250"/>
      <c r="Q2" s="1248"/>
      <c r="S2" s="1253"/>
      <c r="T2" s="1253"/>
      <c r="U2" s="1253"/>
    </row>
    <row r="3" spans="1:21" s="544" customFormat="1" ht="53.45" customHeight="1" thickBot="1">
      <c r="A3" s="1234"/>
      <c r="B3" s="1236"/>
      <c r="C3" s="545" t="s">
        <v>198</v>
      </c>
      <c r="D3" s="1026" t="s">
        <v>199</v>
      </c>
      <c r="E3" s="546" t="s">
        <v>200</v>
      </c>
      <c r="F3" s="547" t="s">
        <v>202</v>
      </c>
      <c r="G3" s="548" t="s">
        <v>203</v>
      </c>
      <c r="H3" s="1241"/>
      <c r="I3" s="1243"/>
      <c r="J3" s="1243"/>
      <c r="K3" s="1243"/>
      <c r="L3" s="1243"/>
      <c r="M3" s="1243"/>
      <c r="N3" s="1257"/>
      <c r="O3" s="1249"/>
      <c r="P3" s="1236"/>
      <c r="Q3" s="1249"/>
      <c r="S3" s="1253"/>
      <c r="T3" s="1253"/>
      <c r="U3" s="1253"/>
    </row>
    <row r="4" spans="1:21" s="544" customFormat="1" ht="15.75" thickTop="1">
      <c r="A4" s="549" t="s">
        <v>248</v>
      </c>
      <c r="B4" s="550">
        <f>IF(ISERROR(kWh_wind_land),0,kWh_wind_land)</f>
        <v>0</v>
      </c>
      <c r="C4" s="1258"/>
      <c r="D4" s="1261"/>
      <c r="E4" s="1261"/>
      <c r="F4" s="1264"/>
      <c r="G4" s="1267"/>
      <c r="H4" s="1270"/>
      <c r="I4" s="1261"/>
      <c r="J4" s="1261"/>
      <c r="K4" s="1261"/>
      <c r="L4" s="1261"/>
      <c r="M4" s="1261"/>
      <c r="N4" s="1013"/>
      <c r="O4" s="551"/>
      <c r="P4" s="1273"/>
      <c r="Q4" s="1274"/>
      <c r="S4" s="1027"/>
      <c r="T4" s="1275"/>
      <c r="U4" s="1275"/>
    </row>
    <row r="5" spans="1:21" s="544" customFormat="1">
      <c r="A5" s="552" t="s">
        <v>249</v>
      </c>
      <c r="B5" s="550">
        <f>IF(ISERROR(kWh_waterkracht),0,kWh_waterkracht)</f>
        <v>0</v>
      </c>
      <c r="C5" s="1259"/>
      <c r="D5" s="1262"/>
      <c r="E5" s="1262"/>
      <c r="F5" s="1265"/>
      <c r="G5" s="1268"/>
      <c r="H5" s="1271"/>
      <c r="I5" s="1262"/>
      <c r="J5" s="1262"/>
      <c r="K5" s="1262"/>
      <c r="L5" s="1262"/>
      <c r="M5" s="1262"/>
      <c r="N5" s="1013"/>
      <c r="O5" s="553"/>
      <c r="P5" s="1254"/>
      <c r="Q5" s="1255"/>
      <c r="S5" s="1027"/>
      <c r="T5" s="1275"/>
      <c r="U5" s="1275"/>
    </row>
    <row r="6" spans="1:21" s="544" customFormat="1">
      <c r="A6" s="552" t="s">
        <v>250</v>
      </c>
      <c r="B6" s="550">
        <f>IF(ISERROR((kWh_PV_kleiner_dan_10kW+kWh_PV_groter_dan_10kW)),0,(kWh_PV_kleiner_dan_10kW+kWh_PV_groter_dan_10kW))</f>
        <v>7775.7552069356107</v>
      </c>
      <c r="C6" s="1259"/>
      <c r="D6" s="1262"/>
      <c r="E6" s="1262"/>
      <c r="F6" s="1265"/>
      <c r="G6" s="1268"/>
      <c r="H6" s="1271"/>
      <c r="I6" s="1262"/>
      <c r="J6" s="1262"/>
      <c r="K6" s="1262"/>
      <c r="L6" s="1262"/>
      <c r="M6" s="1262"/>
      <c r="N6" s="1013"/>
      <c r="O6" s="553"/>
      <c r="P6" s="1254"/>
      <c r="Q6" s="1255"/>
      <c r="S6" s="1027"/>
      <c r="T6" s="1275"/>
      <c r="U6" s="1275"/>
    </row>
    <row r="7" spans="1:21" s="544" customFormat="1">
      <c r="A7" s="552" t="s">
        <v>859</v>
      </c>
      <c r="B7" s="550"/>
      <c r="C7" s="1260"/>
      <c r="D7" s="1263"/>
      <c r="E7" s="1263"/>
      <c r="F7" s="1266"/>
      <c r="G7" s="1269"/>
      <c r="H7" s="1272"/>
      <c r="I7" s="1263"/>
      <c r="J7" s="1263"/>
      <c r="K7" s="1263"/>
      <c r="L7" s="1263"/>
      <c r="M7" s="1263"/>
      <c r="N7" s="1014"/>
      <c r="O7" s="553"/>
      <c r="P7" s="1024"/>
      <c r="Q7" s="1025"/>
      <c r="S7" s="1027"/>
      <c r="T7" s="1027"/>
      <c r="U7" s="1027"/>
    </row>
    <row r="8" spans="1:21" s="544" customFormat="1">
      <c r="A8" s="554" t="s">
        <v>251</v>
      </c>
      <c r="B8" s="555">
        <f>N29</f>
        <v>6300</v>
      </c>
      <c r="C8" s="556">
        <f>B48</f>
        <v>7411.7647058823522</v>
      </c>
      <c r="D8" s="1015"/>
      <c r="E8" s="1015">
        <f>E48</f>
        <v>0</v>
      </c>
      <c r="F8" s="1016"/>
      <c r="G8" s="557"/>
      <c r="H8" s="1015">
        <f>I48</f>
        <v>0</v>
      </c>
      <c r="I8" s="1015">
        <f>G48+F48</f>
        <v>0</v>
      </c>
      <c r="J8" s="1015">
        <f>H48+D48+C48</f>
        <v>0</v>
      </c>
      <c r="K8" s="1015"/>
      <c r="L8" s="1015"/>
      <c r="M8" s="1015"/>
      <c r="N8" s="558"/>
      <c r="O8" s="559">
        <f>C8*$C$12+D8*$D$12+E8*$E$12+F8*$F$12+G8*$G$12+H8*$H$12+I8*$I$12+J8*$J$12</f>
        <v>1497.1764705882354</v>
      </c>
      <c r="P8" s="1254"/>
      <c r="Q8" s="1255"/>
      <c r="S8" s="1027"/>
      <c r="T8" s="1275"/>
      <c r="U8" s="1275"/>
    </row>
    <row r="9" spans="1:21" s="544" customFormat="1" ht="17.45" customHeight="1" thickBot="1">
      <c r="A9" s="560" t="s">
        <v>247</v>
      </c>
      <c r="B9" s="561">
        <f>N36+'Eigen informatie GS &amp; warmtenet'!B12</f>
        <v>1035</v>
      </c>
      <c r="C9" s="56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2957.1428571428573</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1017"/>
      <c r="O9" s="559">
        <f>C9*$C$12+D9*$D$12+E9*$E$12+F9*$F$12+G9*$G$12+H9*$H$12+I9*$I$12+J9*$J$12</f>
        <v>0</v>
      </c>
      <c r="P9" s="1251"/>
      <c r="Q9" s="1252"/>
      <c r="R9" s="566"/>
      <c r="S9" s="1027"/>
      <c r="T9" s="1275"/>
      <c r="U9" s="1275"/>
    </row>
    <row r="10" spans="1:21" s="544" customFormat="1" ht="16.5" thickTop="1" thickBot="1">
      <c r="A10" s="567" t="s">
        <v>115</v>
      </c>
      <c r="B10" s="568">
        <f>SUM(B4:B9)</f>
        <v>15110.75520693561</v>
      </c>
      <c r="C10" s="569">
        <f t="shared" ref="C10:L10" si="0">SUM(C8:C9)</f>
        <v>7411.7647058823522</v>
      </c>
      <c r="D10" s="569">
        <f t="shared" si="0"/>
        <v>0</v>
      </c>
      <c r="E10" s="569">
        <f t="shared" si="0"/>
        <v>0</v>
      </c>
      <c r="F10" s="569">
        <f t="shared" si="0"/>
        <v>0</v>
      </c>
      <c r="G10" s="569">
        <f t="shared" si="0"/>
        <v>0</v>
      </c>
      <c r="H10" s="569">
        <f t="shared" si="0"/>
        <v>0</v>
      </c>
      <c r="I10" s="569">
        <f t="shared" si="0"/>
        <v>0</v>
      </c>
      <c r="J10" s="569">
        <f t="shared" si="0"/>
        <v>2957.1428571428573</v>
      </c>
      <c r="K10" s="569">
        <f t="shared" si="0"/>
        <v>0</v>
      </c>
      <c r="L10" s="569">
        <f t="shared" si="0"/>
        <v>0</v>
      </c>
      <c r="M10" s="1018"/>
      <c r="N10" s="1018"/>
      <c r="O10" s="570">
        <f>SUM(O4:O9)</f>
        <v>1497.1764705882354</v>
      </c>
      <c r="P10" s="571"/>
      <c r="R10" s="1028"/>
      <c r="S10" s="1027"/>
      <c r="T10" s="1028"/>
      <c r="U10" s="1028"/>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19" t="s">
        <v>289</v>
      </c>
      <c r="B12" s="1020"/>
      <c r="C12" s="1020">
        <f>EF_CO2_aardgas</f>
        <v>0.20200000000000001</v>
      </c>
      <c r="D12" s="1020">
        <f>EF_VLgas_CO2</f>
        <v>0.22700000000000001</v>
      </c>
      <c r="E12" s="1020">
        <f>EF_stookolie_CO2</f>
        <v>0.26700000000000002</v>
      </c>
      <c r="F12" s="1020">
        <f>EF_bruinkool_CO2</f>
        <v>0.35099999999999998</v>
      </c>
      <c r="G12" s="1020">
        <f>EF_steenkool_CO2</f>
        <v>0.35399999999999998</v>
      </c>
      <c r="H12" s="1020">
        <f>'EF brandstof'!M4</f>
        <v>0.33</v>
      </c>
      <c r="I12" s="1020">
        <f>'EF brandstof'!J4</f>
        <v>0</v>
      </c>
      <c r="J12" s="1020">
        <f>'EF brandstof'!L4</f>
        <v>0</v>
      </c>
      <c r="K12" s="1020">
        <f>'EF brandstof'!L4</f>
        <v>0</v>
      </c>
      <c r="L12" s="1020"/>
      <c r="M12" s="1020"/>
      <c r="N12" s="1020"/>
      <c r="P12" s="575"/>
      <c r="Q12" s="575"/>
      <c r="R12" s="575"/>
    </row>
    <row r="13" spans="1:21" s="544" customFormat="1" ht="15.75" thickBot="1">
      <c r="A13" s="576"/>
      <c r="B13" s="575"/>
      <c r="C13" s="575"/>
      <c r="D13" s="575"/>
      <c r="E13" s="575"/>
      <c r="F13" s="575"/>
      <c r="G13" s="575"/>
      <c r="H13" s="575"/>
      <c r="I13" s="575"/>
      <c r="J13" s="575"/>
      <c r="K13" s="575"/>
      <c r="L13" s="575"/>
      <c r="M13" s="575"/>
      <c r="N13" s="575"/>
      <c r="O13" s="575"/>
      <c r="P13" s="575"/>
      <c r="Q13" s="575"/>
      <c r="R13" s="575"/>
    </row>
    <row r="14" spans="1:21" s="544" customFormat="1" ht="17.25" thickTop="1" thickBot="1">
      <c r="A14" s="1232" t="s">
        <v>252</v>
      </c>
      <c r="B14" s="1232" t="s">
        <v>253</v>
      </c>
      <c r="C14" s="1276" t="s">
        <v>254</v>
      </c>
      <c r="D14" s="1277"/>
      <c r="E14" s="1277"/>
      <c r="F14" s="1277"/>
      <c r="G14" s="1277"/>
      <c r="H14" s="1277"/>
      <c r="I14" s="1277"/>
      <c r="J14" s="1277"/>
      <c r="K14" s="1277"/>
      <c r="L14" s="1277"/>
      <c r="M14" s="1277"/>
      <c r="N14" s="1278"/>
      <c r="O14" s="1247" t="s">
        <v>243</v>
      </c>
      <c r="P14" s="1235" t="s">
        <v>255</v>
      </c>
      <c r="Q14" s="1247"/>
      <c r="R14" s="1253"/>
      <c r="S14" s="1253"/>
      <c r="T14" s="1253"/>
    </row>
    <row r="15" spans="1:21" s="544" customFormat="1" ht="15.75" customHeight="1" thickBot="1">
      <c r="A15" s="1233"/>
      <c r="B15" s="1233"/>
      <c r="C15" s="1279" t="s">
        <v>196</v>
      </c>
      <c r="D15" s="1280"/>
      <c r="E15" s="1280"/>
      <c r="F15" s="1280"/>
      <c r="G15" s="1281"/>
      <c r="H15" s="1282" t="s">
        <v>244</v>
      </c>
      <c r="I15" s="1282" t="s">
        <v>245</v>
      </c>
      <c r="J15" s="1282" t="s">
        <v>233</v>
      </c>
      <c r="K15" s="1282" t="s">
        <v>256</v>
      </c>
      <c r="L15" s="1282" t="s">
        <v>126</v>
      </c>
      <c r="M15" s="1282" t="s">
        <v>860</v>
      </c>
      <c r="N15" s="1256" t="s">
        <v>861</v>
      </c>
      <c r="O15" s="1248"/>
      <c r="P15" s="1250"/>
      <c r="Q15" s="1248"/>
      <c r="R15" s="1253"/>
      <c r="S15" s="1253"/>
      <c r="T15" s="1253"/>
    </row>
    <row r="16" spans="1:21" s="544" customFormat="1" ht="40.700000000000003" customHeight="1" thickBot="1">
      <c r="A16" s="1234"/>
      <c r="B16" s="1234"/>
      <c r="C16" s="577" t="s">
        <v>198</v>
      </c>
      <c r="D16" s="1026" t="s">
        <v>199</v>
      </c>
      <c r="E16" s="989" t="s">
        <v>200</v>
      </c>
      <c r="F16" s="1026" t="s">
        <v>202</v>
      </c>
      <c r="G16" s="578" t="s">
        <v>203</v>
      </c>
      <c r="H16" s="1241"/>
      <c r="I16" s="1241"/>
      <c r="J16" s="1241"/>
      <c r="K16" s="1241"/>
      <c r="L16" s="1241"/>
      <c r="M16" s="1241"/>
      <c r="N16" s="1257"/>
      <c r="O16" s="1249"/>
      <c r="P16" s="1236"/>
      <c r="Q16" s="1249"/>
      <c r="R16" s="1253"/>
      <c r="S16" s="1253"/>
      <c r="T16" s="1253"/>
    </row>
    <row r="17" spans="1:26" s="544" customFormat="1" ht="15.75" thickTop="1">
      <c r="A17" s="579" t="s">
        <v>251</v>
      </c>
      <c r="B17" s="580">
        <f>O29</f>
        <v>9000</v>
      </c>
      <c r="C17" s="581">
        <f>B49</f>
        <v>10588.235294117647</v>
      </c>
      <c r="D17" s="582"/>
      <c r="E17" s="582">
        <f>E49</f>
        <v>0</v>
      </c>
      <c r="F17" s="1021"/>
      <c r="G17" s="583"/>
      <c r="H17" s="581">
        <f>I49</f>
        <v>0</v>
      </c>
      <c r="I17" s="582">
        <f>G49+F49</f>
        <v>0</v>
      </c>
      <c r="J17" s="582">
        <f>H49+D49+C49</f>
        <v>0</v>
      </c>
      <c r="K17" s="582"/>
      <c r="L17" s="582"/>
      <c r="M17" s="582"/>
      <c r="N17" s="1022"/>
      <c r="O17" s="584">
        <f>C17*$C$22+E17*$E$22+H17*$H$22+I17*$I$22+J17*$J$22+D17*$D$22+F17*$F$22+G17*$G$22+K17*$K$22+L17*$L$22</f>
        <v>2138.8235294117649</v>
      </c>
      <c r="P17" s="1291"/>
      <c r="Q17" s="1292"/>
      <c r="R17" s="1029"/>
      <c r="S17" s="1286"/>
      <c r="T17" s="1286"/>
    </row>
    <row r="18" spans="1:26" s="544" customFormat="1">
      <c r="A18" s="585" t="s">
        <v>257</v>
      </c>
      <c r="B18" s="586">
        <f>'Eigen informatie GS &amp; warmtenet'!B32</f>
        <v>0</v>
      </c>
      <c r="C18" s="1015">
        <f>'Eigen informatie GS &amp; warmtenet'!B35</f>
        <v>0</v>
      </c>
      <c r="D18" s="1015">
        <f>'Eigen informatie GS &amp; warmtenet'!B36</f>
        <v>0</v>
      </c>
      <c r="E18" s="1015">
        <f>'Eigen informatie GS &amp; warmtenet'!B37</f>
        <v>0</v>
      </c>
      <c r="F18" s="1015">
        <f>'Eigen informatie GS &amp; warmtenet'!B38</f>
        <v>0</v>
      </c>
      <c r="G18" s="1015">
        <f>'Eigen informatie GS &amp; warmtenet'!B39</f>
        <v>0</v>
      </c>
      <c r="H18" s="1015">
        <f>'Eigen informatie GS &amp; warmtenet'!B40</f>
        <v>0</v>
      </c>
      <c r="I18" s="1015">
        <f>'Eigen informatie GS &amp; warmtenet'!B41</f>
        <v>0</v>
      </c>
      <c r="J18" s="1015">
        <f>'Eigen informatie GS &amp; warmtenet'!B42</f>
        <v>0</v>
      </c>
      <c r="K18" s="1015">
        <f>'Eigen informatie GS &amp; warmtenet'!B43</f>
        <v>0</v>
      </c>
      <c r="L18" s="1015">
        <f>'Eigen informatie GS &amp; warmtenet'!B44</f>
        <v>0</v>
      </c>
      <c r="M18" s="1015">
        <f>'Eigen informatie GS &amp; warmtenet'!B45</f>
        <v>0</v>
      </c>
      <c r="N18" s="1015">
        <f>'Eigen informatie GS &amp; warmtenet'!B46</f>
        <v>0</v>
      </c>
      <c r="O18" s="584">
        <f>C18*$C$22+E18*$E$22+H18*$H$22+I18*$I$22+J18*$J$22+D18*$D$22+F18*$F$22+G18*$G$22+K18*$K$22+L18*$L$22</f>
        <v>0</v>
      </c>
      <c r="P18" s="1287"/>
      <c r="Q18" s="1288"/>
      <c r="R18" s="1027"/>
      <c r="S18" s="1275"/>
      <c r="T18" s="1275"/>
    </row>
    <row r="19" spans="1:26" s="544" customFormat="1" ht="15.75" thickBot="1">
      <c r="A19" s="560"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5"/>
      <c r="N19" s="1023"/>
      <c r="O19" s="584">
        <f>C19*$C$22+E19*$E$22+H19*$H$22+I19*$I$22+J19*$J$22+D19*$D$22+F19*$F$22+G19*$G$22+K19*$K$22+L19*$L$22</f>
        <v>0</v>
      </c>
      <c r="P19" s="1289"/>
      <c r="Q19" s="1290"/>
      <c r="R19" s="1027"/>
      <c r="S19" s="1275"/>
      <c r="T19" s="1275"/>
    </row>
    <row r="20" spans="1:26" s="544" customFormat="1" ht="16.5" thickTop="1" thickBot="1">
      <c r="A20" s="567" t="s">
        <v>115</v>
      </c>
      <c r="B20" s="568">
        <f>SUM(B17:B19)</f>
        <v>9000</v>
      </c>
      <c r="C20" s="568">
        <f>SUM(C17:C19)</f>
        <v>10588.235294117647</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8">
        <f>SUM(O17:O19)</f>
        <v>2138.8235294117649</v>
      </c>
      <c r="P20" s="1283"/>
      <c r="Q20" s="1284"/>
      <c r="R20" s="1027"/>
      <c r="S20" s="1285"/>
      <c r="T20" s="1285"/>
    </row>
    <row r="21" spans="1:26" s="544" customFormat="1" ht="15.75" thickTop="1">
      <c r="A21" s="1029"/>
      <c r="B21" s="1027"/>
      <c r="C21" s="1027"/>
      <c r="D21" s="1027"/>
      <c r="E21" s="1027"/>
      <c r="F21" s="1027"/>
      <c r="G21" s="1027"/>
      <c r="H21" s="1027"/>
      <c r="I21" s="1027"/>
      <c r="J21" s="1027"/>
      <c r="K21" s="1027"/>
      <c r="L21" s="1027"/>
      <c r="M21" s="1027"/>
      <c r="N21" s="1027"/>
      <c r="O21" s="1027"/>
      <c r="P21" s="1028"/>
      <c r="Q21" s="1028"/>
      <c r="R21" s="1027"/>
      <c r="S21" s="1028"/>
      <c r="T21" s="1028"/>
    </row>
    <row r="22" spans="1:26" s="574" customFormat="1">
      <c r="A22" s="1019" t="s">
        <v>289</v>
      </c>
      <c r="B22" s="1020"/>
      <c r="C22" s="1020">
        <f>EF_CO2_aardgas</f>
        <v>0.20200000000000001</v>
      </c>
      <c r="D22" s="1020">
        <f>EF_VLgas_CO2</f>
        <v>0.22700000000000001</v>
      </c>
      <c r="E22" s="1020">
        <f>EF_stookolie_CO2</f>
        <v>0.26700000000000002</v>
      </c>
      <c r="F22" s="1020">
        <f>EF_bruinkool_CO2</f>
        <v>0.35099999999999998</v>
      </c>
      <c r="G22" s="1020">
        <f>EF_steenkool_CO2</f>
        <v>0.35399999999999998</v>
      </c>
      <c r="H22" s="1020">
        <f>'EF brandstof'!M4</f>
        <v>0.33</v>
      </c>
      <c r="I22" s="1020">
        <f>'EF brandstof'!J4</f>
        <v>0</v>
      </c>
      <c r="J22" s="1020">
        <f>'EF brandstof'!L4</f>
        <v>0</v>
      </c>
      <c r="K22" s="1020">
        <f>'EF brandstof'!L4</f>
        <v>0</v>
      </c>
      <c r="L22" s="1020"/>
      <c r="M22" s="1020"/>
      <c r="N22" s="1020"/>
      <c r="O22" s="575"/>
      <c r="P22" s="575"/>
      <c r="Q22" s="575"/>
      <c r="R22" s="575"/>
      <c r="S22" s="544"/>
    </row>
    <row r="23" spans="1:26" s="574" customFormat="1">
      <c r="A23" s="576"/>
      <c r="B23" s="575"/>
      <c r="C23" s="575"/>
      <c r="D23" s="575"/>
      <c r="E23" s="575"/>
      <c r="F23" s="575"/>
      <c r="G23" s="575"/>
      <c r="H23" s="575"/>
      <c r="I23" s="575"/>
      <c r="J23" s="575"/>
      <c r="K23" s="575"/>
      <c r="L23" s="575"/>
      <c r="M23" s="575"/>
      <c r="N23" s="575"/>
      <c r="O23" s="575"/>
      <c r="P23" s="575"/>
      <c r="Q23" s="575"/>
      <c r="R23" s="575"/>
      <c r="S23" s="544"/>
    </row>
    <row r="24" spans="1:26" s="574" customFormat="1">
      <c r="A24" s="576"/>
      <c r="B24" s="575"/>
      <c r="C24" s="575"/>
      <c r="D24" s="589"/>
      <c r="E24" s="589"/>
      <c r="F24" s="589"/>
      <c r="G24" s="575"/>
      <c r="H24" s="575"/>
      <c r="I24" s="575"/>
      <c r="J24" s="575"/>
      <c r="K24" s="575"/>
      <c r="L24" s="575"/>
      <c r="M24" s="575"/>
      <c r="N24" s="575"/>
      <c r="O24" s="575"/>
      <c r="P24" s="575"/>
      <c r="Q24" s="575"/>
      <c r="R24" s="575"/>
    </row>
    <row r="25" spans="1:26" s="574" customFormat="1">
      <c r="A25" s="576"/>
      <c r="B25" s="575"/>
      <c r="C25" s="575"/>
      <c r="D25" s="589"/>
      <c r="E25" s="589"/>
      <c r="F25" s="589"/>
      <c r="G25" s="575"/>
      <c r="H25" s="575"/>
      <c r="I25" s="575"/>
      <c r="J25" s="575"/>
      <c r="K25" s="575"/>
      <c r="L25" s="575"/>
      <c r="M25" s="575"/>
      <c r="N25" s="575"/>
      <c r="O25" s="575"/>
      <c r="P25" s="575"/>
      <c r="Q25" s="575"/>
      <c r="R25" s="575"/>
    </row>
    <row r="26" spans="1:26" s="544" customFormat="1" ht="15.75" thickBot="1">
      <c r="B26" s="589"/>
      <c r="C26" s="589"/>
      <c r="D26" s="589"/>
      <c r="E26" s="589"/>
      <c r="F26" s="589"/>
      <c r="G26" s="589"/>
      <c r="H26" s="589"/>
      <c r="I26" s="589"/>
      <c r="J26" s="589"/>
      <c r="K26" s="589"/>
      <c r="L26" s="589"/>
      <c r="M26" s="589"/>
      <c r="N26" s="589"/>
      <c r="O26" s="589"/>
      <c r="P26" s="589"/>
      <c r="Q26" s="590"/>
      <c r="R26" s="590"/>
    </row>
    <row r="27" spans="1:26" s="54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546</v>
      </c>
      <c r="Q27" s="637" t="s">
        <v>102</v>
      </c>
      <c r="R27" s="637" t="s">
        <v>103</v>
      </c>
      <c r="S27" s="637" t="s">
        <v>104</v>
      </c>
      <c r="T27" s="637" t="s">
        <v>105</v>
      </c>
      <c r="U27" s="637" t="s">
        <v>106</v>
      </c>
      <c r="V27" s="637" t="s">
        <v>107</v>
      </c>
      <c r="W27" s="636" t="s">
        <v>108</v>
      </c>
      <c r="X27" s="636" t="s">
        <v>298</v>
      </c>
      <c r="Y27" s="636" t="s">
        <v>109</v>
      </c>
      <c r="Z27" s="638" t="s">
        <v>299</v>
      </c>
    </row>
    <row r="28" spans="1:26" s="593" customFormat="1" ht="25.5">
      <c r="A28" s="592"/>
      <c r="B28" s="787">
        <v>13029</v>
      </c>
      <c r="C28" s="787">
        <v>2250</v>
      </c>
      <c r="D28" s="640" t="s">
        <v>920</v>
      </c>
      <c r="E28" s="639" t="s">
        <v>921</v>
      </c>
      <c r="F28" s="639" t="s">
        <v>922</v>
      </c>
      <c r="G28" s="639" t="s">
        <v>923</v>
      </c>
      <c r="H28" s="639" t="s">
        <v>924</v>
      </c>
      <c r="I28" s="639" t="s">
        <v>921</v>
      </c>
      <c r="J28" s="786">
        <v>39462</v>
      </c>
      <c r="K28" s="786">
        <v>39462</v>
      </c>
      <c r="L28" s="639" t="s">
        <v>925</v>
      </c>
      <c r="M28" s="639">
        <v>1400</v>
      </c>
      <c r="N28" s="639">
        <v>6300</v>
      </c>
      <c r="O28" s="639">
        <v>9000</v>
      </c>
      <c r="P28" s="639">
        <v>18000</v>
      </c>
      <c r="Q28" s="639">
        <v>0</v>
      </c>
      <c r="R28" s="639">
        <v>0</v>
      </c>
      <c r="S28" s="639">
        <v>0</v>
      </c>
      <c r="T28" s="639">
        <v>0</v>
      </c>
      <c r="U28" s="639">
        <v>0</v>
      </c>
      <c r="V28" s="639">
        <v>0</v>
      </c>
      <c r="W28" s="639">
        <v>0</v>
      </c>
      <c r="X28" s="639">
        <v>10</v>
      </c>
      <c r="Y28" s="639" t="s">
        <v>111</v>
      </c>
      <c r="Z28" s="641" t="s">
        <v>111</v>
      </c>
    </row>
    <row r="29" spans="1:26" s="576" customFormat="1">
      <c r="A29" s="595" t="s">
        <v>279</v>
      </c>
      <c r="B29" s="596"/>
      <c r="C29" s="596"/>
      <c r="D29" s="596"/>
      <c r="E29" s="596"/>
      <c r="F29" s="596"/>
      <c r="G29" s="596"/>
      <c r="H29" s="596"/>
      <c r="I29" s="596"/>
      <c r="J29" s="596"/>
      <c r="K29" s="596"/>
      <c r="L29" s="597"/>
      <c r="M29" s="597">
        <f>SUM(M28:M28)</f>
        <v>1400</v>
      </c>
      <c r="N29" s="597">
        <f>SUM(N28:N28)</f>
        <v>6300</v>
      </c>
      <c r="O29" s="597">
        <f>SUM(O28:O28)</f>
        <v>9000</v>
      </c>
      <c r="P29" s="597">
        <f>SUM(P28:P28)</f>
        <v>18000</v>
      </c>
      <c r="Q29" s="597">
        <f>SUM(Q28:Q28)</f>
        <v>0</v>
      </c>
      <c r="R29" s="597">
        <f>SUM(R28:R28)</f>
        <v>0</v>
      </c>
      <c r="S29" s="597">
        <f>SUM(S28:S28)</f>
        <v>0</v>
      </c>
      <c r="T29" s="597">
        <f>SUM(T28:T28)</f>
        <v>0</v>
      </c>
      <c r="U29" s="597">
        <f>SUM(U28:U28)</f>
        <v>0</v>
      </c>
      <c r="V29" s="597">
        <f>SUM(V28:V28)</f>
        <v>0</v>
      </c>
      <c r="W29" s="597">
        <f>SUM(W28:W28)</f>
        <v>0</v>
      </c>
      <c r="X29" s="598"/>
      <c r="Y29" s="598"/>
      <c r="Z29" s="599"/>
    </row>
    <row r="30" spans="1:26" s="576" customFormat="1">
      <c r="A30" s="595" t="s">
        <v>286</v>
      </c>
      <c r="B30" s="596"/>
      <c r="C30" s="596"/>
      <c r="D30" s="596"/>
      <c r="E30" s="596"/>
      <c r="F30" s="596"/>
      <c r="G30" s="596"/>
      <c r="H30" s="596"/>
      <c r="I30" s="596"/>
      <c r="J30" s="596"/>
      <c r="K30" s="596"/>
      <c r="L30" s="597"/>
      <c r="M30" s="597">
        <f>SUMIF($Z$28:$Z$28,"industrie",M28:M28)</f>
        <v>0</v>
      </c>
      <c r="N30" s="597">
        <f>SUMIF($Z$28:$Z$28,"industrie",N28:N28)</f>
        <v>0</v>
      </c>
      <c r="O30" s="597">
        <f>SUMIF($Z$28:$Z$28,"industrie",O28:O28)</f>
        <v>0</v>
      </c>
      <c r="P30" s="597">
        <f>SUMIF($Z$28:$Z$28,"industrie",P28:P28)</f>
        <v>0</v>
      </c>
      <c r="Q30" s="597">
        <f>SUMIF($Z$28:$Z$28,"industrie",Q28:Q28)</f>
        <v>0</v>
      </c>
      <c r="R30" s="597">
        <f>SUMIF($Z$28:$Z$28,"industrie",R28:R28)</f>
        <v>0</v>
      </c>
      <c r="S30" s="597">
        <f>SUMIF($Z$28:$Z$28,"industrie",S28:S28)</f>
        <v>0</v>
      </c>
      <c r="T30" s="597">
        <f>SUMIF($Z$28:$Z$28,"industrie",T28:T28)</f>
        <v>0</v>
      </c>
      <c r="U30" s="597">
        <f>SUMIF($Z$28:$Z$28,"industrie",U28:U28)</f>
        <v>0</v>
      </c>
      <c r="V30" s="597">
        <f>SUMIF($Z$28:$Z$28,"industrie",V28:V28)</f>
        <v>0</v>
      </c>
      <c r="W30" s="597">
        <f>SUMIF($Z$28:$Z$28,"industrie",W28:W28)</f>
        <v>0</v>
      </c>
      <c r="X30" s="598"/>
      <c r="Y30" s="598"/>
      <c r="Z30" s="599"/>
    </row>
    <row r="31" spans="1:26" s="576" customFormat="1">
      <c r="A31" s="595" t="s">
        <v>287</v>
      </c>
      <c r="B31" s="596"/>
      <c r="C31" s="596"/>
      <c r="D31" s="596"/>
      <c r="E31" s="596"/>
      <c r="F31" s="596"/>
      <c r="G31" s="596"/>
      <c r="H31" s="596"/>
      <c r="I31" s="596"/>
      <c r="J31" s="596"/>
      <c r="K31" s="596"/>
      <c r="L31" s="597"/>
      <c r="M31" s="597">
        <f ca="1">SUMIF($Z$28:AC28,"tertiair",M28:M28)</f>
        <v>0</v>
      </c>
      <c r="N31" s="597">
        <f ca="1">SUMIF($Z$28:AD28,"tertiair",N28:N28)</f>
        <v>0</v>
      </c>
      <c r="O31" s="597">
        <f ca="1">SUMIF($Z$28:AE28,"tertiair",O28:O28)</f>
        <v>0</v>
      </c>
      <c r="P31" s="597">
        <f ca="1">SUMIF($Z$28:AF28,"tertiair",P28:P28)</f>
        <v>0</v>
      </c>
      <c r="Q31" s="597">
        <f ca="1">SUMIF($Z$28:AG28,"tertiair",Q28:Q28)</f>
        <v>0</v>
      </c>
      <c r="R31" s="597">
        <f ca="1">SUMIF($Z$28:AH28,"tertiair",R28:R28)</f>
        <v>0</v>
      </c>
      <c r="S31" s="597">
        <f ca="1">SUMIF($Z$28:AI28,"tertiair",S28:S28)</f>
        <v>0</v>
      </c>
      <c r="T31" s="597">
        <f ca="1">SUMIF($Z$28:AJ28,"tertiair",T28:T28)</f>
        <v>0</v>
      </c>
      <c r="U31" s="597">
        <f ca="1">SUMIF($Z$28:AK28,"tertiair",U28:U28)</f>
        <v>0</v>
      </c>
      <c r="V31" s="597">
        <f ca="1">SUMIF($Z$28:AL28,"tertiair",V28:V28)</f>
        <v>0</v>
      </c>
      <c r="W31" s="597">
        <f ca="1">SUMIF($Z$28:AM28,"tertiair",W28:W28)</f>
        <v>0</v>
      </c>
      <c r="X31" s="598"/>
      <c r="Y31" s="598"/>
      <c r="Z31" s="599"/>
    </row>
    <row r="32" spans="1:26" s="576" customFormat="1" ht="15.75" thickBot="1">
      <c r="A32" s="600" t="s">
        <v>288</v>
      </c>
      <c r="B32" s="601"/>
      <c r="C32" s="601"/>
      <c r="D32" s="601"/>
      <c r="E32" s="601"/>
      <c r="F32" s="601"/>
      <c r="G32" s="601"/>
      <c r="H32" s="601"/>
      <c r="I32" s="601"/>
      <c r="J32" s="601"/>
      <c r="K32" s="601"/>
      <c r="L32" s="602"/>
      <c r="M32" s="602">
        <f>SUMIF($Z$28:$Z$28,"landbouw",M28:M28)</f>
        <v>1400</v>
      </c>
      <c r="N32" s="602">
        <f>SUMIF($Z$28:$Z$28,"landbouw",N28:N28)</f>
        <v>6300</v>
      </c>
      <c r="O32" s="602">
        <f>SUMIF($Z$28:$Z$28,"landbouw",O28:O28)</f>
        <v>9000</v>
      </c>
      <c r="P32" s="602">
        <f>SUMIF($Z$28:$Z$28,"landbouw",P28:P28)</f>
        <v>18000</v>
      </c>
      <c r="Q32" s="602">
        <f>SUMIF($Z$28:$Z$28,"landbouw",Q28:Q28)</f>
        <v>0</v>
      </c>
      <c r="R32" s="602">
        <f>SUMIF($Z$28:$Z$28,"landbouw",R28:R28)</f>
        <v>0</v>
      </c>
      <c r="S32" s="602">
        <f>SUMIF($Z$28:$Z$28,"landbouw",S28:S28)</f>
        <v>0</v>
      </c>
      <c r="T32" s="602">
        <f>SUMIF($Z$28:$Z$28,"landbouw",T28:T28)</f>
        <v>0</v>
      </c>
      <c r="U32" s="602">
        <f>SUMIF($Z$28:$Z$28,"landbouw",U28:U28)</f>
        <v>0</v>
      </c>
      <c r="V32" s="602">
        <f>SUMIF($Z$28:$Z$28,"landbouw",V28:V28)</f>
        <v>0</v>
      </c>
      <c r="W32" s="602">
        <f>SUMIF($Z$28:$Z$28,"landbouw",W28:W28)</f>
        <v>0</v>
      </c>
      <c r="X32" s="603"/>
      <c r="Y32" s="603"/>
      <c r="Z32" s="604"/>
    </row>
    <row r="33" spans="1:27" s="544" customFormat="1" ht="15.75" thickBot="1">
      <c r="A33" s="605"/>
      <c r="B33" s="606"/>
      <c r="C33" s="606"/>
      <c r="D33" s="606"/>
      <c r="E33" s="606"/>
      <c r="F33" s="606"/>
      <c r="G33" s="606"/>
      <c r="H33" s="606"/>
      <c r="I33" s="606"/>
      <c r="J33" s="606"/>
      <c r="K33" s="606"/>
      <c r="L33" s="589"/>
      <c r="M33" s="589"/>
      <c r="N33" s="589"/>
      <c r="O33" s="590"/>
      <c r="P33" s="590"/>
    </row>
    <row r="34" spans="1:27" s="544" customFormat="1" ht="45">
      <c r="A34" s="607" t="s">
        <v>280</v>
      </c>
      <c r="B34" s="636" t="s">
        <v>89</v>
      </c>
      <c r="C34" s="636" t="s">
        <v>90</v>
      </c>
      <c r="D34" s="636" t="s">
        <v>91</v>
      </c>
      <c r="E34" s="636" t="s">
        <v>92</v>
      </c>
      <c r="F34" s="636" t="s">
        <v>93</v>
      </c>
      <c r="G34" s="636" t="s">
        <v>94</v>
      </c>
      <c r="H34" s="636" t="s">
        <v>95</v>
      </c>
      <c r="I34" s="636" t="s">
        <v>96</v>
      </c>
      <c r="J34" s="636" t="s">
        <v>97</v>
      </c>
      <c r="K34" s="636" t="s">
        <v>98</v>
      </c>
      <c r="L34" s="636" t="s">
        <v>99</v>
      </c>
      <c r="M34" s="637" t="s">
        <v>297</v>
      </c>
      <c r="N34" s="637" t="s">
        <v>100</v>
      </c>
      <c r="O34" s="637" t="s">
        <v>101</v>
      </c>
      <c r="P34" s="637" t="s">
        <v>546</v>
      </c>
      <c r="Q34" s="637" t="s">
        <v>102</v>
      </c>
      <c r="R34" s="637" t="s">
        <v>103</v>
      </c>
      <c r="S34" s="637" t="s">
        <v>104</v>
      </c>
      <c r="T34" s="637" t="s">
        <v>105</v>
      </c>
      <c r="U34" s="637" t="s">
        <v>106</v>
      </c>
      <c r="V34" s="637" t="s">
        <v>107</v>
      </c>
      <c r="W34" s="636" t="s">
        <v>108</v>
      </c>
      <c r="X34" s="636" t="s">
        <v>298</v>
      </c>
      <c r="Y34" s="636" t="s">
        <v>109</v>
      </c>
      <c r="Z34" s="638" t="s">
        <v>299</v>
      </c>
    </row>
    <row r="35" spans="1:27" s="608" customFormat="1" ht="63.75">
      <c r="A35" s="594"/>
      <c r="B35" s="787">
        <v>13029</v>
      </c>
      <c r="C35" s="787">
        <v>2250</v>
      </c>
      <c r="D35" s="642" t="s">
        <v>926</v>
      </c>
      <c r="E35" s="642" t="s">
        <v>927</v>
      </c>
      <c r="F35" s="642" t="s">
        <v>928</v>
      </c>
      <c r="G35" s="642" t="s">
        <v>929</v>
      </c>
      <c r="H35" s="642" t="s">
        <v>930</v>
      </c>
      <c r="I35" s="642" t="s">
        <v>931</v>
      </c>
      <c r="J35" s="786">
        <v>37067</v>
      </c>
      <c r="K35" s="786">
        <v>37653</v>
      </c>
      <c r="L35" s="642" t="s">
        <v>926</v>
      </c>
      <c r="M35" s="642">
        <v>230</v>
      </c>
      <c r="N35" s="642">
        <v>1035</v>
      </c>
      <c r="O35" s="642">
        <v>0</v>
      </c>
      <c r="P35" s="642">
        <v>0</v>
      </c>
      <c r="Q35" s="642">
        <v>0</v>
      </c>
      <c r="R35" s="642">
        <v>2957.1428571428573</v>
      </c>
      <c r="S35" s="642">
        <v>0</v>
      </c>
      <c r="T35" s="642">
        <v>0</v>
      </c>
      <c r="U35" s="642">
        <v>0</v>
      </c>
      <c r="V35" s="642">
        <v>0</v>
      </c>
      <c r="W35" s="642">
        <v>0</v>
      </c>
      <c r="X35" s="642">
        <v>1600</v>
      </c>
      <c r="Y35" s="642" t="s">
        <v>49</v>
      </c>
      <c r="Z35" s="643" t="s">
        <v>155</v>
      </c>
    </row>
    <row r="36" spans="1:27" s="576" customFormat="1">
      <c r="A36" s="595" t="s">
        <v>279</v>
      </c>
      <c r="B36" s="596"/>
      <c r="C36" s="596"/>
      <c r="D36" s="596"/>
      <c r="E36" s="596"/>
      <c r="F36" s="596"/>
      <c r="G36" s="596"/>
      <c r="H36" s="596"/>
      <c r="I36" s="596"/>
      <c r="J36" s="596"/>
      <c r="K36" s="596"/>
      <c r="L36" s="597"/>
      <c r="M36" s="597">
        <f>SUM(M35:M35)</f>
        <v>230</v>
      </c>
      <c r="N36" s="597">
        <f>SUM(N35:N35)</f>
        <v>1035</v>
      </c>
      <c r="O36" s="597">
        <f>SUM(O35:O35)</f>
        <v>0</v>
      </c>
      <c r="P36" s="597">
        <f>SUM(P35:P35)</f>
        <v>0</v>
      </c>
      <c r="Q36" s="597">
        <f>SUM(Q35:Q35)</f>
        <v>0</v>
      </c>
      <c r="R36" s="597">
        <f>SUM(R35:R35)</f>
        <v>2957.1428571428573</v>
      </c>
      <c r="S36" s="597">
        <f>SUM(S35:S35)</f>
        <v>0</v>
      </c>
      <c r="T36" s="597">
        <f>SUM(T35:T35)</f>
        <v>0</v>
      </c>
      <c r="U36" s="597">
        <f>SUM(U35:U35)</f>
        <v>0</v>
      </c>
      <c r="V36" s="597">
        <f>SUM(V35:V35)</f>
        <v>0</v>
      </c>
      <c r="W36" s="597">
        <f>SUM(W35:W35)</f>
        <v>0</v>
      </c>
      <c r="X36" s="598"/>
      <c r="Y36" s="598"/>
      <c r="Z36" s="599"/>
    </row>
    <row r="37" spans="1:27" s="576" customFormat="1">
      <c r="A37" s="595" t="s">
        <v>286</v>
      </c>
      <c r="B37" s="596"/>
      <c r="C37" s="596"/>
      <c r="D37" s="596"/>
      <c r="E37" s="596"/>
      <c r="F37" s="596"/>
      <c r="G37" s="596"/>
      <c r="H37" s="596"/>
      <c r="I37" s="596"/>
      <c r="J37" s="596"/>
      <c r="K37" s="596"/>
      <c r="L37" s="597"/>
      <c r="M37" s="597">
        <f>SUMIF($Z$35:$Z$35,"industrie",M35:M35)</f>
        <v>0</v>
      </c>
      <c r="N37" s="597">
        <f>SUMIF($Z$35:$Z$35,"industrie",N35:N35)</f>
        <v>0</v>
      </c>
      <c r="O37" s="597">
        <f>SUMIF($Z$35:$Z$35,"industrie",O35:O35)</f>
        <v>0</v>
      </c>
      <c r="P37" s="597">
        <f>SUMIF($Z$35:$Z$35,"industrie",P35:P35)</f>
        <v>0</v>
      </c>
      <c r="Q37" s="597">
        <f>SUMIF($Z$35:$Z$35,"industrie",Q35:Q35)</f>
        <v>0</v>
      </c>
      <c r="R37" s="597">
        <f>SUMIF($Z$35:$Z$35,"industrie",R35:R35)</f>
        <v>0</v>
      </c>
      <c r="S37" s="597">
        <f>SUMIF($Z$35:$Z$35,"industrie",S35:S35)</f>
        <v>0</v>
      </c>
      <c r="T37" s="597">
        <f>SUMIF($Z$35:$Z$35,"industrie",T35:T35)</f>
        <v>0</v>
      </c>
      <c r="U37" s="597">
        <f>SUMIF($Z$35:$Z$35,"industrie",U35:U35)</f>
        <v>0</v>
      </c>
      <c r="V37" s="597">
        <f>SUMIF($Z$35:$Z$35,"industrie",V35:V35)</f>
        <v>0</v>
      </c>
      <c r="W37" s="597">
        <f>SUMIF($Z$35:$Z$35,"industrie",W35:W35)</f>
        <v>0</v>
      </c>
      <c r="X37" s="598"/>
      <c r="Y37" s="598"/>
      <c r="Z37" s="599"/>
    </row>
    <row r="38" spans="1:27" s="576" customFormat="1">
      <c r="A38" s="595" t="s">
        <v>287</v>
      </c>
      <c r="B38" s="596"/>
      <c r="C38" s="596"/>
      <c r="D38" s="596"/>
      <c r="E38" s="596"/>
      <c r="F38" s="596"/>
      <c r="G38" s="596"/>
      <c r="H38" s="596"/>
      <c r="I38" s="596"/>
      <c r="J38" s="596"/>
      <c r="K38" s="596"/>
      <c r="L38" s="597"/>
      <c r="M38" s="597">
        <f>SUMIF($Z$35:$Z$36,"tertiair",M35:M36)</f>
        <v>230</v>
      </c>
      <c r="N38" s="597">
        <f>SUMIF($Z$35:$Z$36,"tertiair",N35:N36)</f>
        <v>1035</v>
      </c>
      <c r="O38" s="597">
        <f>SUMIF($Z$35:$Z$36,"tertiair",O35:O36)</f>
        <v>0</v>
      </c>
      <c r="P38" s="597">
        <f>SUMIF($Z$35:$Z$36,"tertiair",P35:P36)</f>
        <v>0</v>
      </c>
      <c r="Q38" s="597">
        <f>SUMIF($Z$35:$Z$36,"tertiair",Q35:Q36)</f>
        <v>0</v>
      </c>
      <c r="R38" s="597">
        <f>SUMIF($Z$35:$Z$36,"tertiair",R35:R36)</f>
        <v>2957.1428571428573</v>
      </c>
      <c r="S38" s="597">
        <f>SUMIF($Z$35:$Z$36,"tertiair",S35:S36)</f>
        <v>0</v>
      </c>
      <c r="T38" s="597">
        <f>SUMIF($Z$35:$Z$36,"tertiair",T35:T36)</f>
        <v>0</v>
      </c>
      <c r="U38" s="597">
        <f>SUMIF($Z$35:$Z$36,"tertiair",U35:U36)</f>
        <v>0</v>
      </c>
      <c r="V38" s="597">
        <f>SUMIF($Z$35:$Z$36,"tertiair",V35:V36)</f>
        <v>0</v>
      </c>
      <c r="W38" s="597">
        <f>SUMIF($Z$35:$Z$36,"tertiair",W35:W36)</f>
        <v>0</v>
      </c>
      <c r="X38" s="598"/>
      <c r="Y38" s="598"/>
      <c r="Z38" s="599"/>
    </row>
    <row r="39" spans="1:27" s="576" customFormat="1" ht="15.75" thickBot="1">
      <c r="A39" s="600" t="s">
        <v>288</v>
      </c>
      <c r="B39" s="601"/>
      <c r="C39" s="601"/>
      <c r="D39" s="601"/>
      <c r="E39" s="601"/>
      <c r="F39" s="601"/>
      <c r="G39" s="601"/>
      <c r="H39" s="601"/>
      <c r="I39" s="601"/>
      <c r="J39" s="601"/>
      <c r="K39" s="601"/>
      <c r="L39" s="602"/>
      <c r="M39" s="602">
        <f>SUMIF($Z$35:$Z$37,"landbouw",M35:M37)</f>
        <v>0</v>
      </c>
      <c r="N39" s="602">
        <f>SUMIF($Z$35:$Z$37,"landbouw",N35:N37)</f>
        <v>0</v>
      </c>
      <c r="O39" s="602">
        <f>SUMIF($Z$35:$Z$37,"landbouw",O35:O37)</f>
        <v>0</v>
      </c>
      <c r="P39" s="602">
        <f>SUMIF($Z$35:$Z$37,"landbouw",P35:P37)</f>
        <v>0</v>
      </c>
      <c r="Q39" s="602">
        <f>SUMIF($Z$35:$Z$37,"landbouw",Q35:Q37)</f>
        <v>0</v>
      </c>
      <c r="R39" s="602">
        <f>SUMIF($Z$35:$Z$37,"landbouw",R35:R37)</f>
        <v>0</v>
      </c>
      <c r="S39" s="602">
        <f>SUMIF($Z$35:$Z$37,"landbouw",S35:S37)</f>
        <v>0</v>
      </c>
      <c r="T39" s="602">
        <f>SUMIF($Z$35:$Z$37,"landbouw",T35:T37)</f>
        <v>0</v>
      </c>
      <c r="U39" s="602">
        <f>SUMIF($Z$35:$Z$37,"landbouw",U35:U37)</f>
        <v>0</v>
      </c>
      <c r="V39" s="602">
        <f>SUMIF($Z$35:$Z$37,"landbouw",V35:V37)</f>
        <v>0</v>
      </c>
      <c r="W39" s="602">
        <f>SUMIF($Z$35:$Z$37,"landbouw",W35:W37)</f>
        <v>0</v>
      </c>
      <c r="X39" s="603"/>
      <c r="Y39" s="603"/>
      <c r="Z39" s="604"/>
    </row>
    <row r="40" spans="1:27" s="609" customFormat="1">
      <c r="A40" s="605"/>
      <c r="B40" s="589"/>
      <c r="C40" s="589"/>
      <c r="D40" s="589"/>
      <c r="E40" s="589"/>
      <c r="F40" s="589"/>
      <c r="G40" s="589"/>
      <c r="H40" s="589"/>
      <c r="I40" s="589"/>
      <c r="J40" s="589"/>
      <c r="K40" s="589"/>
      <c r="L40" s="589"/>
      <c r="M40" s="589"/>
      <c r="N40" s="589"/>
      <c r="O40" s="589"/>
      <c r="P40" s="589"/>
      <c r="Q40" s="589"/>
      <c r="R40" s="589"/>
      <c r="S40" s="589"/>
      <c r="T40" s="589"/>
      <c r="U40" s="589"/>
      <c r="V40" s="589"/>
      <c r="W40" s="589"/>
      <c r="X40" s="589"/>
      <c r="Y40" s="589"/>
    </row>
    <row r="41" spans="1:27" s="609" customFormat="1" ht="15.75" thickBot="1">
      <c r="A41" s="605"/>
      <c r="B41" s="589"/>
      <c r="C41" s="589"/>
      <c r="D41" s="589"/>
      <c r="E41" s="589"/>
      <c r="F41" s="589"/>
      <c r="G41" s="589"/>
      <c r="H41" s="589"/>
      <c r="I41" s="589"/>
      <c r="J41" s="589"/>
      <c r="K41" s="589"/>
      <c r="L41" s="589"/>
      <c r="M41" s="589"/>
      <c r="N41" s="589"/>
      <c r="O41" s="589"/>
      <c r="P41" s="589"/>
      <c r="Q41" s="589"/>
      <c r="R41" s="589"/>
      <c r="S41" s="589"/>
      <c r="T41" s="589"/>
      <c r="U41" s="589"/>
      <c r="V41" s="589"/>
      <c r="W41" s="589"/>
      <c r="X41" s="589"/>
      <c r="Y41" s="589"/>
      <c r="Z41" s="589"/>
      <c r="AA41" s="589"/>
    </row>
    <row r="42" spans="1:27">
      <c r="A42" s="610" t="s">
        <v>281</v>
      </c>
      <c r="B42" s="611"/>
      <c r="C42" s="611"/>
      <c r="D42" s="611"/>
      <c r="E42" s="611"/>
      <c r="F42" s="611"/>
      <c r="G42" s="611"/>
      <c r="H42" s="611"/>
      <c r="I42" s="612"/>
      <c r="J42" s="613"/>
      <c r="K42" s="613"/>
      <c r="L42" s="614"/>
      <c r="M42" s="614"/>
      <c r="N42" s="614"/>
      <c r="O42" s="614"/>
      <c r="P42" s="614"/>
    </row>
    <row r="43" spans="1:27">
      <c r="A43" s="616"/>
      <c r="B43" s="606"/>
      <c r="C43" s="606"/>
      <c r="D43" s="606"/>
      <c r="E43" s="606"/>
      <c r="F43" s="606"/>
      <c r="G43" s="606"/>
      <c r="H43" s="606"/>
      <c r="I43" s="617"/>
      <c r="J43" s="606"/>
      <c r="K43" s="606"/>
      <c r="L43" s="614"/>
      <c r="M43" s="614"/>
      <c r="N43" s="614"/>
      <c r="O43" s="614"/>
      <c r="P43" s="614"/>
    </row>
    <row r="44" spans="1:27">
      <c r="A44" s="618"/>
      <c r="B44" s="619" t="s">
        <v>282</v>
      </c>
      <c r="C44" s="619" t="s">
        <v>283</v>
      </c>
      <c r="D44" s="619"/>
      <c r="E44" s="619"/>
      <c r="F44" s="619"/>
      <c r="G44" s="619"/>
      <c r="H44" s="619"/>
      <c r="I44" s="620"/>
      <c r="J44" s="619"/>
      <c r="K44" s="619"/>
      <c r="L44" s="619"/>
      <c r="M44" s="619"/>
      <c r="N44" s="619"/>
      <c r="O44" s="619"/>
      <c r="P44" s="614"/>
    </row>
    <row r="45" spans="1:27">
      <c r="A45" s="616" t="s">
        <v>279</v>
      </c>
      <c r="B45" s="621">
        <f>IF(ISERROR(O29/(O29+N29)),0,O29/(O29+N29))</f>
        <v>0.58823529411764708</v>
      </c>
      <c r="C45" s="622">
        <f>IF(ISERROR(N29/(O29+N29)),0,N29/(N29+O29))</f>
        <v>0.41176470588235292</v>
      </c>
      <c r="D45" s="589"/>
      <c r="E45" s="589"/>
      <c r="F45" s="589"/>
      <c r="G45" s="589"/>
      <c r="H45" s="589"/>
      <c r="I45" s="623"/>
      <c r="J45" s="589"/>
      <c r="K45" s="589"/>
      <c r="L45" s="624"/>
      <c r="M45" s="624"/>
      <c r="N45" s="624"/>
      <c r="O45" s="624"/>
      <c r="P45" s="614"/>
    </row>
    <row r="46" spans="1:27">
      <c r="A46" s="616"/>
      <c r="B46" s="625"/>
      <c r="C46" s="625"/>
      <c r="D46" s="625"/>
      <c r="E46" s="625"/>
      <c r="F46" s="625"/>
      <c r="G46" s="625"/>
      <c r="H46" s="625"/>
      <c r="I46" s="626"/>
      <c r="J46" s="625"/>
      <c r="K46" s="625"/>
      <c r="L46" s="627"/>
      <c r="M46" s="627"/>
      <c r="N46" s="627"/>
      <c r="O46" s="627"/>
      <c r="P46" s="614"/>
    </row>
    <row r="47" spans="1:27" ht="30">
      <c r="A47" s="628"/>
      <c r="B47" s="629" t="s">
        <v>546</v>
      </c>
      <c r="C47" s="629" t="s">
        <v>102</v>
      </c>
      <c r="D47" s="629" t="s">
        <v>103</v>
      </c>
      <c r="E47" s="629" t="s">
        <v>104</v>
      </c>
      <c r="F47" s="629" t="s">
        <v>105</v>
      </c>
      <c r="G47" s="629" t="s">
        <v>106</v>
      </c>
      <c r="H47" s="629" t="s">
        <v>107</v>
      </c>
      <c r="I47" s="630" t="s">
        <v>108</v>
      </c>
      <c r="J47" s="619"/>
      <c r="K47" s="619"/>
      <c r="L47" s="627"/>
      <c r="M47" s="627"/>
      <c r="N47" s="627"/>
      <c r="O47" s="614"/>
      <c r="P47" s="614"/>
    </row>
    <row r="48" spans="1:27">
      <c r="A48" s="618" t="s">
        <v>284</v>
      </c>
      <c r="B48" s="631">
        <f t="shared" ref="B48:I48" si="2">$C$45*P29</f>
        <v>7411.7647058823522</v>
      </c>
      <c r="C48" s="631">
        <f t="shared" si="2"/>
        <v>0</v>
      </c>
      <c r="D48" s="631">
        <f t="shared" si="2"/>
        <v>0</v>
      </c>
      <c r="E48" s="631">
        <f t="shared" si="2"/>
        <v>0</v>
      </c>
      <c r="F48" s="631">
        <f t="shared" si="2"/>
        <v>0</v>
      </c>
      <c r="G48" s="631">
        <f t="shared" si="2"/>
        <v>0</v>
      </c>
      <c r="H48" s="631">
        <f t="shared" si="2"/>
        <v>0</v>
      </c>
      <c r="I48" s="632">
        <f t="shared" si="2"/>
        <v>0</v>
      </c>
      <c r="J48" s="589"/>
      <c r="K48" s="589"/>
      <c r="L48" s="627"/>
      <c r="M48" s="627"/>
      <c r="N48" s="627"/>
      <c r="O48" s="614"/>
      <c r="P48" s="614"/>
    </row>
    <row r="49" spans="1:16" ht="15.75" thickBot="1">
      <c r="A49" s="633" t="s">
        <v>285</v>
      </c>
      <c r="B49" s="634">
        <f t="shared" ref="B49:I49" si="3">$B$45*P29</f>
        <v>10588.235294117647</v>
      </c>
      <c r="C49" s="634">
        <f t="shared" si="3"/>
        <v>0</v>
      </c>
      <c r="D49" s="634">
        <f t="shared" si="3"/>
        <v>0</v>
      </c>
      <c r="E49" s="634">
        <f t="shared" si="3"/>
        <v>0</v>
      </c>
      <c r="F49" s="634">
        <f t="shared" si="3"/>
        <v>0</v>
      </c>
      <c r="G49" s="634">
        <f t="shared" si="3"/>
        <v>0</v>
      </c>
      <c r="H49" s="634">
        <f t="shared" si="3"/>
        <v>0</v>
      </c>
      <c r="I49" s="635">
        <f t="shared" si="3"/>
        <v>0</v>
      </c>
      <c r="J49" s="589"/>
      <c r="K49" s="589"/>
      <c r="L49" s="627"/>
      <c r="M49" s="627"/>
      <c r="N49" s="627"/>
      <c r="O49" s="614"/>
      <c r="P49" s="614"/>
    </row>
    <row r="50" spans="1:16">
      <c r="J50" s="574"/>
      <c r="K50" s="574"/>
      <c r="L50" s="574"/>
      <c r="M50" s="574"/>
      <c r="N50" s="574"/>
    </row>
    <row r="51" spans="1:16">
      <c r="J51" s="574"/>
      <c r="K51" s="574"/>
      <c r="L51" s="574"/>
      <c r="M51" s="574"/>
      <c r="N51" s="57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58" t="s">
        <v>418</v>
      </c>
      <c r="B1" s="358" t="s">
        <v>425</v>
      </c>
      <c r="C1" s="358" t="s">
        <v>424</v>
      </c>
      <c r="D1" s="358" t="s">
        <v>423</v>
      </c>
      <c r="E1" s="359" t="s">
        <v>419</v>
      </c>
      <c r="F1" s="360" t="s">
        <v>420</v>
      </c>
      <c r="G1" s="360" t="s">
        <v>421</v>
      </c>
      <c r="H1" s="360" t="s">
        <v>422</v>
      </c>
    </row>
    <row r="2" spans="1:9" s="11" customFormat="1">
      <c r="A2" s="1060" t="s">
        <v>896</v>
      </c>
      <c r="B2" s="1061" t="s">
        <v>897</v>
      </c>
      <c r="C2" s="1060" t="s">
        <v>672</v>
      </c>
      <c r="D2" s="1060" t="s">
        <v>764</v>
      </c>
      <c r="E2" s="353"/>
      <c r="F2" s="923" t="s">
        <v>772</v>
      </c>
      <c r="G2" s="923" t="s">
        <v>773</v>
      </c>
      <c r="H2" s="351" t="s">
        <v>774</v>
      </c>
      <c r="I2" s="880"/>
    </row>
    <row r="3" spans="1:9" s="11" customFormat="1">
      <c r="A3" s="1057" t="s">
        <v>894</v>
      </c>
      <c r="B3" s="1058" t="s">
        <v>893</v>
      </c>
      <c r="C3" s="1057" t="s">
        <v>192</v>
      </c>
      <c r="D3" s="1059" t="s">
        <v>895</v>
      </c>
      <c r="E3" s="919"/>
      <c r="F3" s="891" t="s">
        <v>750</v>
      </c>
      <c r="G3" s="891" t="s">
        <v>751</v>
      </c>
      <c r="H3" s="891" t="s">
        <v>752</v>
      </c>
    </row>
    <row r="4" spans="1:9" s="880" customFormat="1">
      <c r="A4" s="918" t="s">
        <v>411</v>
      </c>
      <c r="B4" s="925">
        <v>2014</v>
      </c>
      <c r="C4" s="918" t="s">
        <v>411</v>
      </c>
      <c r="D4" s="918" t="s">
        <v>770</v>
      </c>
      <c r="E4" s="919"/>
      <c r="F4" s="920" t="s">
        <v>753</v>
      </c>
      <c r="G4" s="920" t="s">
        <v>754</v>
      </c>
      <c r="H4" s="920" t="s">
        <v>755</v>
      </c>
    </row>
    <row r="5" spans="1:9">
      <c r="A5" s="347" t="s">
        <v>401</v>
      </c>
      <c r="B5" s="348" t="s">
        <v>676</v>
      </c>
      <c r="C5" s="347" t="s">
        <v>401</v>
      </c>
      <c r="D5" s="347" t="s">
        <v>682</v>
      </c>
      <c r="E5" s="349"/>
      <c r="F5" s="350" t="s">
        <v>402</v>
      </c>
      <c r="G5" s="350" t="s">
        <v>403</v>
      </c>
      <c r="H5" s="351" t="s">
        <v>404</v>
      </c>
    </row>
    <row r="6" spans="1:9">
      <c r="A6" s="347" t="s">
        <v>405</v>
      </c>
      <c r="B6" s="348" t="s">
        <v>676</v>
      </c>
      <c r="C6" s="347" t="s">
        <v>405</v>
      </c>
      <c r="D6" s="347" t="s">
        <v>683</v>
      </c>
      <c r="E6" s="349"/>
      <c r="F6" s="350" t="s">
        <v>407</v>
      </c>
      <c r="G6" s="350" t="s">
        <v>408</v>
      </c>
      <c r="H6" s="351" t="s">
        <v>406</v>
      </c>
    </row>
    <row r="7" spans="1:9">
      <c r="A7" s="352" t="s">
        <v>437</v>
      </c>
      <c r="B7" s="356" t="s">
        <v>438</v>
      </c>
      <c r="C7" s="352" t="s">
        <v>440</v>
      </c>
      <c r="D7" s="352" t="s">
        <v>436</v>
      </c>
      <c r="E7" s="349" t="s">
        <v>439</v>
      </c>
      <c r="F7" s="350"/>
      <c r="G7" s="350"/>
      <c r="H7" s="351"/>
    </row>
    <row r="8" spans="1:9" s="11" customFormat="1">
      <c r="A8" s="352" t="s">
        <v>768</v>
      </c>
      <c r="B8" s="927">
        <v>2013</v>
      </c>
      <c r="C8" s="352" t="s">
        <v>411</v>
      </c>
      <c r="D8" s="352" t="s">
        <v>769</v>
      </c>
      <c r="E8" s="919" t="s">
        <v>771</v>
      </c>
      <c r="F8" s="891"/>
      <c r="G8" s="891"/>
      <c r="H8" s="891"/>
    </row>
    <row r="9" spans="1:9" s="11" customFormat="1">
      <c r="A9" s="352" t="s">
        <v>790</v>
      </c>
      <c r="B9" s="791" t="s">
        <v>791</v>
      </c>
      <c r="C9" s="352" t="s">
        <v>792</v>
      </c>
      <c r="D9" s="352" t="s">
        <v>788</v>
      </c>
      <c r="E9" s="355" t="s">
        <v>787</v>
      </c>
      <c r="F9" s="891"/>
      <c r="G9" s="891"/>
      <c r="H9" s="891"/>
    </row>
    <row r="10" spans="1:9">
      <c r="A10" s="352" t="s">
        <v>639</v>
      </c>
      <c r="B10" s="887" t="s">
        <v>684</v>
      </c>
      <c r="C10" s="352" t="s">
        <v>644</v>
      </c>
      <c r="D10" s="352" t="s">
        <v>645</v>
      </c>
      <c r="E10" s="349"/>
      <c r="F10" s="350" t="s">
        <v>641</v>
      </c>
      <c r="G10" s="350" t="s">
        <v>642</v>
      </c>
      <c r="H10" s="351" t="s">
        <v>643</v>
      </c>
    </row>
    <row r="11" spans="1:9" s="880" customFormat="1">
      <c r="A11" s="921" t="s">
        <v>757</v>
      </c>
      <c r="B11" s="922" t="s">
        <v>758</v>
      </c>
      <c r="C11" s="921" t="s">
        <v>759</v>
      </c>
      <c r="D11" s="921" t="s">
        <v>760</v>
      </c>
      <c r="E11" s="685"/>
      <c r="F11" s="923" t="s">
        <v>761</v>
      </c>
      <c r="G11" s="923" t="s">
        <v>762</v>
      </c>
      <c r="H11" s="351" t="s">
        <v>763</v>
      </c>
    </row>
    <row r="12" spans="1:9" s="880" customFormat="1">
      <c r="A12" s="918" t="s">
        <v>775</v>
      </c>
      <c r="B12" s="925">
        <v>2017</v>
      </c>
      <c r="C12" s="918" t="s">
        <v>430</v>
      </c>
      <c r="D12" s="918" t="s">
        <v>776</v>
      </c>
      <c r="E12" s="926"/>
      <c r="F12" s="923" t="s">
        <v>772</v>
      </c>
      <c r="G12" s="923" t="s">
        <v>773</v>
      </c>
      <c r="H12" s="351" t="s">
        <v>774</v>
      </c>
    </row>
    <row r="13" spans="1:9" s="10" customFormat="1">
      <c r="A13" s="352" t="s">
        <v>413</v>
      </c>
      <c r="B13" s="348" t="s">
        <v>429</v>
      </c>
      <c r="C13" s="347"/>
      <c r="D13" s="357" t="s">
        <v>428</v>
      </c>
      <c r="E13" s="349"/>
      <c r="F13" s="350"/>
      <c r="G13" s="350"/>
      <c r="H13" s="351"/>
    </row>
    <row r="14" spans="1:9">
      <c r="A14" s="347" t="s">
        <v>395</v>
      </c>
      <c r="B14" s="348" t="s">
        <v>640</v>
      </c>
      <c r="C14" s="347"/>
      <c r="D14" s="347" t="s">
        <v>400</v>
      </c>
      <c r="E14" s="355" t="s">
        <v>396</v>
      </c>
      <c r="F14" s="350" t="s">
        <v>397</v>
      </c>
      <c r="G14" s="350" t="s">
        <v>398</v>
      </c>
      <c r="H14" s="350" t="s">
        <v>399</v>
      </c>
    </row>
    <row r="15" spans="1:9">
      <c r="A15" s="347" t="s">
        <v>412</v>
      </c>
      <c r="B15" s="348" t="s">
        <v>676</v>
      </c>
      <c r="C15" s="347" t="s">
        <v>412</v>
      </c>
      <c r="D15" s="347" t="s">
        <v>426</v>
      </c>
      <c r="E15" s="349"/>
      <c r="F15" s="350" t="s">
        <v>802</v>
      </c>
      <c r="G15" s="350" t="s">
        <v>803</v>
      </c>
      <c r="H15" s="351" t="s">
        <v>804</v>
      </c>
    </row>
    <row r="16" spans="1:9" s="888" customFormat="1">
      <c r="A16" s="892" t="s">
        <v>518</v>
      </c>
      <c r="B16" s="893" t="s">
        <v>380</v>
      </c>
      <c r="C16" s="892" t="s">
        <v>378</v>
      </c>
      <c r="D16" s="894" t="s">
        <v>379</v>
      </c>
      <c r="E16" s="895" t="s">
        <v>381</v>
      </c>
      <c r="F16" s="924" t="s">
        <v>765</v>
      </c>
      <c r="G16" s="924" t="s">
        <v>766</v>
      </c>
      <c r="H16" s="351" t="s">
        <v>767</v>
      </c>
    </row>
    <row r="17" spans="1:8" s="888" customFormat="1">
      <c r="A17" s="892" t="s">
        <v>518</v>
      </c>
      <c r="B17" s="893" t="s">
        <v>796</v>
      </c>
      <c r="C17" s="892" t="s">
        <v>798</v>
      </c>
      <c r="D17" s="894" t="s">
        <v>799</v>
      </c>
      <c r="E17" s="895"/>
      <c r="F17" s="924" t="s">
        <v>765</v>
      </c>
      <c r="G17" s="924" t="s">
        <v>766</v>
      </c>
      <c r="H17" s="351" t="s">
        <v>767</v>
      </c>
    </row>
    <row r="18" spans="1:8" s="11" customFormat="1">
      <c r="A18" s="352" t="s">
        <v>517</v>
      </c>
      <c r="B18" s="356" t="s">
        <v>676</v>
      </c>
      <c r="C18" s="352" t="s">
        <v>430</v>
      </c>
      <c r="D18" s="352" t="s">
        <v>687</v>
      </c>
      <c r="E18" s="353"/>
      <c r="F18" s="920" t="s">
        <v>765</v>
      </c>
      <c r="G18" s="924" t="s">
        <v>766</v>
      </c>
      <c r="H18" s="351" t="s">
        <v>767</v>
      </c>
    </row>
    <row r="19" spans="1:8" s="10" customFormat="1">
      <c r="A19" s="352" t="s">
        <v>516</v>
      </c>
      <c r="B19" s="356" t="s">
        <v>515</v>
      </c>
      <c r="C19" s="352" t="s">
        <v>514</v>
      </c>
      <c r="D19" s="352" t="s">
        <v>513</v>
      </c>
      <c r="E19" s="345"/>
      <c r="F19" s="346"/>
      <c r="G19" s="346"/>
      <c r="H19" s="354"/>
    </row>
    <row r="20" spans="1:8">
      <c r="A20" s="352" t="s">
        <v>192</v>
      </c>
      <c r="B20" s="791" t="s">
        <v>698</v>
      </c>
      <c r="C20" s="352" t="s">
        <v>431</v>
      </c>
      <c r="D20" s="352" t="s">
        <v>432</v>
      </c>
      <c r="E20" s="349"/>
      <c r="F20" s="350" t="s">
        <v>433</v>
      </c>
      <c r="G20" s="350" t="s">
        <v>434</v>
      </c>
      <c r="H20" s="351" t="s">
        <v>435</v>
      </c>
    </row>
    <row r="21" spans="1:8" s="11" customFormat="1">
      <c r="A21" s="1064" t="s">
        <v>898</v>
      </c>
      <c r="B21" s="1065" t="s">
        <v>893</v>
      </c>
      <c r="C21" s="1064" t="s">
        <v>192</v>
      </c>
      <c r="D21" s="1064" t="s">
        <v>899</v>
      </c>
      <c r="E21" s="919"/>
      <c r="F21" s="920" t="s">
        <v>750</v>
      </c>
      <c r="G21" s="920" t="s">
        <v>751</v>
      </c>
      <c r="H21" s="920" t="s">
        <v>752</v>
      </c>
    </row>
    <row r="22" spans="1:8" s="880" customFormat="1">
      <c r="A22" s="352" t="s">
        <v>412</v>
      </c>
      <c r="B22" s="791" t="s">
        <v>796</v>
      </c>
      <c r="C22" s="352" t="s">
        <v>412</v>
      </c>
      <c r="D22" s="352" t="s">
        <v>800</v>
      </c>
      <c r="E22" s="349"/>
      <c r="F22" s="350" t="s">
        <v>805</v>
      </c>
      <c r="G22" s="350" t="s">
        <v>806</v>
      </c>
      <c r="H22" s="351" t="s">
        <v>807</v>
      </c>
    </row>
    <row r="23" spans="1:8" s="880" customFormat="1">
      <c r="A23" s="352" t="s">
        <v>412</v>
      </c>
      <c r="B23" s="791" t="s">
        <v>797</v>
      </c>
      <c r="C23" s="352" t="s">
        <v>412</v>
      </c>
      <c r="D23" s="352" t="s">
        <v>801</v>
      </c>
      <c r="E23" s="349"/>
      <c r="F23" s="350" t="s">
        <v>808</v>
      </c>
      <c r="G23" s="350" t="s">
        <v>809</v>
      </c>
      <c r="H23" s="351" t="s">
        <v>810</v>
      </c>
    </row>
    <row r="24" spans="1:8">
      <c r="A24" s="352" t="s">
        <v>410</v>
      </c>
      <c r="B24" s="348" t="s">
        <v>650</v>
      </c>
      <c r="C24" s="352" t="s">
        <v>410</v>
      </c>
      <c r="D24" s="352" t="s">
        <v>685</v>
      </c>
      <c r="E24" s="349" t="s">
        <v>686</v>
      </c>
      <c r="F24" s="350" t="s">
        <v>811</v>
      </c>
      <c r="G24" s="350" t="s">
        <v>812</v>
      </c>
      <c r="H24" s="351" t="s">
        <v>813</v>
      </c>
    </row>
    <row r="25" spans="1:8">
      <c r="A25" s="347" t="s">
        <v>410</v>
      </c>
      <c r="B25" s="887" t="s">
        <v>650</v>
      </c>
      <c r="C25" s="347" t="s">
        <v>410</v>
      </c>
      <c r="D25" s="357" t="s">
        <v>651</v>
      </c>
      <c r="E25" s="349" t="s">
        <v>427</v>
      </c>
      <c r="F25" s="350" t="s">
        <v>811</v>
      </c>
      <c r="G25" s="350" t="s">
        <v>812</v>
      </c>
      <c r="H25" s="351" t="s">
        <v>813</v>
      </c>
    </row>
  </sheetData>
  <hyperlinks>
    <hyperlink ref="H5" r:id="rId1"/>
    <hyperlink ref="H6" r:id="rId2" display="mailto:toon.lenaerts@infrax.be"/>
    <hyperlink ref="H15" r:id="rId3" display="tine.tanghe@vea.be"/>
    <hyperlink ref="E14" r:id="rId4"/>
    <hyperlink ref="H16" r:id="rId5"/>
    <hyperlink ref="H18" r:id="rId6"/>
    <hyperlink ref="H2" r:id="rId7"/>
    <hyperlink ref="H12" r:id="rId8"/>
    <hyperlink ref="E9" r:id="rId9"/>
  </hyperlinks>
  <pageMargins left="0.7" right="0.7" top="0.75" bottom="0.75" header="0.3" footer="0.3"/>
  <pageSetup paperSize="9" orientation="portrait" r:id="rId10"/>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7"/>
  <sheetViews>
    <sheetView topLeftCell="A25" workbookViewId="0">
      <selection activeCell="D37" sqref="D37"/>
    </sheetView>
  </sheetViews>
  <sheetFormatPr defaultRowHeight="15"/>
  <cols>
    <col min="1" max="1" width="11.7109375" bestFit="1" customWidth="1"/>
    <col min="2" max="2" width="12" bestFit="1" customWidth="1"/>
    <col min="3" max="3" width="180.140625" customWidth="1"/>
    <col min="4" max="4" width="36.28515625" bestFit="1" customWidth="1"/>
    <col min="6" max="6" width="28.5703125" bestFit="1" customWidth="1"/>
  </cols>
  <sheetData>
    <row r="1" spans="1:4">
      <c r="A1" s="896" t="s">
        <v>629</v>
      </c>
      <c r="B1" s="896" t="s">
        <v>630</v>
      </c>
      <c r="C1" s="896" t="s">
        <v>632</v>
      </c>
      <c r="D1" s="896" t="s">
        <v>631</v>
      </c>
    </row>
    <row r="2" spans="1:4" s="880" customFormat="1">
      <c r="A2" s="880" t="s">
        <v>679</v>
      </c>
      <c r="B2" s="768">
        <v>42283</v>
      </c>
      <c r="C2" s="880" t="s">
        <v>710</v>
      </c>
      <c r="D2" s="885" t="s">
        <v>704</v>
      </c>
    </row>
    <row r="3" spans="1:4" s="880" customFormat="1">
      <c r="A3" s="880" t="s">
        <v>679</v>
      </c>
      <c r="B3" s="768">
        <v>42282</v>
      </c>
      <c r="C3" s="880" t="s">
        <v>709</v>
      </c>
      <c r="D3" s="885" t="s">
        <v>700</v>
      </c>
    </row>
    <row r="4" spans="1:4" s="880" customFormat="1">
      <c r="A4" s="880" t="s">
        <v>679</v>
      </c>
      <c r="B4" s="768">
        <v>42282</v>
      </c>
      <c r="C4" s="880" t="s">
        <v>708</v>
      </c>
      <c r="D4" s="885" t="s">
        <v>701</v>
      </c>
    </row>
    <row r="5" spans="1:4" s="880" customFormat="1">
      <c r="A5" s="880" t="s">
        <v>679</v>
      </c>
      <c r="B5" s="768">
        <v>42282</v>
      </c>
      <c r="C5" s="880" t="s">
        <v>707</v>
      </c>
      <c r="D5" s="885" t="s">
        <v>702</v>
      </c>
    </row>
    <row r="6" spans="1:4" s="880" customFormat="1">
      <c r="A6" s="880" t="s">
        <v>679</v>
      </c>
      <c r="B6" s="768">
        <v>42282</v>
      </c>
      <c r="C6" s="880" t="s">
        <v>706</v>
      </c>
      <c r="D6" s="885" t="s">
        <v>703</v>
      </c>
    </row>
    <row r="7" spans="1:4">
      <c r="A7" t="s">
        <v>679</v>
      </c>
      <c r="B7" s="768">
        <v>42275</v>
      </c>
      <c r="C7" t="s">
        <v>699</v>
      </c>
      <c r="D7" s="769" t="s">
        <v>648</v>
      </c>
    </row>
    <row r="8" spans="1:4">
      <c r="A8" t="s">
        <v>679</v>
      </c>
      <c r="B8" s="768">
        <v>42234</v>
      </c>
      <c r="C8" t="s">
        <v>680</v>
      </c>
      <c r="D8" s="769" t="s">
        <v>649</v>
      </c>
    </row>
    <row r="9" spans="1:4" s="888" customFormat="1">
      <c r="A9" s="888" t="s">
        <v>679</v>
      </c>
      <c r="B9" s="889">
        <v>42234</v>
      </c>
      <c r="C9" s="888" t="s">
        <v>694</v>
      </c>
      <c r="D9" s="885" t="s">
        <v>665</v>
      </c>
    </row>
    <row r="10" spans="1:4" s="888" customFormat="1">
      <c r="A10" s="888" t="s">
        <v>679</v>
      </c>
      <c r="B10" s="889">
        <v>42234</v>
      </c>
      <c r="C10" s="888" t="s">
        <v>695</v>
      </c>
      <c r="D10" s="885" t="s">
        <v>666</v>
      </c>
    </row>
    <row r="11" spans="1:4" s="888" customFormat="1">
      <c r="A11" s="888" t="s">
        <v>711</v>
      </c>
      <c r="B11" s="889">
        <v>42430</v>
      </c>
      <c r="C11" s="888" t="s">
        <v>712</v>
      </c>
      <c r="D11" s="885" t="s">
        <v>702</v>
      </c>
    </row>
    <row r="12" spans="1:4" s="7" customFormat="1">
      <c r="A12" s="888" t="s">
        <v>711</v>
      </c>
      <c r="B12" s="889">
        <v>42468</v>
      </c>
      <c r="C12" s="888" t="s">
        <v>713</v>
      </c>
      <c r="D12" s="905" t="s">
        <v>665</v>
      </c>
    </row>
    <row r="13" spans="1:4" s="7" customFormat="1">
      <c r="A13" s="888" t="s">
        <v>711</v>
      </c>
      <c r="B13" s="907">
        <v>42538</v>
      </c>
      <c r="C13" s="907" t="s">
        <v>714</v>
      </c>
      <c r="D13" s="907"/>
    </row>
    <row r="14" spans="1:4" s="7" customFormat="1">
      <c r="A14" s="888" t="s">
        <v>711</v>
      </c>
      <c r="B14" s="907">
        <v>42538</v>
      </c>
      <c r="C14" s="907" t="s">
        <v>715</v>
      </c>
      <c r="D14" s="908" t="s">
        <v>716</v>
      </c>
    </row>
    <row r="15" spans="1:4" s="7" customFormat="1">
      <c r="A15" s="888" t="s">
        <v>711</v>
      </c>
      <c r="B15" s="907">
        <v>42538</v>
      </c>
      <c r="C15" s="907" t="s">
        <v>717</v>
      </c>
      <c r="D15" s="909" t="s">
        <v>718</v>
      </c>
    </row>
    <row r="16" spans="1:4" s="7" customFormat="1">
      <c r="A16" s="888" t="s">
        <v>711</v>
      </c>
      <c r="B16" s="907">
        <v>42538</v>
      </c>
      <c r="C16" s="907" t="s">
        <v>719</v>
      </c>
      <c r="D16" s="908" t="s">
        <v>720</v>
      </c>
    </row>
    <row r="17" spans="1:4" s="7" customFormat="1">
      <c r="A17" s="888" t="s">
        <v>744</v>
      </c>
      <c r="B17" s="907">
        <v>42583</v>
      </c>
      <c r="C17" s="907" t="s">
        <v>745</v>
      </c>
      <c r="D17" s="885" t="s">
        <v>665</v>
      </c>
    </row>
    <row r="18" spans="1:4" s="7" customFormat="1">
      <c r="A18" s="888" t="s">
        <v>747</v>
      </c>
      <c r="B18" s="768">
        <v>42877</v>
      </c>
      <c r="C18" s="880" t="s">
        <v>793</v>
      </c>
      <c r="D18" s="885" t="s">
        <v>703</v>
      </c>
    </row>
    <row r="19" spans="1:4" s="7" customFormat="1">
      <c r="A19" s="888" t="s">
        <v>747</v>
      </c>
      <c r="B19" s="768">
        <v>42877</v>
      </c>
      <c r="C19" s="880" t="s">
        <v>794</v>
      </c>
      <c r="D19" s="917" t="s">
        <v>748</v>
      </c>
    </row>
    <row r="20" spans="1:4" s="7" customFormat="1">
      <c r="A20" s="888" t="s">
        <v>747</v>
      </c>
      <c r="B20" s="768">
        <v>42877</v>
      </c>
      <c r="C20" s="880" t="s">
        <v>795</v>
      </c>
      <c r="D20" s="885" t="s">
        <v>749</v>
      </c>
    </row>
    <row r="21" spans="1:4" s="7" customFormat="1">
      <c r="A21" s="888" t="s">
        <v>777</v>
      </c>
      <c r="B21" s="907">
        <v>43167</v>
      </c>
      <c r="C21" s="907" t="s">
        <v>778</v>
      </c>
      <c r="D21" s="917" t="s">
        <v>779</v>
      </c>
    </row>
    <row r="22" spans="1:4" s="7" customFormat="1">
      <c r="A22" s="888" t="s">
        <v>777</v>
      </c>
      <c r="B22" s="907">
        <v>43167</v>
      </c>
      <c r="C22" s="907" t="s">
        <v>780</v>
      </c>
      <c r="D22" s="885" t="s">
        <v>781</v>
      </c>
    </row>
    <row r="23" spans="1:4">
      <c r="A23" s="888" t="s">
        <v>777</v>
      </c>
      <c r="B23" s="907">
        <v>43167</v>
      </c>
      <c r="C23" s="907" t="s">
        <v>782</v>
      </c>
      <c r="D23" s="885" t="s">
        <v>783</v>
      </c>
    </row>
    <row r="24" spans="1:4">
      <c r="A24" s="888" t="s">
        <v>777</v>
      </c>
      <c r="B24" s="907">
        <v>43167</v>
      </c>
      <c r="C24" s="907" t="s">
        <v>784</v>
      </c>
      <c r="D24" s="885" t="s">
        <v>785</v>
      </c>
    </row>
    <row r="25" spans="1:4">
      <c r="A25" s="888" t="s">
        <v>777</v>
      </c>
      <c r="B25" s="907">
        <v>43278</v>
      </c>
      <c r="C25" s="907" t="s">
        <v>814</v>
      </c>
      <c r="D25" s="917"/>
    </row>
    <row r="26" spans="1:4">
      <c r="A26" s="888" t="s">
        <v>815</v>
      </c>
      <c r="B26" s="768">
        <v>43425</v>
      </c>
      <c r="C26" s="907" t="s">
        <v>816</v>
      </c>
    </row>
    <row r="27" spans="1:4">
      <c r="A27" s="888" t="s">
        <v>815</v>
      </c>
      <c r="B27" s="768">
        <v>43444</v>
      </c>
      <c r="C27" s="907" t="s">
        <v>852</v>
      </c>
      <c r="D27" s="917" t="s">
        <v>853</v>
      </c>
    </row>
    <row r="28" spans="1:4">
      <c r="A28" s="888" t="s">
        <v>863</v>
      </c>
      <c r="B28" s="768">
        <v>43573</v>
      </c>
      <c r="C28" s="907" t="s">
        <v>864</v>
      </c>
    </row>
    <row r="29" spans="1:4">
      <c r="A29" s="888" t="s">
        <v>886</v>
      </c>
      <c r="B29" s="768">
        <v>43678</v>
      </c>
      <c r="C29" s="907" t="s">
        <v>887</v>
      </c>
      <c r="D29" s="885" t="s">
        <v>888</v>
      </c>
    </row>
    <row r="30" spans="1:4">
      <c r="A30" s="1053" t="s">
        <v>892</v>
      </c>
      <c r="B30" s="1072">
        <v>43930</v>
      </c>
      <c r="C30" s="1069" t="s">
        <v>889</v>
      </c>
      <c r="D30" s="1071" t="s">
        <v>890</v>
      </c>
    </row>
    <row r="31" spans="1:4">
      <c r="A31" s="1053" t="s">
        <v>892</v>
      </c>
      <c r="B31" s="1072">
        <v>43930</v>
      </c>
      <c r="C31" s="1069" t="s">
        <v>891</v>
      </c>
      <c r="D31" s="1071" t="s">
        <v>890</v>
      </c>
    </row>
    <row r="32" spans="1:4">
      <c r="A32" s="1073" t="s">
        <v>892</v>
      </c>
      <c r="B32" s="1072">
        <v>43943</v>
      </c>
      <c r="C32" s="1069" t="s">
        <v>901</v>
      </c>
      <c r="D32" s="1070" t="s">
        <v>703</v>
      </c>
    </row>
    <row r="33" spans="1:4">
      <c r="A33" s="1073" t="s">
        <v>892</v>
      </c>
      <c r="B33" s="1072">
        <v>43943</v>
      </c>
      <c r="C33" s="1069" t="s">
        <v>902</v>
      </c>
      <c r="D33" s="1071" t="s">
        <v>748</v>
      </c>
    </row>
    <row r="34" spans="1:4" ht="14.25" customHeight="1">
      <c r="A34" s="1073" t="s">
        <v>892</v>
      </c>
      <c r="B34" s="1072">
        <v>43943</v>
      </c>
      <c r="C34" s="1069" t="s">
        <v>903</v>
      </c>
      <c r="D34" s="1071" t="s">
        <v>749</v>
      </c>
    </row>
    <row r="35" spans="1:4">
      <c r="A35" s="1073" t="s">
        <v>892</v>
      </c>
      <c r="B35" s="1072">
        <v>43943</v>
      </c>
      <c r="C35" s="1069" t="s">
        <v>904</v>
      </c>
      <c r="D35" s="1071" t="s">
        <v>905</v>
      </c>
    </row>
    <row r="36" spans="1:4">
      <c r="A36" s="1073" t="s">
        <v>892</v>
      </c>
      <c r="B36" s="1072">
        <v>43951</v>
      </c>
      <c r="C36" t="s">
        <v>908</v>
      </c>
      <c r="D36" s="1071" t="s">
        <v>909</v>
      </c>
    </row>
    <row r="37" spans="1:4">
      <c r="A37" s="1073" t="s">
        <v>892</v>
      </c>
      <c r="B37" s="1072">
        <v>43965</v>
      </c>
      <c r="C37" t="s">
        <v>911</v>
      </c>
      <c r="D37" s="1070" t="s">
        <v>665</v>
      </c>
    </row>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 ref="D30" location="data!A1" display="data!A1"/>
    <hyperlink ref="D31" location="data!A1" display="data!A1"/>
    <hyperlink ref="D32" location="'ECF transport '!A1" display="'ECF transport '!A1"/>
    <hyperlink ref="D33" location="transport!A21" display="transport!A21"/>
    <hyperlink ref="D34" location="transport!A28" display="transport!A28"/>
    <hyperlink ref="D35" location="Conversiefactoren!A1" display="Conversiefactoren!A24"/>
    <hyperlink ref="D36" location="huishoudens!A1" display="huishoudens!A1"/>
    <hyperlink ref="D37"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2020-06-20T16:15:16Z</dcterms:modified>
</cp:coreProperties>
</file>