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B8" i="18" s="1"/>
  <c r="M31" i="18"/>
  <c r="G22" i="18"/>
  <c r="F22" i="18"/>
  <c r="E22" i="18"/>
  <c r="D22" i="18"/>
  <c r="C22" i="18"/>
  <c r="L20" i="18"/>
  <c r="D20" i="18"/>
  <c r="B17" i="18"/>
  <c r="G12" i="18"/>
  <c r="F12" i="18"/>
  <c r="E12" i="18"/>
  <c r="D12" i="18"/>
  <c r="C12" i="18"/>
  <c r="L10" i="18"/>
  <c r="K10" i="18"/>
  <c r="G10" i="18"/>
  <c r="D10" i="18"/>
  <c r="B6" i="18"/>
  <c r="B5" i="18"/>
  <c r="B4" i="18"/>
  <c r="I51" i="18" l="1"/>
  <c r="H17" i="18" s="1"/>
  <c r="G51" i="18"/>
  <c r="F51" i="18"/>
  <c r="C51" i="18"/>
  <c r="B51" i="18"/>
  <c r="C17" i="18" s="1"/>
  <c r="C20" i="18" s="1"/>
  <c r="C47" i="18"/>
  <c r="B20" i="18"/>
  <c r="F20" i="18"/>
  <c r="O18" i="18"/>
  <c r="H20" i="18"/>
  <c r="G20" i="18"/>
  <c r="K20" i="18"/>
  <c r="B10" i="18"/>
  <c r="O19" i="18"/>
  <c r="O9" i="18"/>
  <c r="D51" i="18"/>
  <c r="H51" i="18"/>
  <c r="E50" i="18"/>
  <c r="E8" i="18" s="1"/>
  <c r="E10" i="18" s="1"/>
  <c r="E51" i="18"/>
  <c r="E17" i="18" s="1"/>
  <c r="E20" i="18" s="1"/>
  <c r="N6" i="17"/>
  <c r="I50" i="18" l="1"/>
  <c r="H8" i="18" s="1"/>
  <c r="H10" i="18" s="1"/>
  <c r="G50" i="18"/>
  <c r="F50" i="18"/>
  <c r="H50" i="18"/>
  <c r="D50" i="18"/>
  <c r="C50" i="18"/>
  <c r="B50" i="18"/>
  <c r="C8" i="18" s="1"/>
  <c r="C10" i="18" s="1"/>
  <c r="I17" i="18"/>
  <c r="I20" i="18" s="1"/>
  <c r="J17" i="18"/>
  <c r="J20" i="18" s="1"/>
  <c r="L6" i="17"/>
  <c r="F6" i="17"/>
  <c r="D6" i="17"/>
  <c r="C6" i="17"/>
  <c r="N16" i="16"/>
  <c r="L16" i="16"/>
  <c r="F16" i="16"/>
  <c r="D16" i="16"/>
  <c r="C16" i="16"/>
  <c r="B16" i="16"/>
  <c r="B13" i="15"/>
  <c r="J8" i="18" l="1"/>
  <c r="J10" i="18" s="1"/>
  <c r="I8" i="18"/>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Q11" i="14"/>
  <c r="P4" i="48"/>
  <c r="P22" i="48" s="1"/>
  <c r="D4" i="48"/>
  <c r="D22" i="48" s="1"/>
  <c r="E11" i="14"/>
  <c r="P11" i="14"/>
  <c r="O4" i="48"/>
  <c r="O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N52" i="14"/>
  <c r="N61" i="14" s="1"/>
  <c r="K10" i="14"/>
  <c r="J5" i="48"/>
  <c r="J23" i="48"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F46" i="14" s="1"/>
  <c r="F61"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F13" i="14"/>
  <c r="F16" i="14" s="1"/>
  <c r="F27" i="14" s="1"/>
  <c r="F63" i="14" s="1"/>
  <c r="E8" i="48"/>
  <c r="E26" i="48" s="1"/>
  <c r="R10" i="14"/>
  <c r="Q5" i="48"/>
  <c r="N63" i="14"/>
  <c r="J22" i="16"/>
  <c r="K43" i="14" s="1"/>
  <c r="K46" i="14" s="1"/>
  <c r="K61" i="14" s="1"/>
  <c r="J8" i="48"/>
  <c r="J26" i="48" s="1"/>
  <c r="J33" i="48" s="1"/>
  <c r="K13" i="14"/>
  <c r="K16" i="14" s="1"/>
  <c r="K27" i="14"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K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<sst xmlns="http://schemas.openxmlformats.org/spreadsheetml/2006/main" count="2483" uniqueCount="941">
  <si>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</si>
  <si>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</si>
  <si>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</si>
  <si>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</si>
  <si>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</si>
  <si>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</si>
  <si>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</si>
  <si>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</si>
  <si>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</si>
  <si>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</si>
  <si>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</si>
  <si>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</si>
  <si>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</si>
  <si>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</si>
  <si>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</si>
  <si>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</si>
  <si>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</si>
  <si>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</si>
  <si>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</si>
  <si>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</si>
  <si>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</si>
  <si>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</si>
  <si>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</si>
  <si>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</si>
  <si>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</si>
  <si>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</si>
  <si>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</si>
  <si>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</si>
  <si>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</si>
  <si>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</si>
  <si>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</si>
  <si>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</si>
  <si>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</si>
  <si>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</si>
  <si>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</si>
  <si>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</si>
  <si>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</si>
  <si>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</si>
  <si>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</si>
  <si>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</si>
  <si>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</si>
  <si>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</si>
  <si>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</si>
  <si>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</si>
  <si>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</si>
  <si>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</si>
  <si>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</si>
  <si>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</si>
  <si>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</si>
  <si>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</si>
  <si>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</si>
  <si>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</si>
  <si>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</si>
  <si>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</si>
  <si>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</si>
  <si>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</si>
  <si>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</si>
  <si>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</si>
  <si>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</si>
  <si>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</si>
  <si>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</si>
  <si>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</si>
  <si>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</si>
  <si>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</si>
  <si>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</si>
  <si>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</si>
  <si>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</si>
  <si>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</si>
  <si>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</si>
  <si>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</si>
  <si>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</si>
  <si>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</si>
  <si>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</si>
  <si>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</si>
  <si>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</si>
  <si>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</si>
  <si>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</si>
  <si>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</si>
  <si>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</si>
  <si>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</si>
  <si>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</si>
  <si>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</si>
  <si>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</si>
  <si>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</si>
  <si>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</si>
  <si>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</si>
  <si>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</si>
  <si>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</si>
  <si>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</si>
  <si>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</si>
  <si>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</si>
  <si>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</si>
  <si>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</si>
  <si>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</si>
  <si>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</si>
  <si>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</si>
  <si>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</si>
  <si>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</si>
  <si>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</si>
  <si>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</si>
  <si>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</si>
  <si>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</si>
  <si>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</si>
  <si>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</si>
  <si>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</si>
  <si>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</si>
  <si>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</si>
  <si>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</si>
  <si>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</si>
  <si>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</si>
  <si>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</si>
  <si>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</si>
  <si>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</si>
  <si>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</si>
  <si>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</si>
  <si>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</si>
  <si>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</si>
  <si>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</si>
  <si>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</si>
  <si>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</si>
  <si>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</si>
  <si>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</si>
  <si>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</si>
  <si>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</si>
  <si>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</si>
  <si>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</si>
  <si>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</si>
  <si>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</si>
  <si>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</si>
  <si>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</si>
  <si>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</si>
  <si>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</si>
  <si>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</si>
  <si>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</si>
  <si>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</si>
  <si>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</si>
  <si>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</si>
  <si>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</si>
  <si>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</si>
  <si>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</si>
  <si>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</si>
  <si>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</si>
  <si>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</si>
  <si>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</si>
  <si>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</si>
  <si>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</si>
  <si>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</si>
  <si>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</si>
  <si>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</si>
  <si>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</si>
  <si>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</si>
  <si>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</si>
  <si>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</si>
  <si>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</si>
  <si>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</si>
  <si>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</si>
  <si>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</si>
  <si>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</si>
  <si>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</si>
  <si>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</si>
  <si>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</si>
  <si>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</si>
  <si>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</si>
  <si>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</si>
  <si>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</si>
  <si>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</si>
  <si>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</si>
  <si>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</si>
  <si>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</si>
  <si>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</si>
  <si>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</si>
  <si>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</si>
  <si>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</si>
  <si>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</si>
  <si>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</si>
  <si>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</si>
  <si>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</si>
  <si>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</si>
  <si>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</si>
  <si>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</si>
  <si>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</si>
  <si>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</si>
  <si>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</si>
  <si>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</si>
  <si>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</si>
  <si>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</si>
  <si>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</si>
  <si>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</si>
  <si>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</si>
  <si>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</si>
  <si>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</si>
  <si>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</si>
  <si>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</si>
  <si>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</si>
  <si>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</si>
  <si>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</si>
  <si>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</si>
  <si>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</si>
  <si>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</si>
  <si>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</si>
  <si>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</si>
  <si>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</si>
  <si>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</si>
  <si>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</si>
  <si>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</si>
  <si>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</si>
  <si>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</si>
  <si>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</si>
  <si>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</si>
  <si>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</si>
  <si>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</si>
  <si>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</si>
  <si>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</si>
  <si>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</si>
  <si>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</si>
  <si>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</si>
  <si>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</si>
  <si>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</si>
  <si>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</si>
  <si>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</si>
  <si>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</si>
  <si>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</si>
  <si>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</si>
  <si>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</si>
  <si>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</si>
  <si>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</si>
  <si>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</si>
  <si>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</si>
  <si>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</si>
  <si>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</si>
  <si>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</si>
  <si>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</si>
  <si>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</si>
  <si>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</si>
  <si>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</si>
  <si>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</si>
  <si>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</si>
  <si>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</si>
  <si>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</si>
  <si>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</si>
  <si>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</si>
  <si>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</si>
  <si>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</si>
  <si>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</si>
  <si>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</si>
  <si>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</si>
  <si>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</si>
  <si>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</si>
  <si>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</si>
  <si>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</si>
  <si>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</si>
  <si>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</si>
  <si>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</si>
  <si>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</si>
  <si>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</si>
  <si>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</si>
  <si>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</si>
  <si>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</si>
  <si>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</si>
  <si>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</si>
  <si>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</si>
  <si>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</si>
  <si>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</si>
  <si>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</si>
  <si>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</si>
  <si>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</si>
  <si>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</si>
  <si>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</si>
  <si>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</si>
  <si>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</si>
  <si>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</si>
  <si>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</si>
  <si>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</si>
  <si>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</si>
  <si>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</si>
  <si>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</si>
  <si>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</si>
  <si>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</si>
  <si>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</si>
  <si>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</si>
  <si>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</si>
  <si>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</si>
  <si>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</si>
  <si>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</si>
  <si>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</si>
  <si>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</si>
  <si>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</si>
  <si>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</si>
  <si>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</si>
  <si>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</si>
  <si>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</si>
  <si>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</si>
  <si>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</si>
  <si>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</si>
  <si>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</si>
  <si>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</si>
  <si>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</si>
  <si>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</si>
  <si>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</si>
  <si>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</si>
  <si>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</si>
  <si>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</si>
  <si>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</si>
  <si>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</si>
  <si>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</si>
  <si>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</si>
  <si>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</si>
  <si>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</si>
  <si>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</si>
  <si>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</si>
  <si>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</si>
  <si>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</si>
  <si>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</si>
  <si>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</si>
  <si>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</si>
  <si>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</si>
  <si>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</si>
  <si>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</si>
  <si>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</si>
  <si>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</si>
  <si>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</si>
  <si>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</si>
  <si>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</si>
  <si>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</si>
  <si>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</si>
  <si>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</si>
  <si>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</si>
  <si>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</si>
  <si>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</si>
  <si>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</si>
  <si>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</si>
  <si>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</si>
  <si>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</si>
  <si>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</si>
  <si>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</si>
  <si>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</si>
  <si>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</si>
  <si>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</si>
  <si>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</si>
  <si>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</si>
  <si>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</si>
  <si>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</si>
  <si>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</si>
  <si>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</si>
  <si>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</si>
  <si>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</si>
  <si>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</si>
  <si>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</si>
  <si>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</si>
  <si>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</si>
  <si>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</si>
  <si>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</si>
  <si>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</si>
  <si>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</si>
  <si>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</si>
  <si>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</si>
  <si>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</si>
  <si>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</si>
  <si>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</si>
  <si>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</si>
  <si>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</si>
  <si>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</si>
  <si>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</si>
  <si>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</si>
  <si>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</si>
  <si>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</si>
  <si>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</si>
  <si>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</si>
  <si>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</si>
  <si>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</si>
  <si>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</si>
  <si>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</si>
  <si>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</si>
  <si>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</si>
  <si>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</si>
  <si>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</si>
  <si>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</si>
  <si>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</si>
  <si>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</si>
  <si>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</si>
  <si>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</si>
  <si>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</si>
  <si>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</si>
  <si>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</si>
  <si>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</si>
  <si>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</si>
  <si>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</si>
  <si>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</si>
  <si>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</si>
  <si>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</si>
  <si>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</si>
  <si>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</si>
  <si>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</si>
  <si>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</si>
  <si>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</si>
  <si>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</si>
  <si>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</si>
  <si>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</si>
  <si>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</si>
  <si>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</si>
  <si>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</si>
  <si>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</si>
  <si>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</si>
  <si>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</si>
  <si>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</si>
  <si>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</si>
  <si>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</si>
  <si>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</si>
  <si>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</si>
  <si>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</si>
  <si>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</si>
  <si>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</si>
  <si>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</si>
  <si>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</si>
  <si>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</si>
  <si>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</si>
  <si>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</si>
  <si>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</si>
  <si>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</si>
  <si>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</si>
  <si>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</si>
  <si>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</si>
  <si>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</si>
  <si>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</si>
  <si>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</si>
  <si>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</si>
  <si>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</si>
  <si>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</si>
  <si>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</si>
  <si>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</si>
  <si>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</si>
  <si>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</si>
  <si>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</si>
  <si>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</si>
  <si>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</si>
  <si>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</si>
  <si>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</si>
  <si>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</si>
  <si>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</si>
  <si>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</si>
  <si>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</si>
  <si>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</si>
  <si>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</si>
  <si>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</si>
  <si>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</si>
  <si>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</si>
  <si>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</si>
  <si>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</si>
  <si>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</si>
  <si>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</si>
  <si>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</si>
  <si>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</si>
  <si>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</si>
  <si>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</si>
  <si>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</si>
  <si>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</si>
  <si>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</si>
  <si>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</si>
  <si>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</si>
  <si>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</si>
  <si>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</si>
  <si>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</si>
  <si>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</si>
  <si>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</si>
  <si>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</si>
  <si>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</si>
  <si>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</si>
  <si>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</si>
  <si>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</si>
  <si>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</si>
  <si>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</si>
  <si>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</si>
  <si>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</si>
  <si>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</si>
  <si>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</si>
  <si>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</si>
  <si>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</si>
  <si>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</si>
  <si>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</si>
  <si>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</si>
  <si>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</si>
  <si>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</si>
  <si>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</si>
  <si>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</si>
  <si>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</si>
  <si>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</si>
  <si>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</si>
  <si>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</si>
  <si>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</si>
  <si>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</si>
  <si>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</si>
  <si>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</si>
  <si>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</si>
  <si>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</si>
  <si>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</si>
  <si>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</si>
  <si>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</si>
  <si>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</si>
  <si>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</si>
  <si>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</si>
  <si>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</si>
  <si>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</si>
  <si>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</si>
  <si>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</si>
  <si>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</si>
  <si>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</si>
  <si>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</si>
  <si>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</si>
  <si>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</si>
  <si>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</si>
  <si>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</si>
  <si>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</si>
  <si>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</si>
  <si>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</si>
  <si>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</si>
  <si>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</si>
  <si>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</si>
  <si>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</si>
  <si>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</si>
  <si>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</si>
  <si>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</si>
  <si>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</si>
  <si>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</si>
  <si>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</si>
  <si>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</si>
  <si>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</si>
  <si>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</si>
  <si>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</si>
  <si>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</si>
  <si>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</si>
  <si>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</si>
  <si>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</si>
  <si>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</si>
  <si>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</si>
  <si>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</si>
  <si>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</si>
  <si>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</si>
  <si>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</si>
  <si>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</si>
  <si>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</si>
  <si>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</si>
  <si>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</si>
  <si>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</si>
  <si>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</si>
  <si>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</si>
  <si>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</si>
  <si>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</si>
  <si>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</si>
  <si>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</si>
  <si>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</si>
  <si>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</si>
  <si>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</si>
  <si>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</si>
  <si>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</si>
  <si>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</si>
  <si>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</si>
  <si>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</si>
  <si>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</si>
  <si>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</si>
  <si>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</si>
  <si>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</si>
  <si>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</si>
  <si>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</si>
  <si>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</si>
  <si>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</si>
  <si>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</si>
  <si>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</si>
  <si>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</si>
  <si>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</si>
  <si>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</si>
  <si>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</si>
  <si>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</si>
  <si>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</si>
  <si>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</si>
  <si>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</si>
  <si>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</si>
  <si>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</si>
  <si>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</si>
  <si>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</si>
  <si>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</si>
  <si>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</si>
  <si>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</si>
  <si>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</si>
  <si>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</si>
  <si>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</si>
  <si>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</si>
  <si>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</si>
  <si>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</si>
  <si>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</si>
  <si>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</si>
  <si>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</si>
  <si>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</si>
  <si>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</si>
  <si>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</si>
  <si>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</si>
  <si>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</si>
  <si>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</si>
  <si>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</si>
  <si>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</si>
  <si>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</si>
  <si>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</si>
  <si>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</si>
  <si>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</si>
  <si>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</si>
  <si>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</si>
  <si>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</si>
  <si>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</si>
  <si>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</si>
  <si>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</si>
  <si>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</si>
  <si>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</si>
  <si>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</si>
  <si>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</si>
  <si>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</si>
  <si>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</si>
  <si>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</si>
  <si>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</si>
  <si>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</si>
  <si>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</si>
  <si>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</si>
  <si>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</si>
  <si>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</si>
  <si>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</si>
  <si>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</si>
  <si>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</si>
  <si>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</si>
  <si>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</si>
  <si>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</si>
  <si>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</si>
  <si>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</si>
  <si>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</si>
  <si>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</si>
  <si>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</si>
  <si>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</si>
  <si>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</si>
  <si>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</si>
  <si>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</si>
  <si>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</si>
  <si>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</si>
  <si>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</si>
  <si>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</si>
  <si>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</si>
  <si>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</si>
  <si>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</si>
  <si>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</si>
  <si>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</si>
  <si>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</si>
  <si>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</si>
  <si>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</si>
  <si>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</si>
  <si>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</si>
  <si>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</si>
  <si>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</si>
  <si>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</si>
  <si>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</si>
  <si>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</si>
  <si>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</si>
  <si>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</si>
  <si>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</si>
  <si>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</si>
  <si>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</si>
  <si>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</si>
  <si>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</si>
  <si>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</si>
  <si>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</si>
  <si>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</si>
  <si>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</si>
  <si>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</si>
  <si>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</si>
  <si>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</si>
  <si>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</si>
  <si>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</si>
  <si>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</si>
  <si>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</si>
  <si>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</si>
  <si>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</si>
  <si>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</si>
  <si>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</si>
  <si>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</si>
  <si>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</si>
  <si>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</si>
  <si>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</si>
  <si>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</si>
  <si>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</si>
  <si>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</si>
  <si>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</si>
  <si>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</si>
  <si>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</si>
  <si>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</si>
  <si>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</si>
  <si>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</si>
  <si>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</si>
  <si>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</si>
  <si>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</si>
  <si>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</si>
  <si>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</si>
  <si>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</si>
  <si>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</si>
  <si>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</si>
  <si>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</si>
  <si>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</si>
  <si>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</si>
  <si>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</si>
  <si>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</si>
  <si>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</si>
  <si>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</si>
  <si>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</si>
  <si>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</si>
  <si>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</si>
  <si>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</si>
  <si>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</si>
  <si>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</si>
  <si>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</si>
  <si>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</si>
  <si>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</si>
  <si>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</si>
  <si>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</si>
  <si>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</si>
  <si>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</si>
  <si>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</si>
  <si>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</si>
  <si>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</si>
  <si>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</si>
  <si>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</si>
  <si>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</si>
  <si>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</si>
  <si>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</si>
  <si>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</si>
  <si>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</si>
  <si>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</si>
  <si>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</si>
  <si>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</si>
  <si>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</si>
  <si>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</si>
  <si>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</si>
  <si>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</si>
  <si>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</si>
  <si>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</si>
  <si>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</si>
  <si>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</si>
  <si>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</si>
  <si>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</si>
  <si>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</si>
  <si>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</si>
  <si>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</si>
  <si>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</si>
  <si>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</si>
  <si>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</si>
  <si>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</si>
  <si>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</si>
  <si>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</si>
  <si>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</si>
  <si>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</si>
  <si>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</si>
  <si>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</si>
  <si>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</si>
  <si>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</si>
  <si>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</si>
  <si>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</si>
  <si>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</si>
  <si>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</si>
  <si>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</si>
  <si>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</si>
  <si>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</si>
  <si>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</si>
  <si>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</si>
  <si>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</si>
  <si>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</si>
  <si>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</si>
  <si>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</si>
  <si>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</si>
  <si>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</si>
  <si>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</si>
  <si>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</si>
  <si>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</si>
  <si>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</si>
  <si>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</si>
  <si>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</si>
  <si>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</si>
  <si>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</si>
  <si>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</si>
  <si>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</si>
  <si>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</si>
  <si>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</si>
  <si>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</si>
  <si>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</si>
  <si>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</si>
  <si>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</si>
  <si>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</si>
  <si>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</si>
  <si>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</si>
  <si>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</si>
  <si>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</si>
  <si>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</si>
  <si>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</si>
  <si>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</si>
  <si>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</si>
  <si>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</si>
  <si>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</si>
  <si>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</si>
  <si>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</si>
  <si>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</si>
  <si>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</si>
  <si>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</si>
  <si>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</si>
  <si>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</si>
  <si>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</si>
  <si>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</si>
  <si>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</si>
  <si>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</si>
  <si>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</si>
  <si>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</si>
  <si>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</si>
  <si>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</si>
  <si>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</si>
  <si>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</si>
  <si>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</si>
  <si>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</si>
  <si>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</si>
  <si>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</si>
  <si>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</si>
  <si>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</si>
  <si>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</si>
  <si>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</si>
  <si>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</si>
  <si>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</si>
  <si>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</si>
  <si>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</si>
  <si>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</si>
  <si>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</si>
  <si>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</si>
  <si>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</si>
  <si>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</si>
  <si>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</si>
  <si>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</si>
  <si>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</si>
  <si>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</si>
  <si>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</si>
  <si>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</si>
  <si>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</si>
  <si>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</si>
  <si>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</si>
  <si>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</si>
  <si>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</si>
  <si>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</si>
  <si>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</si>
  <si>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</si>
  <si>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</si>
  <si>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</si>
  <si>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</si>
  <si>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</si>
  <si>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</si>
  <si>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</si>
  <si>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</si>
  <si>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</si>
  <si>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</si>
  <si>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</si>
  <si>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</si>
  <si>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</si>
  <si>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</si>
  <si>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</si>
  <si>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</si>
  <si>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</si>
  <si>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</si>
  <si>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</si>
  <si>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</si>
  <si>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</si>
  <si>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</si>
  <si>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</si>
  <si>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</si>
  <si>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</si>
  <si>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</si>
  <si>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</si>
  <si>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</si>
  <si>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</si>
  <si>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</si>
  <si>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</si>
  <si>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</si>
  <si>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</si>
  <si>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</si>
  <si>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</si>
  <si>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</si>
  <si>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</si>
  <si>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</si>
  <si>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</si>
  <si>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</si>
  <si>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</si>
  <si>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</si>
  <si>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</si>
  <si>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</si>
  <si>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</si>
  <si>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</si>
  <si>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</si>
  <si>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</si>
  <si>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</si>
  <si>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</si>
  <si>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</si>
  <si>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</si>
  <si>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</si>
  <si>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</si>
  <si>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</si>
  <si>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</si>
  <si>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</si>
  <si>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</si>
  <si>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</si>
  <si>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</si>
  <si>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</si>
  <si>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</si>
  <si>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</si>
  <si>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</si>
  <si>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</si>
  <si>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</si>
  <si>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</si>
  <si>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13013</t>
  </si>
  <si>
    <t>HERSELT</t>
  </si>
  <si>
    <t>Cultuurgrond (ha)</t>
  </si>
  <si>
    <t>Paarden&amp;pony's 200 - 600 kg</t>
  </si>
  <si>
    <t>Paarden&amp;pony's &lt; 200 kg</t>
  </si>
  <si>
    <t>Fluvius</t>
  </si>
  <si>
    <t>referentietaak LNE (2017); Jaarverslag De Lijn</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</si>
  <si>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</si>
  <si>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</si>
  <si>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</si>
  <si>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</si>
  <si>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</si>
  <si>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</si>
  <si>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</si>
  <si>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</si>
  <si>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</si>
  <si>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Gromo bvba</t>
  </si>
  <si>
    <t>Hoog-Lachenen 65 , 2500 Lier</t>
  </si>
  <si>
    <t>WKK-0304 Gromo</t>
  </si>
  <si>
    <t>WKK interne verbrandinsgmotor (vloeibaar)</t>
  </si>
  <si>
    <t>Beningstraat 38 , 2230 Herselt</t>
  </si>
  <si>
    <t>Aquafin NV</t>
  </si>
  <si>
    <t>Dijkstraat 8, 2630 Aartselaar</t>
  </si>
  <si>
    <t>BGS-0047 RWZI Westerlo</t>
  </si>
  <si>
    <t>biogas - RWZI</t>
  </si>
  <si>
    <t>niet WKK interne verbrandingsmotor (gas)</t>
  </si>
  <si>
    <t>Kwarrekendreef 2, 2230 Westerlo</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</si>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</sst>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160101.37602238753</c:v>
                </c:pt>
                <c:pt idx="1">
                  <c:v>20562.262042144084</c:v>
                </c:pt>
                <c:pt idx="2">
                  <c:v>1088.8720000000001</c:v>
                </c:pt>
                <c:pt idx="3">
                  <c:v>40104.05730604336</c:v>
                </c:pt>
                <c:pt idx="4">
                  <c:v>19257.33719928806</c:v>
                </c:pt>
                <c:pt idx="5">
                  <c:v>81871.44479530034</c:v>
                </c:pt>
                <c:pt idx="6">
                  <c:v>1258.0838967697109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160101.37602238753</c:v>
                </c:pt>
                <c:pt idx="1">
                  <c:v>20562.262042144084</c:v>
                </c:pt>
                <c:pt idx="2">
                  <c:v>1088.8720000000001</c:v>
                </c:pt>
                <c:pt idx="3">
                  <c:v>40104.05730604336</c:v>
                </c:pt>
                <c:pt idx="4">
                  <c:v>19257.33719928806</c:v>
                </c:pt>
                <c:pt idx="5">
                  <c:v>81871.44479530034</c:v>
                </c:pt>
                <c:pt idx="6">
                  <c:v>1258.0838967697109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29231.882563185391</c:v>
                </c:pt>
                <c:pt idx="2">
                  <c:v>3388.5716072500545</c:v>
                </c:pt>
                <c:pt idx="3">
                  <c:v>127.63603282243574</c:v>
                </c:pt>
                <c:pt idx="4">
                  <c:v>4115.4946468697881</c:v>
                </c:pt>
                <c:pt idx="5">
                  <c:v>3659.0902411292182</c:v>
                </c:pt>
                <c:pt idx="6">
                  <c:v>20666.981566640035</c:v>
                </c:pt>
                <c:pt idx="7">
                  <c:v>321.59398606554436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29231.882563185391</c:v>
                </c:pt>
                <c:pt idx="2">
                  <c:v>3388.5716072500545</c:v>
                </c:pt>
                <c:pt idx="3">
                  <c:v>127.63603282243574</c:v>
                </c:pt>
                <c:pt idx="4">
                  <c:v>4115.4946468697881</c:v>
                </c:pt>
                <c:pt idx="5">
                  <c:v>3659.0902411292182</c:v>
                </c:pt>
                <c:pt idx="6">
                  <c:v>20666.981566640035</c:v>
                </c:pt>
                <c:pt idx="7">
                  <c:v>321.59398606554436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13013</v>
      </c>
      <c r="B6" s="395"/>
      <c r="C6" s="396"/>
    </row>
    <row r="7" spans="1:7" s="393" customFormat="1" ht="15.75" customHeight="1">
      <c r="A7" s="397" t="str">
        <f>txtMunicipality</f>
        <v>HERSELT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11554.472981976483</v>
      </c>
      <c r="D10" s="686">
        <f ca="1">tertiair!C16</f>
        <v>0</v>
      </c>
      <c r="E10" s="686">
        <f ca="1">tertiair!D16</f>
        <v>8031.133293966941</v>
      </c>
      <c r="F10" s="686">
        <f>tertiair!E16</f>
        <v>161.69845578820929</v>
      </c>
      <c r="G10" s="686">
        <f ca="1">tertiair!F16</f>
        <v>1883.1993104124513</v>
      </c>
      <c r="H10" s="686">
        <f>tertiair!G16</f>
        <v>0</v>
      </c>
      <c r="I10" s="686">
        <f>tertiair!H16</f>
        <v>0</v>
      </c>
      <c r="J10" s="686">
        <f>tertiair!I16</f>
        <v>0</v>
      </c>
      <c r="K10" s="686">
        <f>tertiair!J16</f>
        <v>0</v>
      </c>
      <c r="L10" s="686">
        <f>tertiair!K16</f>
        <v>0</v>
      </c>
      <c r="M10" s="686">
        <f ca="1">tertiair!L16</f>
        <v>0</v>
      </c>
      <c r="N10" s="686">
        <f>tertiair!M16</f>
        <v>0</v>
      </c>
      <c r="O10" s="686">
        <f ca="1">tertiair!N16</f>
        <v>0</v>
      </c>
      <c r="P10" s="686">
        <f>tertiair!O16</f>
        <v>1.5633333333333335</v>
      </c>
      <c r="Q10" s="687">
        <f>tertiair!P16</f>
        <v>19.066666666666666</v>
      </c>
      <c r="R10" s="689">
        <f ca="1">SUM(C10:Q10)</f>
        <v>21651.134042144084</v>
      </c>
      <c r="S10" s="67"/>
    </row>
    <row r="11" spans="1:19" s="454" customFormat="1">
      <c r="A11" s="801" t="s">
        <v>224</v>
      </c>
      <c r="B11" s="806"/>
      <c r="C11" s="686">
        <f>huishoudens!B8</f>
        <v>27674.136498868589</v>
      </c>
      <c r="D11" s="686">
        <f>huishoudens!C8</f>
        <v>0</v>
      </c>
      <c r="E11" s="686">
        <f>huishoudens!D8</f>
        <v>32200.966918013979</v>
      </c>
      <c r="F11" s="686">
        <f>huishoudens!E8</f>
        <v>8781.2928609937189</v>
      </c>
      <c r="G11" s="686">
        <f>huishoudens!F8</f>
        <v>62232.346623089521</v>
      </c>
      <c r="H11" s="686">
        <f>huishoudens!G8</f>
        <v>0</v>
      </c>
      <c r="I11" s="686">
        <f>huishoudens!H8</f>
        <v>0</v>
      </c>
      <c r="J11" s="686">
        <f>huishoudens!I8</f>
        <v>0</v>
      </c>
      <c r="K11" s="686">
        <f>huishoudens!J8</f>
        <v>2468.8535423003996</v>
      </c>
      <c r="L11" s="686">
        <f>huishoudens!K8</f>
        <v>0</v>
      </c>
      <c r="M11" s="686">
        <f>huishoudens!L8</f>
        <v>0</v>
      </c>
      <c r="N11" s="686">
        <f>huishoudens!M8</f>
        <v>0</v>
      </c>
      <c r="O11" s="686">
        <f>huishoudens!N8</f>
        <v>25839.462912454641</v>
      </c>
      <c r="P11" s="686">
        <f>huishoudens!O8</f>
        <v>179.78333333333333</v>
      </c>
      <c r="Q11" s="687">
        <f>huishoudens!P8</f>
        <v>724.5333333333333</v>
      </c>
      <c r="R11" s="689">
        <f>SUM(C11:Q11)</f>
        <v>160101.37602238753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4662.8490780663133</v>
      </c>
      <c r="D13" s="686">
        <f>industrie!C18</f>
        <v>0</v>
      </c>
      <c r="E13" s="686">
        <f>industrie!D18</f>
        <v>7294.4971592879156</v>
      </c>
      <c r="F13" s="686">
        <f>industrie!E18</f>
        <v>526.41672904955965</v>
      </c>
      <c r="G13" s="686">
        <f>industrie!F18</f>
        <v>5689.7871782178045</v>
      </c>
      <c r="H13" s="686">
        <f>industrie!G18</f>
        <v>0</v>
      </c>
      <c r="I13" s="686">
        <f>industrie!H18</f>
        <v>0</v>
      </c>
      <c r="J13" s="686">
        <f>industrie!I18</f>
        <v>0</v>
      </c>
      <c r="K13" s="686">
        <f>industrie!J18</f>
        <v>1.0154790081500797</v>
      </c>
      <c r="L13" s="686">
        <f>industrie!K18</f>
        <v>0</v>
      </c>
      <c r="M13" s="686">
        <f>industrie!L18</f>
        <v>0</v>
      </c>
      <c r="N13" s="686">
        <f>industrie!M18</f>
        <v>0</v>
      </c>
      <c r="O13" s="686">
        <f>industrie!N18</f>
        <v>1082.771575658317</v>
      </c>
      <c r="P13" s="686">
        <f>industrie!O18</f>
        <v>0</v>
      </c>
      <c r="Q13" s="687">
        <f>industrie!P18</f>
        <v>0</v>
      </c>
      <c r="R13" s="689">
        <f>SUM(C13:Q13)</f>
        <v>19257.33719928806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43891.458558911385</v>
      </c>
      <c r="D16" s="721">
        <f t="shared" ref="D16:R16" ca="1" si="0">SUM(D9:D15)</f>
        <v>0</v>
      </c>
      <c r="E16" s="721">
        <f t="shared" ca="1" si="0"/>
        <v>47526.597371268836</v>
      </c>
      <c r="F16" s="721">
        <f t="shared" si="0"/>
        <v>9469.4080458314875</v>
      </c>
      <c r="G16" s="721">
        <f t="shared" ca="1" si="0"/>
        <v>69805.333111719781</v>
      </c>
      <c r="H16" s="721">
        <f t="shared" si="0"/>
        <v>0</v>
      </c>
      <c r="I16" s="721">
        <f t="shared" si="0"/>
        <v>0</v>
      </c>
      <c r="J16" s="721">
        <f t="shared" si="0"/>
        <v>0</v>
      </c>
      <c r="K16" s="721">
        <f t="shared" si="0"/>
        <v>2469.8690213085497</v>
      </c>
      <c r="L16" s="721">
        <f t="shared" si="0"/>
        <v>0</v>
      </c>
      <c r="M16" s="721">
        <f t="shared" ca="1" si="0"/>
        <v>0</v>
      </c>
      <c r="N16" s="721">
        <f t="shared" si="0"/>
        <v>0</v>
      </c>
      <c r="O16" s="721">
        <f t="shared" ca="1" si="0"/>
        <v>26922.234488112957</v>
      </c>
      <c r="P16" s="721">
        <f t="shared" si="0"/>
        <v>181.34666666666666</v>
      </c>
      <c r="Q16" s="721">
        <f t="shared" si="0"/>
        <v>743.6</v>
      </c>
      <c r="R16" s="721">
        <f t="shared" ca="1" si="0"/>
        <v>201009.84726381968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1204.471857923387</v>
      </c>
      <c r="I19" s="686">
        <f>transport!H54</f>
        <v>0</v>
      </c>
      <c r="J19" s="686">
        <f>transport!I54</f>
        <v>0</v>
      </c>
      <c r="K19" s="686">
        <f>transport!J54</f>
        <v>0</v>
      </c>
      <c r="L19" s="686">
        <f>transport!K54</f>
        <v>0</v>
      </c>
      <c r="M19" s="686">
        <f>transport!L54</f>
        <v>0</v>
      </c>
      <c r="N19" s="686">
        <f>transport!M54</f>
        <v>53.612038846323898</v>
      </c>
      <c r="O19" s="686">
        <f>transport!N54</f>
        <v>0</v>
      </c>
      <c r="P19" s="686">
        <f>transport!O54</f>
        <v>0</v>
      </c>
      <c r="Q19" s="687">
        <f>transport!P54</f>
        <v>0</v>
      </c>
      <c r="R19" s="689">
        <f>SUM(C19:Q19)</f>
        <v>1258.0838967697109</v>
      </c>
      <c r="S19" s="67"/>
    </row>
    <row r="20" spans="1:19" s="454" customFormat="1">
      <c r="A20" s="801" t="s">
        <v>306</v>
      </c>
      <c r="B20" s="806"/>
      <c r="C20" s="686">
        <f>transport!B14</f>
        <v>4.6540838131309732</v>
      </c>
      <c r="D20" s="686">
        <f>transport!C14</f>
        <v>0</v>
      </c>
      <c r="E20" s="686">
        <f>transport!D14</f>
        <v>7.2274598289013872</v>
      </c>
      <c r="F20" s="686">
        <f>transport!E14</f>
        <v>257.29354619807054</v>
      </c>
      <c r="G20" s="686">
        <f>transport!F14</f>
        <v>0</v>
      </c>
      <c r="H20" s="686">
        <f>transport!G14</f>
        <v>64820.253917077149</v>
      </c>
      <c r="I20" s="686">
        <f>transport!H14</f>
        <v>13251.255597585001</v>
      </c>
      <c r="J20" s="686">
        <f>transport!I14</f>
        <v>0</v>
      </c>
      <c r="K20" s="686">
        <f>transport!J14</f>
        <v>0</v>
      </c>
      <c r="L20" s="686">
        <f>transport!K14</f>
        <v>0</v>
      </c>
      <c r="M20" s="686">
        <f>transport!L14</f>
        <v>0</v>
      </c>
      <c r="N20" s="686">
        <f>transport!M14</f>
        <v>3530.7601907980852</v>
      </c>
      <c r="O20" s="686">
        <f>transport!N14</f>
        <v>0</v>
      </c>
      <c r="P20" s="686">
        <f>transport!O14</f>
        <v>0</v>
      </c>
      <c r="Q20" s="687">
        <f>transport!P14</f>
        <v>0</v>
      </c>
      <c r="R20" s="689">
        <f>SUM(C20:Q20)</f>
        <v>81871.44479530034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4.6540838131309732</v>
      </c>
      <c r="D22" s="804">
        <f t="shared" ref="D22:R22" si="1">SUM(D18:D21)</f>
        <v>0</v>
      </c>
      <c r="E22" s="804">
        <f t="shared" si="1"/>
        <v>7.2274598289013872</v>
      </c>
      <c r="F22" s="804">
        <f t="shared" si="1"/>
        <v>257.29354619807054</v>
      </c>
      <c r="G22" s="804">
        <f t="shared" si="1"/>
        <v>0</v>
      </c>
      <c r="H22" s="804">
        <f t="shared" si="1"/>
        <v>66024.725775000537</v>
      </c>
      <c r="I22" s="804">
        <f t="shared" si="1"/>
        <v>13251.255597585001</v>
      </c>
      <c r="J22" s="804">
        <f t="shared" si="1"/>
        <v>0</v>
      </c>
      <c r="K22" s="804">
        <f t="shared" si="1"/>
        <v>0</v>
      </c>
      <c r="L22" s="804">
        <f t="shared" si="1"/>
        <v>0</v>
      </c>
      <c r="M22" s="804">
        <f t="shared" si="1"/>
        <v>0</v>
      </c>
      <c r="N22" s="804">
        <f t="shared" si="1"/>
        <v>3584.3722296444089</v>
      </c>
      <c r="O22" s="804">
        <f t="shared" si="1"/>
        <v>0</v>
      </c>
      <c r="P22" s="804">
        <f t="shared" si="1"/>
        <v>0</v>
      </c>
      <c r="Q22" s="804">
        <f t="shared" si="1"/>
        <v>0</v>
      </c>
      <c r="R22" s="804">
        <f t="shared" si="1"/>
        <v>83129.528692070046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1317.0294134312201</v>
      </c>
      <c r="D24" s="686">
        <f>+landbouw!C8</f>
        <v>34325.357142857145</v>
      </c>
      <c r="E24" s="686">
        <f>+landbouw!D8</f>
        <v>4247.0082301488328</v>
      </c>
      <c r="F24" s="686">
        <f>+landbouw!E8</f>
        <v>16.596267288087596</v>
      </c>
      <c r="G24" s="686">
        <f>+landbouw!F8</f>
        <v>0</v>
      </c>
      <c r="H24" s="686">
        <f>+landbouw!G8</f>
        <v>0</v>
      </c>
      <c r="I24" s="686">
        <f>+landbouw!H8</f>
        <v>0</v>
      </c>
      <c r="J24" s="686">
        <f>+landbouw!I8</f>
        <v>0</v>
      </c>
      <c r="K24" s="686">
        <f>+landbouw!J8</f>
        <v>198.06625231807567</v>
      </c>
      <c r="L24" s="686">
        <f>+landbouw!K8</f>
        <v>0</v>
      </c>
      <c r="M24" s="686">
        <f>+landbouw!L8</f>
        <v>0</v>
      </c>
      <c r="N24" s="686">
        <f>+landbouw!M8</f>
        <v>0</v>
      </c>
      <c r="O24" s="686">
        <f>+landbouw!N8</f>
        <v>0</v>
      </c>
      <c r="P24" s="686">
        <f>+landbouw!O8</f>
        <v>0</v>
      </c>
      <c r="Q24" s="687">
        <f>+landbouw!P8</f>
        <v>0</v>
      </c>
      <c r="R24" s="689">
        <f>SUM(C24:Q24)</f>
        <v>40104.05730604336</v>
      </c>
      <c r="S24" s="67"/>
    </row>
    <row r="25" spans="1:19" s="454" customFormat="1" ht="15" thickBot="1">
      <c r="A25" s="823" t="s">
        <v>856</v>
      </c>
      <c r="B25" s="991"/>
      <c r="C25" s="992">
        <f>IF(Onbekend_ele_kWh="---",0,Onbekend_ele_kWh)/1000+IF(REST_rest_ele_kWh="---",0,REST_rest_ele_kWh)/1000</f>
        <v>980.34753351821905</v>
      </c>
      <c r="D25" s="992"/>
      <c r="E25" s="992">
        <f>IF(onbekend_gas_kWh="---",0,onbekend_gas_kWh)/1000+IF(REST_rest_gas_kWh="---",0,REST_rest_gas_kWh)/1000</f>
        <v>1748.6077694272499</v>
      </c>
      <c r="F25" s="992"/>
      <c r="G25" s="992"/>
      <c r="H25" s="992"/>
      <c r="I25" s="992"/>
      <c r="J25" s="992"/>
      <c r="K25" s="992"/>
      <c r="L25" s="992"/>
      <c r="M25" s="992"/>
      <c r="N25" s="992"/>
      <c r="O25" s="992"/>
      <c r="P25" s="992"/>
      <c r="Q25" s="993"/>
      <c r="R25" s="689">
        <f>SUM(C25:Q25)</f>
        <v>2728.9553029454692</v>
      </c>
      <c r="S25" s="67"/>
    </row>
    <row r="26" spans="1:19" s="454" customFormat="1" ht="15.75" thickBot="1">
      <c r="A26" s="694" t="s">
        <v>857</v>
      </c>
      <c r="B26" s="809"/>
      <c r="C26" s="804">
        <f>SUM(C24:C25)</f>
        <v>2297.3769469494391</v>
      </c>
      <c r="D26" s="804">
        <f t="shared" ref="D26:R26" si="2">SUM(D24:D25)</f>
        <v>34325.357142857145</v>
      </c>
      <c r="E26" s="804">
        <f t="shared" si="2"/>
        <v>5995.6159995760827</v>
      </c>
      <c r="F26" s="804">
        <f t="shared" si="2"/>
        <v>16.596267288087596</v>
      </c>
      <c r="G26" s="804">
        <f t="shared" si="2"/>
        <v>0</v>
      </c>
      <c r="H26" s="804">
        <f t="shared" si="2"/>
        <v>0</v>
      </c>
      <c r="I26" s="804">
        <f t="shared" si="2"/>
        <v>0</v>
      </c>
      <c r="J26" s="804">
        <f t="shared" si="2"/>
        <v>0</v>
      </c>
      <c r="K26" s="804">
        <f t="shared" si="2"/>
        <v>198.06625231807567</v>
      </c>
      <c r="L26" s="804">
        <f t="shared" si="2"/>
        <v>0</v>
      </c>
      <c r="M26" s="804">
        <f t="shared" si="2"/>
        <v>0</v>
      </c>
      <c r="N26" s="804">
        <f t="shared" si="2"/>
        <v>0</v>
      </c>
      <c r="O26" s="804">
        <f t="shared" si="2"/>
        <v>0</v>
      </c>
      <c r="P26" s="804">
        <f t="shared" si="2"/>
        <v>0</v>
      </c>
      <c r="Q26" s="804">
        <f t="shared" si="2"/>
        <v>0</v>
      </c>
      <c r="R26" s="804">
        <f t="shared" si="2"/>
        <v>42833.012608988829</v>
      </c>
      <c r="S26" s="67"/>
    </row>
    <row r="27" spans="1:19" s="454" customFormat="1" ht="17.25" thickTop="1" thickBot="1">
      <c r="A27" s="695" t="s">
        <v>115</v>
      </c>
      <c r="B27" s="796"/>
      <c r="C27" s="696">
        <f ca="1">C22+C16+C26</f>
        <v>46193.489589673954</v>
      </c>
      <c r="D27" s="696">
        <f t="shared" ref="D27:R27" ca="1" si="3">D22+D16+D26</f>
        <v>34325.357142857145</v>
      </c>
      <c r="E27" s="696">
        <f t="shared" ca="1" si="3"/>
        <v>53529.440830673819</v>
      </c>
      <c r="F27" s="696">
        <f t="shared" si="3"/>
        <v>9743.2978593176449</v>
      </c>
      <c r="G27" s="696">
        <f t="shared" ca="1" si="3"/>
        <v>69805.333111719781</v>
      </c>
      <c r="H27" s="696">
        <f t="shared" si="3"/>
        <v>66024.725775000537</v>
      </c>
      <c r="I27" s="696">
        <f t="shared" si="3"/>
        <v>13251.255597585001</v>
      </c>
      <c r="J27" s="696">
        <f t="shared" si="3"/>
        <v>0</v>
      </c>
      <c r="K27" s="696">
        <f t="shared" si="3"/>
        <v>2667.9352736266255</v>
      </c>
      <c r="L27" s="696">
        <f t="shared" si="3"/>
        <v>0</v>
      </c>
      <c r="M27" s="696">
        <f t="shared" ca="1" si="3"/>
        <v>0</v>
      </c>
      <c r="N27" s="696">
        <f t="shared" si="3"/>
        <v>3584.3722296444089</v>
      </c>
      <c r="O27" s="696">
        <f t="shared" ca="1" si="3"/>
        <v>26922.234488112957</v>
      </c>
      <c r="P27" s="696">
        <f t="shared" si="3"/>
        <v>181.34666666666666</v>
      </c>
      <c r="Q27" s="696">
        <f t="shared" si="3"/>
        <v>743.6</v>
      </c>
      <c r="R27" s="696">
        <f t="shared" ca="1" si="3"/>
        <v>326972.38856487855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1354.3989493471202</v>
      </c>
      <c r="D40" s="686">
        <f ca="1">tertiair!C20</f>
        <v>0</v>
      </c>
      <c r="E40" s="686">
        <f ca="1">tertiair!D20</f>
        <v>1622.2889253813221</v>
      </c>
      <c r="F40" s="686">
        <f>tertiair!E20</f>
        <v>36.705549463923511</v>
      </c>
      <c r="G40" s="686">
        <f ca="1">tertiair!F20</f>
        <v>502.81421588012449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3516.20764007249</v>
      </c>
    </row>
    <row r="41" spans="1:18">
      <c r="A41" s="814" t="s">
        <v>224</v>
      </c>
      <c r="B41" s="821"/>
      <c r="C41" s="686">
        <f ca="1">huishoudens!B12</f>
        <v>3243.9230639617494</v>
      </c>
      <c r="D41" s="686">
        <f ca="1">huishoudens!C12</f>
        <v>0</v>
      </c>
      <c r="E41" s="686">
        <f>huishoudens!D12</f>
        <v>6504.5953174388242</v>
      </c>
      <c r="F41" s="686">
        <f>huishoudens!E12</f>
        <v>1993.3534794455743</v>
      </c>
      <c r="G41" s="686">
        <f>huishoudens!F12</f>
        <v>16616.036548364904</v>
      </c>
      <c r="H41" s="686">
        <f>huishoudens!G12</f>
        <v>0</v>
      </c>
      <c r="I41" s="686">
        <f>huishoudens!H12</f>
        <v>0</v>
      </c>
      <c r="J41" s="686">
        <f>huishoudens!I12</f>
        <v>0</v>
      </c>
      <c r="K41" s="686">
        <f>huishoudens!J12</f>
        <v>873.97415397434145</v>
      </c>
      <c r="L41" s="686">
        <f>huishoudens!K12</f>
        <v>0</v>
      </c>
      <c r="M41" s="686">
        <f>huishoudens!L12</f>
        <v>0</v>
      </c>
      <c r="N41" s="686">
        <f>huishoudens!M12</f>
        <v>0</v>
      </c>
      <c r="O41" s="686">
        <f>huishoudens!N12</f>
        <v>0</v>
      </c>
      <c r="P41" s="686">
        <f>huishoudens!O12</f>
        <v>0</v>
      </c>
      <c r="Q41" s="763">
        <f>huishoudens!P12</f>
        <v>0</v>
      </c>
      <c r="R41" s="842">
        <f t="shared" ca="1" si="4"/>
        <v>29231.882563185391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546.5725613057698</v>
      </c>
      <c r="D43" s="686">
        <f ca="1">industrie!C22</f>
        <v>0</v>
      </c>
      <c r="E43" s="686">
        <f>industrie!D22</f>
        <v>1473.488426176159</v>
      </c>
      <c r="F43" s="686">
        <f>industrie!E22</f>
        <v>119.49659749425004</v>
      </c>
      <c r="G43" s="686">
        <f>industrie!F22</f>
        <v>1519.1731765841539</v>
      </c>
      <c r="H43" s="686">
        <f>industrie!G22</f>
        <v>0</v>
      </c>
      <c r="I43" s="686">
        <f>industrie!H22</f>
        <v>0</v>
      </c>
      <c r="J43" s="686">
        <f>industrie!I22</f>
        <v>0</v>
      </c>
      <c r="K43" s="686">
        <f>industrie!J22</f>
        <v>0.35947956888512822</v>
      </c>
      <c r="L43" s="686">
        <f>industrie!K22</f>
        <v>0</v>
      </c>
      <c r="M43" s="686">
        <f>industrie!L22</f>
        <v>0</v>
      </c>
      <c r="N43" s="686">
        <f>industrie!M22</f>
        <v>0</v>
      </c>
      <c r="O43" s="686">
        <f>industrie!N22</f>
        <v>0</v>
      </c>
      <c r="P43" s="686">
        <f>industrie!O22</f>
        <v>0</v>
      </c>
      <c r="Q43" s="763">
        <f>industrie!P22</f>
        <v>0</v>
      </c>
      <c r="R43" s="841">
        <f t="shared" ca="1" si="4"/>
        <v>3659.0902411292182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5144.8945746146401</v>
      </c>
      <c r="D46" s="721">
        <f t="shared" ref="D46:Q46" ca="1" si="5">SUM(D39:D45)</f>
        <v>0</v>
      </c>
      <c r="E46" s="721">
        <f t="shared" ca="1" si="5"/>
        <v>9600.3726689963041</v>
      </c>
      <c r="F46" s="721">
        <f t="shared" si="5"/>
        <v>2149.5556264037477</v>
      </c>
      <c r="G46" s="721">
        <f t="shared" ca="1" si="5"/>
        <v>18638.023940829182</v>
      </c>
      <c r="H46" s="721">
        <f t="shared" si="5"/>
        <v>0</v>
      </c>
      <c r="I46" s="721">
        <f t="shared" si="5"/>
        <v>0</v>
      </c>
      <c r="J46" s="721">
        <f t="shared" si="5"/>
        <v>0</v>
      </c>
      <c r="K46" s="721">
        <f t="shared" si="5"/>
        <v>874.3336335432266</v>
      </c>
      <c r="L46" s="721">
        <f t="shared" si="5"/>
        <v>0</v>
      </c>
      <c r="M46" s="721">
        <f t="shared" ca="1" si="5"/>
        <v>0</v>
      </c>
      <c r="N46" s="721">
        <f t="shared" si="5"/>
        <v>0</v>
      </c>
      <c r="O46" s="721">
        <f t="shared" ca="1" si="5"/>
        <v>0</v>
      </c>
      <c r="P46" s="721">
        <f t="shared" si="5"/>
        <v>0</v>
      </c>
      <c r="Q46" s="721">
        <f t="shared" si="5"/>
        <v>0</v>
      </c>
      <c r="R46" s="721">
        <f ca="1">SUM(R39:R45)</f>
        <v>36407.180444387101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321.59398606554436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321.59398606554436</v>
      </c>
    </row>
    <row r="50" spans="1:18">
      <c r="A50" s="817" t="s">
        <v>306</v>
      </c>
      <c r="B50" s="827"/>
      <c r="C50" s="692">
        <f ca="1">transport!B18</f>
        <v>0.54554510937112144</v>
      </c>
      <c r="D50" s="692">
        <f>transport!C18</f>
        <v>0</v>
      </c>
      <c r="E50" s="692">
        <f>transport!D18</f>
        <v>1.4599468854380804</v>
      </c>
      <c r="F50" s="692">
        <f>transport!E18</f>
        <v>58.405634986962013</v>
      </c>
      <c r="G50" s="692">
        <f>transport!F18</f>
        <v>0</v>
      </c>
      <c r="H50" s="692">
        <f>transport!G18</f>
        <v>17307.007795859601</v>
      </c>
      <c r="I50" s="692">
        <f>transport!H18</f>
        <v>3299.5626437986652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20666.981566640035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0.54554510937112144</v>
      </c>
      <c r="D52" s="721">
        <f t="shared" ref="D52:Q52" ca="1" si="6">SUM(D48:D51)</f>
        <v>0</v>
      </c>
      <c r="E52" s="721">
        <f t="shared" si="6"/>
        <v>1.4599468854380804</v>
      </c>
      <c r="F52" s="721">
        <f t="shared" si="6"/>
        <v>58.405634986962013</v>
      </c>
      <c r="G52" s="721">
        <f t="shared" si="6"/>
        <v>0</v>
      </c>
      <c r="H52" s="721">
        <f t="shared" si="6"/>
        <v>17628.601781925146</v>
      </c>
      <c r="I52" s="721">
        <f t="shared" si="6"/>
        <v>3299.5626437986652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20988.575552705581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154.38032150778096</v>
      </c>
      <c r="D54" s="692">
        <f ca="1">+landbouw!C12</f>
        <v>3029.3358568769477</v>
      </c>
      <c r="E54" s="692">
        <f>+landbouw!D12</f>
        <v>857.8956624900643</v>
      </c>
      <c r="F54" s="692">
        <f>+landbouw!E12</f>
        <v>3.7673526743958843</v>
      </c>
      <c r="G54" s="692">
        <f>+landbouw!F12</f>
        <v>0</v>
      </c>
      <c r="H54" s="692">
        <f>+landbouw!G12</f>
        <v>0</v>
      </c>
      <c r="I54" s="692">
        <f>+landbouw!H12</f>
        <v>0</v>
      </c>
      <c r="J54" s="692">
        <f>+landbouw!I12</f>
        <v>0</v>
      </c>
      <c r="K54" s="692">
        <f>+landbouw!J12</f>
        <v>70.115453320598789</v>
      </c>
      <c r="L54" s="692">
        <f>+landbouw!K12</f>
        <v>0</v>
      </c>
      <c r="M54" s="692">
        <f>+landbouw!L12</f>
        <v>0</v>
      </c>
      <c r="N54" s="692">
        <f>+landbouw!M12</f>
        <v>0</v>
      </c>
      <c r="O54" s="692">
        <f>+landbouw!N12</f>
        <v>0</v>
      </c>
      <c r="P54" s="692">
        <f>+landbouw!O12</f>
        <v>0</v>
      </c>
      <c r="Q54" s="693">
        <f>+landbouw!P12</f>
        <v>0</v>
      </c>
      <c r="R54" s="720">
        <f ca="1">SUM(C54:Q54)</f>
        <v>4115.4946468697881</v>
      </c>
    </row>
    <row r="55" spans="1:18" ht="15" thickBot="1">
      <c r="A55" s="817" t="s">
        <v>856</v>
      </c>
      <c r="B55" s="827"/>
      <c r="C55" s="692">
        <f ca="1">C25*'EF ele_warmte'!B12</f>
        <v>114.91494864917577</v>
      </c>
      <c r="D55" s="692"/>
      <c r="E55" s="692">
        <f>E25*EF_CO2_aardgas</f>
        <v>353.21876942430453</v>
      </c>
      <c r="F55" s="692"/>
      <c r="G55" s="692"/>
      <c r="H55" s="692"/>
      <c r="I55" s="692"/>
      <c r="J55" s="692"/>
      <c r="K55" s="692"/>
      <c r="L55" s="692"/>
      <c r="M55" s="692"/>
      <c r="N55" s="692"/>
      <c r="O55" s="692"/>
      <c r="P55" s="692"/>
      <c r="Q55" s="693"/>
      <c r="R55" s="720">
        <f ca="1">SUM(C55:Q55)</f>
        <v>468.13371807348028</v>
      </c>
    </row>
    <row r="56" spans="1:18" ht="15.75" thickBot="1">
      <c r="A56" s="815" t="s">
        <v>857</v>
      </c>
      <c r="B56" s="828"/>
      <c r="C56" s="721">
        <f ca="1">SUM(C54:C55)</f>
        <v>269.29527015695675</v>
      </c>
      <c r="D56" s="721">
        <f t="shared" ref="D56:Q56" ca="1" si="7">SUM(D54:D55)</f>
        <v>3029.3358568769477</v>
      </c>
      <c r="E56" s="721">
        <f t="shared" si="7"/>
        <v>1211.1144319143689</v>
      </c>
      <c r="F56" s="721">
        <f t="shared" si="7"/>
        <v>3.7673526743958843</v>
      </c>
      <c r="G56" s="721">
        <f t="shared" si="7"/>
        <v>0</v>
      </c>
      <c r="H56" s="721">
        <f t="shared" si="7"/>
        <v>0</v>
      </c>
      <c r="I56" s="721">
        <f t="shared" si="7"/>
        <v>0</v>
      </c>
      <c r="J56" s="721">
        <f t="shared" si="7"/>
        <v>0</v>
      </c>
      <c r="K56" s="721">
        <f t="shared" si="7"/>
        <v>70.115453320598789</v>
      </c>
      <c r="L56" s="721">
        <f t="shared" si="7"/>
        <v>0</v>
      </c>
      <c r="M56" s="721">
        <f t="shared" si="7"/>
        <v>0</v>
      </c>
      <c r="N56" s="721">
        <f t="shared" si="7"/>
        <v>0</v>
      </c>
      <c r="O56" s="721">
        <f t="shared" si="7"/>
        <v>0</v>
      </c>
      <c r="P56" s="721">
        <f t="shared" si="7"/>
        <v>0</v>
      </c>
      <c r="Q56" s="722">
        <f t="shared" si="7"/>
        <v>0</v>
      </c>
      <c r="R56" s="723">
        <f ca="1">SUM(R54:R55)</f>
        <v>4583.628364943268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5414.7353898809679</v>
      </c>
      <c r="D61" s="729">
        <f t="shared" ref="D61:Q61" ca="1" si="8">D46+D52+D56</f>
        <v>3029.3358568769477</v>
      </c>
      <c r="E61" s="729">
        <f t="shared" ca="1" si="8"/>
        <v>10812.947047796111</v>
      </c>
      <c r="F61" s="729">
        <f t="shared" si="8"/>
        <v>2211.7286140651058</v>
      </c>
      <c r="G61" s="729">
        <f t="shared" ca="1" si="8"/>
        <v>18638.023940829182</v>
      </c>
      <c r="H61" s="729">
        <f t="shared" si="8"/>
        <v>17628.601781925146</v>
      </c>
      <c r="I61" s="729">
        <f t="shared" si="8"/>
        <v>3299.5626437986652</v>
      </c>
      <c r="J61" s="729">
        <f t="shared" si="8"/>
        <v>0</v>
      </c>
      <c r="K61" s="729">
        <f t="shared" si="8"/>
        <v>944.44908686382541</v>
      </c>
      <c r="L61" s="729">
        <f t="shared" si="8"/>
        <v>0</v>
      </c>
      <c r="M61" s="729">
        <f t="shared" ca="1" si="8"/>
        <v>0</v>
      </c>
      <c r="N61" s="729">
        <f t="shared" si="8"/>
        <v>0</v>
      </c>
      <c r="O61" s="729">
        <f t="shared" ca="1" si="8"/>
        <v>0</v>
      </c>
      <c r="P61" s="729">
        <f t="shared" si="8"/>
        <v>0</v>
      </c>
      <c r="Q61" s="729">
        <f t="shared" si="8"/>
        <v>0</v>
      </c>
      <c r="R61" s="729">
        <f ca="1">R46+R52+R56</f>
        <v>61979.384362035948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0.11721858292107407</v>
      </c>
      <c r="D63" s="772">
        <f t="shared" ca="1" si="9"/>
        <v>8.8253585950156102E-2</v>
      </c>
      <c r="E63" s="998">
        <f t="shared" ca="1" si="9"/>
        <v>0.20199999999999999</v>
      </c>
      <c r="F63" s="772">
        <f t="shared" si="9"/>
        <v>0.22700000000000004</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4976.8669475890183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16629.463979573226</v>
      </c>
      <c r="C76" s="739">
        <f>'lokale energieproductie'!B8*IFERROR(SUM(D76:H76)/SUM(D76:O76),0)</f>
        <v>8966.5360204267745</v>
      </c>
      <c r="D76" s="1008">
        <f>'lokale energieproductie'!C8</f>
        <v>8578.5909388376913</v>
      </c>
      <c r="E76" s="1009">
        <f>'lokale energieproductie'!D8</f>
        <v>0</v>
      </c>
      <c r="F76" s="1009">
        <f>'lokale energieproductie'!E8</f>
        <v>1970.2749675467487</v>
      </c>
      <c r="G76" s="1009">
        <f>'lokale energieproductie'!F8</f>
        <v>0</v>
      </c>
      <c r="H76" s="1009">
        <f>'lokale energieproductie'!G8</f>
        <v>0</v>
      </c>
      <c r="I76" s="1009">
        <f>'lokale energieproductie'!I8</f>
        <v>5910.8249026402464</v>
      </c>
      <c r="J76" s="1009">
        <f>'lokale energieproductie'!J8</f>
        <v>13653.250367445904</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2258.9387859801959</v>
      </c>
      <c r="R76" s="844">
        <v>0</v>
      </c>
    </row>
    <row r="77" spans="1:18" ht="30.75" thickBot="1">
      <c r="A77" s="742" t="s">
        <v>352</v>
      </c>
      <c r="B77" s="739">
        <f>'lokale energieproductie'!B9*IFERROR(SUM(I77:O77)/SUM(D77:O77),0)</f>
        <v>1341</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3831.4285714285716</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22947.330927162242</v>
      </c>
      <c r="C78" s="744">
        <f>SUM(C72:C77)</f>
        <v>8966.5360204267745</v>
      </c>
      <c r="D78" s="745">
        <f t="shared" ref="D78:H78" si="10">SUM(D76:D77)</f>
        <v>8578.5909388376913</v>
      </c>
      <c r="E78" s="745">
        <f t="shared" si="10"/>
        <v>0</v>
      </c>
      <c r="F78" s="745">
        <f t="shared" si="10"/>
        <v>1970.2749675467487</v>
      </c>
      <c r="G78" s="745">
        <f t="shared" si="10"/>
        <v>0</v>
      </c>
      <c r="H78" s="745">
        <f t="shared" si="10"/>
        <v>0</v>
      </c>
      <c r="I78" s="745">
        <f>SUM(I76:I77)</f>
        <v>5910.8249026402464</v>
      </c>
      <c r="J78" s="745">
        <f>SUM(J76:J77)</f>
        <v>17484.678938874476</v>
      </c>
      <c r="K78" s="745">
        <f t="shared" ref="K78:L78" si="11">SUM(K76:K77)</f>
        <v>0</v>
      </c>
      <c r="L78" s="745">
        <f t="shared" si="11"/>
        <v>0</v>
      </c>
      <c r="M78" s="745">
        <f>SUM(M76:M77)</f>
        <v>0</v>
      </c>
      <c r="N78" s="745">
        <f>SUM(N76:N77)</f>
        <v>0</v>
      </c>
      <c r="O78" s="852">
        <f>SUM(O76:O77)</f>
        <v>0</v>
      </c>
      <c r="P78" s="746">
        <v>0</v>
      </c>
      <c r="Q78" s="746">
        <f>SUM(Q76:Q77)</f>
        <v>2258.9387859801959</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22300.839591855347</v>
      </c>
      <c r="C87" s="755">
        <f>'lokale energieproductie'!B17*IFERROR(SUM(D87:H87)/SUM(D87:O87),0)</f>
        <v>12024.5175510018</v>
      </c>
      <c r="D87" s="766">
        <f>'lokale energieproductie'!C17</f>
        <v>11504.266204019454</v>
      </c>
      <c r="E87" s="766">
        <f>'lokale energieproductie'!D17</f>
        <v>0</v>
      </c>
      <c r="F87" s="766">
        <f>'lokale energieproductie'!E17</f>
        <v>2642.2250324532515</v>
      </c>
      <c r="G87" s="766">
        <f>'lokale energieproductie'!F17</f>
        <v>0</v>
      </c>
      <c r="H87" s="766">
        <f>'lokale energieproductie'!G17</f>
        <v>0</v>
      </c>
      <c r="I87" s="766">
        <f>'lokale energieproductie'!I17</f>
        <v>7926.6750973597545</v>
      </c>
      <c r="J87" s="766">
        <f>'lokale energieproductie'!J17</f>
        <v>18309.606775411245</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3029.3358568769477</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22300.839591855347</v>
      </c>
      <c r="C90" s="744">
        <f>SUM(C87:C89)</f>
        <v>12024.5175510018</v>
      </c>
      <c r="D90" s="744">
        <f t="shared" ref="D90:H90" si="12">SUM(D87:D89)</f>
        <v>11504.266204019454</v>
      </c>
      <c r="E90" s="744">
        <f t="shared" si="12"/>
        <v>0</v>
      </c>
      <c r="F90" s="744">
        <f t="shared" si="12"/>
        <v>2642.2250324532515</v>
      </c>
      <c r="G90" s="744">
        <f t="shared" si="12"/>
        <v>0</v>
      </c>
      <c r="H90" s="744">
        <f t="shared" si="12"/>
        <v>0</v>
      </c>
      <c r="I90" s="744">
        <f>SUM(I87:I89)</f>
        <v>7926.6750973597545</v>
      </c>
      <c r="J90" s="744">
        <f>SUM(J87:J89)</f>
        <v>18309.606775411245</v>
      </c>
      <c r="K90" s="744">
        <f t="shared" ref="K90:L90" si="13">SUM(K87:K89)</f>
        <v>0</v>
      </c>
      <c r="L90" s="744">
        <f t="shared" si="13"/>
        <v>0</v>
      </c>
      <c r="M90" s="744">
        <f>SUM(M87:M89)</f>
        <v>0</v>
      </c>
      <c r="N90" s="744">
        <f>SUM(N87:N89)</f>
        <v>0</v>
      </c>
      <c r="O90" s="744">
        <f>SUM(O87:O89)</f>
        <v>0</v>
      </c>
      <c r="P90" s="744">
        <v>0</v>
      </c>
      <c r="Q90" s="744">
        <f>SUM(Q87:Q89)</f>
        <v>3029.3358568769477</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27674.136498868589</v>
      </c>
      <c r="C4" s="458">
        <f>huishoudens!C8</f>
        <v>0</v>
      </c>
      <c r="D4" s="458">
        <f>huishoudens!D8</f>
        <v>32200.966918013979</v>
      </c>
      <c r="E4" s="458">
        <f>huishoudens!E8</f>
        <v>8781.2928609937189</v>
      </c>
      <c r="F4" s="458">
        <f>huishoudens!F8</f>
        <v>62232.346623089521</v>
      </c>
      <c r="G4" s="458">
        <f>huishoudens!G8</f>
        <v>0</v>
      </c>
      <c r="H4" s="458">
        <f>huishoudens!H8</f>
        <v>0</v>
      </c>
      <c r="I4" s="458">
        <f>huishoudens!I8</f>
        <v>0</v>
      </c>
      <c r="J4" s="458">
        <f>huishoudens!J8</f>
        <v>2468.8535423003996</v>
      </c>
      <c r="K4" s="458">
        <f>huishoudens!K8</f>
        <v>0</v>
      </c>
      <c r="L4" s="458">
        <f>huishoudens!L8</f>
        <v>0</v>
      </c>
      <c r="M4" s="458">
        <f>huishoudens!M8</f>
        <v>0</v>
      </c>
      <c r="N4" s="458">
        <f>huishoudens!N8</f>
        <v>25839.462912454641</v>
      </c>
      <c r="O4" s="458">
        <f>huishoudens!O8</f>
        <v>179.78333333333333</v>
      </c>
      <c r="P4" s="459">
        <f>huishoudens!P8</f>
        <v>724.5333333333333</v>
      </c>
      <c r="Q4" s="460">
        <f>SUM(B4:P4)</f>
        <v>160101.37602238753</v>
      </c>
    </row>
    <row r="5" spans="1:17">
      <c r="A5" s="457" t="s">
        <v>155</v>
      </c>
      <c r="B5" s="458">
        <f ca="1">tertiair!B16</f>
        <v>10465.600981976484</v>
      </c>
      <c r="C5" s="458">
        <f ca="1">tertiair!C16</f>
        <v>0</v>
      </c>
      <c r="D5" s="458">
        <f ca="1">tertiair!D16</f>
        <v>8031.133293966941</v>
      </c>
      <c r="E5" s="458">
        <f>tertiair!E16</f>
        <v>161.69845578820929</v>
      </c>
      <c r="F5" s="458">
        <f ca="1">tertiair!F16</f>
        <v>1883.1993104124513</v>
      </c>
      <c r="G5" s="458">
        <f>tertiair!G16</f>
        <v>0</v>
      </c>
      <c r="H5" s="458">
        <f>tertiair!H16</f>
        <v>0</v>
      </c>
      <c r="I5" s="458">
        <f>tertiair!I16</f>
        <v>0</v>
      </c>
      <c r="J5" s="458">
        <f>tertiair!J16</f>
        <v>0</v>
      </c>
      <c r="K5" s="458">
        <f>tertiair!K16</f>
        <v>0</v>
      </c>
      <c r="L5" s="458">
        <f ca="1">tertiair!L16</f>
        <v>0</v>
      </c>
      <c r="M5" s="458">
        <f>tertiair!M16</f>
        <v>0</v>
      </c>
      <c r="N5" s="458">
        <f ca="1">tertiair!N16</f>
        <v>0</v>
      </c>
      <c r="O5" s="458">
        <f>tertiair!O16</f>
        <v>1.5633333333333335</v>
      </c>
      <c r="P5" s="459">
        <f>tertiair!P16</f>
        <v>19.066666666666666</v>
      </c>
      <c r="Q5" s="457">
        <f t="shared" ref="Q5:Q14" ca="1" si="0">SUM(B5:P5)</f>
        <v>20562.262042144084</v>
      </c>
    </row>
    <row r="6" spans="1:17">
      <c r="A6" s="457" t="s">
        <v>193</v>
      </c>
      <c r="B6" s="458">
        <f>'openbare verlichting'!B8</f>
        <v>1088.8720000000001</v>
      </c>
      <c r="C6" s="458"/>
      <c r="D6" s="458"/>
      <c r="E6" s="458"/>
      <c r="F6" s="458"/>
      <c r="G6" s="458"/>
      <c r="H6" s="458"/>
      <c r="I6" s="458"/>
      <c r="J6" s="458"/>
      <c r="K6" s="458"/>
      <c r="L6" s="458"/>
      <c r="M6" s="458"/>
      <c r="N6" s="458"/>
      <c r="O6" s="458"/>
      <c r="P6" s="459"/>
      <c r="Q6" s="457">
        <f t="shared" si="0"/>
        <v>1088.8720000000001</v>
      </c>
    </row>
    <row r="7" spans="1:17">
      <c r="A7" s="457" t="s">
        <v>111</v>
      </c>
      <c r="B7" s="458">
        <f>landbouw!B8</f>
        <v>1317.0294134312201</v>
      </c>
      <c r="C7" s="458">
        <f>landbouw!C8</f>
        <v>34325.357142857145</v>
      </c>
      <c r="D7" s="458">
        <f>landbouw!D8</f>
        <v>4247.0082301488328</v>
      </c>
      <c r="E7" s="458">
        <f>landbouw!E8</f>
        <v>16.596267288087596</v>
      </c>
      <c r="F7" s="458">
        <f>landbouw!F8</f>
        <v>0</v>
      </c>
      <c r="G7" s="458">
        <f>landbouw!G8</f>
        <v>0</v>
      </c>
      <c r="H7" s="458">
        <f>landbouw!H8</f>
        <v>0</v>
      </c>
      <c r="I7" s="458">
        <f>landbouw!I8</f>
        <v>0</v>
      </c>
      <c r="J7" s="458">
        <f>landbouw!J8</f>
        <v>198.06625231807567</v>
      </c>
      <c r="K7" s="458">
        <f>landbouw!K8</f>
        <v>0</v>
      </c>
      <c r="L7" s="458">
        <f>landbouw!L8</f>
        <v>0</v>
      </c>
      <c r="M7" s="458">
        <f>landbouw!M8</f>
        <v>0</v>
      </c>
      <c r="N7" s="458">
        <f>landbouw!N8</f>
        <v>0</v>
      </c>
      <c r="O7" s="458">
        <f>landbouw!O8</f>
        <v>0</v>
      </c>
      <c r="P7" s="459">
        <f>landbouw!P8</f>
        <v>0</v>
      </c>
      <c r="Q7" s="457">
        <f t="shared" si="0"/>
        <v>40104.05730604336</v>
      </c>
    </row>
    <row r="8" spans="1:17">
      <c r="A8" s="457" t="s">
        <v>655</v>
      </c>
      <c r="B8" s="458">
        <f>industrie!B18</f>
        <v>4662.8490780663133</v>
      </c>
      <c r="C8" s="458">
        <f>industrie!C18</f>
        <v>0</v>
      </c>
      <c r="D8" s="458">
        <f>industrie!D18</f>
        <v>7294.4971592879156</v>
      </c>
      <c r="E8" s="458">
        <f>industrie!E18</f>
        <v>526.41672904955965</v>
      </c>
      <c r="F8" s="458">
        <f>industrie!F18</f>
        <v>5689.7871782178045</v>
      </c>
      <c r="G8" s="458">
        <f>industrie!G18</f>
        <v>0</v>
      </c>
      <c r="H8" s="458">
        <f>industrie!H18</f>
        <v>0</v>
      </c>
      <c r="I8" s="458">
        <f>industrie!I18</f>
        <v>0</v>
      </c>
      <c r="J8" s="458">
        <f>industrie!J18</f>
        <v>1.0154790081500797</v>
      </c>
      <c r="K8" s="458">
        <f>industrie!K18</f>
        <v>0</v>
      </c>
      <c r="L8" s="458">
        <f>industrie!L18</f>
        <v>0</v>
      </c>
      <c r="M8" s="458">
        <f>industrie!M18</f>
        <v>0</v>
      </c>
      <c r="N8" s="458">
        <f>industrie!N18</f>
        <v>1082.771575658317</v>
      </c>
      <c r="O8" s="458">
        <f>industrie!O18</f>
        <v>0</v>
      </c>
      <c r="P8" s="459">
        <f>industrie!P18</f>
        <v>0</v>
      </c>
      <c r="Q8" s="457">
        <f t="shared" si="0"/>
        <v>19257.33719928806</v>
      </c>
    </row>
    <row r="9" spans="1:17" s="463" customFormat="1">
      <c r="A9" s="461" t="s">
        <v>573</v>
      </c>
      <c r="B9" s="462">
        <f>transport!B14</f>
        <v>4.6540838131309732</v>
      </c>
      <c r="C9" s="462">
        <f>transport!C14</f>
        <v>0</v>
      </c>
      <c r="D9" s="462">
        <f>transport!D14</f>
        <v>7.2274598289013872</v>
      </c>
      <c r="E9" s="462">
        <f>transport!E14</f>
        <v>257.29354619807054</v>
      </c>
      <c r="F9" s="462">
        <f>transport!F14</f>
        <v>0</v>
      </c>
      <c r="G9" s="462">
        <f>transport!G14</f>
        <v>64820.253917077149</v>
      </c>
      <c r="H9" s="462">
        <f>transport!H14</f>
        <v>13251.255597585001</v>
      </c>
      <c r="I9" s="462">
        <f>transport!I14</f>
        <v>0</v>
      </c>
      <c r="J9" s="462">
        <f>transport!J14</f>
        <v>0</v>
      </c>
      <c r="K9" s="462">
        <f>transport!K14</f>
        <v>0</v>
      </c>
      <c r="L9" s="462">
        <f>transport!L14</f>
        <v>0</v>
      </c>
      <c r="M9" s="462">
        <f>transport!M14</f>
        <v>3530.7601907980852</v>
      </c>
      <c r="N9" s="462">
        <f>transport!N14</f>
        <v>0</v>
      </c>
      <c r="O9" s="462">
        <f>transport!O14</f>
        <v>0</v>
      </c>
      <c r="P9" s="462">
        <f>transport!P14</f>
        <v>0</v>
      </c>
      <c r="Q9" s="461">
        <f>SUM(B9:P9)</f>
        <v>81871.44479530034</v>
      </c>
    </row>
    <row r="10" spans="1:17">
      <c r="A10" s="457" t="s">
        <v>563</v>
      </c>
      <c r="B10" s="458">
        <f>transport!B54</f>
        <v>0</v>
      </c>
      <c r="C10" s="458">
        <f>transport!C54</f>
        <v>0</v>
      </c>
      <c r="D10" s="458">
        <f>transport!D54</f>
        <v>0</v>
      </c>
      <c r="E10" s="458">
        <f>transport!E54</f>
        <v>0</v>
      </c>
      <c r="F10" s="458">
        <f>transport!F54</f>
        <v>0</v>
      </c>
      <c r="G10" s="458">
        <f>transport!G54</f>
        <v>1204.471857923387</v>
      </c>
      <c r="H10" s="458">
        <f>transport!H54</f>
        <v>0</v>
      </c>
      <c r="I10" s="458">
        <f>transport!I54</f>
        <v>0</v>
      </c>
      <c r="J10" s="458">
        <f>transport!J54</f>
        <v>0</v>
      </c>
      <c r="K10" s="458">
        <f>transport!K54</f>
        <v>0</v>
      </c>
      <c r="L10" s="458">
        <f>transport!L54</f>
        <v>0</v>
      </c>
      <c r="M10" s="458">
        <f>transport!M54</f>
        <v>53.612038846323898</v>
      </c>
      <c r="N10" s="458">
        <f>transport!N54</f>
        <v>0</v>
      </c>
      <c r="O10" s="458">
        <f>transport!O54</f>
        <v>0</v>
      </c>
      <c r="P10" s="459">
        <f>transport!P54</f>
        <v>0</v>
      </c>
      <c r="Q10" s="457">
        <f t="shared" si="0"/>
        <v>1258.0838967697109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980.34753351821905</v>
      </c>
      <c r="C14" s="465"/>
      <c r="D14" s="465">
        <f>'SEAP template'!E25</f>
        <v>1748.6077694272499</v>
      </c>
      <c r="E14" s="465"/>
      <c r="F14" s="465"/>
      <c r="G14" s="465"/>
      <c r="H14" s="465"/>
      <c r="I14" s="465"/>
      <c r="J14" s="465"/>
      <c r="K14" s="465"/>
      <c r="L14" s="465"/>
      <c r="M14" s="465"/>
      <c r="N14" s="465"/>
      <c r="O14" s="465"/>
      <c r="P14" s="466"/>
      <c r="Q14" s="457">
        <f t="shared" si="0"/>
        <v>2728.9553029454692</v>
      </c>
    </row>
    <row r="15" spans="1:17" s="470" customFormat="1">
      <c r="A15" s="467" t="s">
        <v>567</v>
      </c>
      <c r="B15" s="468">
        <f ca="1">SUM(B4:B14)</f>
        <v>46193.489589673954</v>
      </c>
      <c r="C15" s="468">
        <f t="shared" ref="C15:Q15" ca="1" si="1">SUM(C4:C14)</f>
        <v>34325.357142857145</v>
      </c>
      <c r="D15" s="468">
        <f t="shared" ca="1" si="1"/>
        <v>53529.440830673819</v>
      </c>
      <c r="E15" s="468">
        <f t="shared" si="1"/>
        <v>9743.2978593176449</v>
      </c>
      <c r="F15" s="468">
        <f t="shared" ca="1" si="1"/>
        <v>69805.333111719781</v>
      </c>
      <c r="G15" s="468">
        <f t="shared" si="1"/>
        <v>66024.725775000537</v>
      </c>
      <c r="H15" s="468">
        <f t="shared" si="1"/>
        <v>13251.255597585001</v>
      </c>
      <c r="I15" s="468">
        <f t="shared" si="1"/>
        <v>0</v>
      </c>
      <c r="J15" s="468">
        <f t="shared" si="1"/>
        <v>2667.9352736266255</v>
      </c>
      <c r="K15" s="468">
        <f t="shared" si="1"/>
        <v>0</v>
      </c>
      <c r="L15" s="468">
        <f t="shared" ca="1" si="1"/>
        <v>0</v>
      </c>
      <c r="M15" s="468">
        <f t="shared" si="1"/>
        <v>3584.3722296444089</v>
      </c>
      <c r="N15" s="468">
        <f t="shared" ca="1" si="1"/>
        <v>26922.234488112957</v>
      </c>
      <c r="O15" s="468">
        <f t="shared" si="1"/>
        <v>181.34666666666666</v>
      </c>
      <c r="P15" s="468">
        <f t="shared" si="1"/>
        <v>743.6</v>
      </c>
      <c r="Q15" s="468">
        <f t="shared" ca="1" si="1"/>
        <v>326972.38856487855</v>
      </c>
    </row>
    <row r="17" spans="1:17">
      <c r="A17" s="471" t="s">
        <v>568</v>
      </c>
      <c r="B17" s="777">
        <f ca="1">huishoudens!B10</f>
        <v>0.11721858292107404</v>
      </c>
      <c r="C17" s="777">
        <f ca="1">huishoudens!C10</f>
        <v>8.8253585950156102E-2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3243.9230639617494</v>
      </c>
      <c r="C22" s="458">
        <f t="shared" ref="C22:C32" ca="1" si="3">C4*$C$17</f>
        <v>0</v>
      </c>
      <c r="D22" s="458">
        <f t="shared" ref="D22:D32" si="4">D4*$D$17</f>
        <v>6504.5953174388242</v>
      </c>
      <c r="E22" s="458">
        <f t="shared" ref="E22:E32" si="5">E4*$E$17</f>
        <v>1993.3534794455743</v>
      </c>
      <c r="F22" s="458">
        <f t="shared" ref="F22:F32" si="6">F4*$F$17</f>
        <v>16616.036548364904</v>
      </c>
      <c r="G22" s="458">
        <f t="shared" ref="G22:G32" si="7">G4*$G$17</f>
        <v>0</v>
      </c>
      <c r="H22" s="458">
        <f t="shared" ref="H22:H32" si="8">H4*$H$17</f>
        <v>0</v>
      </c>
      <c r="I22" s="458">
        <f t="shared" ref="I22:I32" si="9">I4*$I$17</f>
        <v>0</v>
      </c>
      <c r="J22" s="458">
        <f t="shared" ref="J22:J32" si="10">J4*$J$17</f>
        <v>873.97415397434145</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29231.882563185391</v>
      </c>
    </row>
    <row r="23" spans="1:17">
      <c r="A23" s="457" t="s">
        <v>155</v>
      </c>
      <c r="B23" s="458">
        <f t="shared" ca="1" si="2"/>
        <v>1226.7629165246844</v>
      </c>
      <c r="C23" s="458">
        <f t="shared" ca="1" si="3"/>
        <v>0</v>
      </c>
      <c r="D23" s="458">
        <f t="shared" ca="1" si="4"/>
        <v>1622.2889253813221</v>
      </c>
      <c r="E23" s="458">
        <f t="shared" si="5"/>
        <v>36.705549463923511</v>
      </c>
      <c r="F23" s="458">
        <f t="shared" ca="1" si="6"/>
        <v>502.81421588012449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3388.5716072500545</v>
      </c>
    </row>
    <row r="24" spans="1:17">
      <c r="A24" s="457" t="s">
        <v>193</v>
      </c>
      <c r="B24" s="458">
        <f t="shared" ca="1" si="2"/>
        <v>127.63603282243574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127.63603282243574</v>
      </c>
    </row>
    <row r="25" spans="1:17">
      <c r="A25" s="457" t="s">
        <v>111</v>
      </c>
      <c r="B25" s="458">
        <f t="shared" ca="1" si="2"/>
        <v>154.38032150778096</v>
      </c>
      <c r="C25" s="458">
        <f t="shared" ca="1" si="3"/>
        <v>3029.3358568769477</v>
      </c>
      <c r="D25" s="458">
        <f t="shared" si="4"/>
        <v>857.8956624900643</v>
      </c>
      <c r="E25" s="458">
        <f t="shared" si="5"/>
        <v>3.7673526743958843</v>
      </c>
      <c r="F25" s="458">
        <f t="shared" si="6"/>
        <v>0</v>
      </c>
      <c r="G25" s="458">
        <f t="shared" si="7"/>
        <v>0</v>
      </c>
      <c r="H25" s="458">
        <f t="shared" si="8"/>
        <v>0</v>
      </c>
      <c r="I25" s="458">
        <f t="shared" si="9"/>
        <v>0</v>
      </c>
      <c r="J25" s="458">
        <f t="shared" si="10"/>
        <v>70.115453320598789</v>
      </c>
      <c r="K25" s="458">
        <f t="shared" si="11"/>
        <v>0</v>
      </c>
      <c r="L25" s="458">
        <f t="shared" si="12"/>
        <v>0</v>
      </c>
      <c r="M25" s="458">
        <f t="shared" si="13"/>
        <v>0</v>
      </c>
      <c r="N25" s="458">
        <f t="shared" si="14"/>
        <v>0</v>
      </c>
      <c r="O25" s="458">
        <f t="shared" si="15"/>
        <v>0</v>
      </c>
      <c r="P25" s="459">
        <f t="shared" si="16"/>
        <v>0</v>
      </c>
      <c r="Q25" s="457">
        <f t="shared" ca="1" si="17"/>
        <v>4115.4946468697881</v>
      </c>
    </row>
    <row r="26" spans="1:17">
      <c r="A26" s="457" t="s">
        <v>655</v>
      </c>
      <c r="B26" s="458">
        <f t="shared" ca="1" si="2"/>
        <v>546.5725613057698</v>
      </c>
      <c r="C26" s="458">
        <f t="shared" ca="1" si="3"/>
        <v>0</v>
      </c>
      <c r="D26" s="458">
        <f t="shared" si="4"/>
        <v>1473.488426176159</v>
      </c>
      <c r="E26" s="458">
        <f t="shared" si="5"/>
        <v>119.49659749425004</v>
      </c>
      <c r="F26" s="458">
        <f t="shared" si="6"/>
        <v>1519.1731765841539</v>
      </c>
      <c r="G26" s="458">
        <f t="shared" si="7"/>
        <v>0</v>
      </c>
      <c r="H26" s="458">
        <f t="shared" si="8"/>
        <v>0</v>
      </c>
      <c r="I26" s="458">
        <f t="shared" si="9"/>
        <v>0</v>
      </c>
      <c r="J26" s="458">
        <f t="shared" si="10"/>
        <v>0.35947956888512822</v>
      </c>
      <c r="K26" s="458">
        <f t="shared" si="11"/>
        <v>0</v>
      </c>
      <c r="L26" s="458">
        <f t="shared" si="12"/>
        <v>0</v>
      </c>
      <c r="M26" s="458">
        <f t="shared" si="13"/>
        <v>0</v>
      </c>
      <c r="N26" s="458">
        <f t="shared" si="14"/>
        <v>0</v>
      </c>
      <c r="O26" s="458">
        <f t="shared" si="15"/>
        <v>0</v>
      </c>
      <c r="P26" s="459">
        <f t="shared" si="16"/>
        <v>0</v>
      </c>
      <c r="Q26" s="457">
        <f t="shared" ca="1" si="17"/>
        <v>3659.0902411292182</v>
      </c>
    </row>
    <row r="27" spans="1:17" s="463" customFormat="1">
      <c r="A27" s="461" t="s">
        <v>573</v>
      </c>
      <c r="B27" s="771">
        <f t="shared" ca="1" si="2"/>
        <v>0.54554510937112144</v>
      </c>
      <c r="C27" s="462">
        <f t="shared" ca="1" si="3"/>
        <v>0</v>
      </c>
      <c r="D27" s="462">
        <f t="shared" si="4"/>
        <v>1.4599468854380804</v>
      </c>
      <c r="E27" s="462">
        <f t="shared" si="5"/>
        <v>58.405634986962013</v>
      </c>
      <c r="F27" s="462">
        <f t="shared" si="6"/>
        <v>0</v>
      </c>
      <c r="G27" s="462">
        <f t="shared" si="7"/>
        <v>17307.007795859601</v>
      </c>
      <c r="H27" s="462">
        <f t="shared" si="8"/>
        <v>3299.5626437986652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20666.981566640035</v>
      </c>
    </row>
    <row r="28" spans="1:17">
      <c r="A28" s="457" t="s">
        <v>563</v>
      </c>
      <c r="B28" s="458">
        <f t="shared" ca="1" si="2"/>
        <v>0</v>
      </c>
      <c r="C28" s="458">
        <f t="shared" ca="1" si="3"/>
        <v>0</v>
      </c>
      <c r="D28" s="458">
        <f t="shared" si="4"/>
        <v>0</v>
      </c>
      <c r="E28" s="458">
        <f t="shared" si="5"/>
        <v>0</v>
      </c>
      <c r="F28" s="458">
        <f t="shared" si="6"/>
        <v>0</v>
      </c>
      <c r="G28" s="458">
        <f t="shared" si="7"/>
        <v>321.59398606554436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321.59398606554436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114.91494864917577</v>
      </c>
      <c r="C32" s="458">
        <f t="shared" ca="1" si="3"/>
        <v>0</v>
      </c>
      <c r="D32" s="458">
        <f t="shared" si="4"/>
        <v>353.21876942430453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468.13371807348028</v>
      </c>
    </row>
    <row r="33" spans="1:17" s="470" customFormat="1">
      <c r="A33" s="467" t="s">
        <v>567</v>
      </c>
      <c r="B33" s="468">
        <f ca="1">SUM(B22:B32)</f>
        <v>5414.7353898809679</v>
      </c>
      <c r="C33" s="468">
        <f t="shared" ref="C33:Q33" ca="1" si="18">SUM(C22:C32)</f>
        <v>3029.3358568769477</v>
      </c>
      <c r="D33" s="468">
        <f t="shared" ca="1" si="18"/>
        <v>10812.947047796109</v>
      </c>
      <c r="E33" s="468">
        <f t="shared" si="18"/>
        <v>2211.7286140651058</v>
      </c>
      <c r="F33" s="468">
        <f t="shared" ca="1" si="18"/>
        <v>18638.023940829182</v>
      </c>
      <c r="G33" s="468">
        <f t="shared" si="18"/>
        <v>17628.601781925146</v>
      </c>
      <c r="H33" s="468">
        <f t="shared" si="18"/>
        <v>3299.5626437986652</v>
      </c>
      <c r="I33" s="468">
        <f t="shared" si="18"/>
        <v>0</v>
      </c>
      <c r="J33" s="468">
        <f t="shared" si="18"/>
        <v>944.44908686382541</v>
      </c>
      <c r="K33" s="468">
        <f t="shared" si="18"/>
        <v>0</v>
      </c>
      <c r="L33" s="468">
        <f t="shared" ca="1" si="18"/>
        <v>0</v>
      </c>
      <c r="M33" s="468">
        <f t="shared" si="18"/>
        <v>0</v>
      </c>
      <c r="N33" s="468">
        <f t="shared" ca="1" si="18"/>
        <v>0</v>
      </c>
      <c r="O33" s="468">
        <f t="shared" si="18"/>
        <v>0</v>
      </c>
      <c r="P33" s="468">
        <f t="shared" si="18"/>
        <v>0</v>
      </c>
      <c r="Q33" s="468">
        <f t="shared" ca="1" si="18"/>
        <v>61979.38436203594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4976.8669475890183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16629.463979573226</v>
      </c>
      <c r="C8" s="1034">
        <f>'SEAP template'!C76</f>
        <v>8966.5360204267745</v>
      </c>
      <c r="D8" s="1034">
        <f>'SEAP template'!D76</f>
        <v>8578.5909388376913</v>
      </c>
      <c r="E8" s="1034">
        <f>'SEAP template'!E76</f>
        <v>0</v>
      </c>
      <c r="F8" s="1034">
        <f>'SEAP template'!F76</f>
        <v>1970.2749675467487</v>
      </c>
      <c r="G8" s="1034">
        <f>'SEAP template'!G76</f>
        <v>0</v>
      </c>
      <c r="H8" s="1034">
        <f>'SEAP template'!H76</f>
        <v>0</v>
      </c>
      <c r="I8" s="1034">
        <f>'SEAP template'!I76</f>
        <v>5910.8249026402464</v>
      </c>
      <c r="J8" s="1034">
        <f>'SEAP template'!J76</f>
        <v>13653.250367445904</v>
      </c>
      <c r="K8" s="1034">
        <f>'SEAP template'!K76</f>
        <v>0</v>
      </c>
      <c r="L8" s="1034">
        <f>'SEAP template'!L76</f>
        <v>0</v>
      </c>
      <c r="M8" s="1034">
        <f>'SEAP template'!M76</f>
        <v>0</v>
      </c>
      <c r="N8" s="1034">
        <f>'SEAP template'!N76</f>
        <v>0</v>
      </c>
      <c r="O8" s="1034">
        <f>'SEAP template'!O76</f>
        <v>0</v>
      </c>
      <c r="P8" s="1035">
        <f>'SEAP template'!Q76</f>
        <v>2258.9387859801959</v>
      </c>
    </row>
    <row r="9" spans="1:16">
      <c r="A9" s="1037" t="s">
        <v>871</v>
      </c>
      <c r="B9" s="1034">
        <f>'SEAP template'!B77</f>
        <v>1341</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3831.4285714285716</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22947.330927162242</v>
      </c>
      <c r="C10" s="1038">
        <f>SUM(C4:C9)</f>
        <v>8966.5360204267745</v>
      </c>
      <c r="D10" s="1038">
        <f t="shared" ref="D10:H10" si="0">SUM(D8:D9)</f>
        <v>8578.5909388376913</v>
      </c>
      <c r="E10" s="1038">
        <f t="shared" si="0"/>
        <v>0</v>
      </c>
      <c r="F10" s="1038">
        <f t="shared" si="0"/>
        <v>1970.2749675467487</v>
      </c>
      <c r="G10" s="1038">
        <f t="shared" si="0"/>
        <v>0</v>
      </c>
      <c r="H10" s="1038">
        <f t="shared" si="0"/>
        <v>0</v>
      </c>
      <c r="I10" s="1038">
        <f>SUM(I8:I9)</f>
        <v>5910.8249026402464</v>
      </c>
      <c r="J10" s="1038">
        <f>SUM(J8:J9)</f>
        <v>17484.678938874476</v>
      </c>
      <c r="K10" s="1038">
        <f t="shared" ref="K10:L10" si="1">SUM(K8:K9)</f>
        <v>0</v>
      </c>
      <c r="L10" s="1038">
        <f t="shared" si="1"/>
        <v>0</v>
      </c>
      <c r="M10" s="1038">
        <f>SUM(M8:M9)</f>
        <v>0</v>
      </c>
      <c r="N10" s="1038">
        <f>SUM(N8:N9)</f>
        <v>0</v>
      </c>
      <c r="O10" s="1038">
        <f>SUM(O8:O9)</f>
        <v>0</v>
      </c>
      <c r="P10" s="1038">
        <f>SUM(P8:P9)</f>
        <v>2258.9387859801959</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0.11721858292107404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22300.839591855347</v>
      </c>
      <c r="C17" s="1040">
        <f>'SEAP template'!C87</f>
        <v>12024.5175510018</v>
      </c>
      <c r="D17" s="1035">
        <f>'SEAP template'!D87</f>
        <v>11504.266204019454</v>
      </c>
      <c r="E17" s="1035">
        <f>'SEAP template'!E87</f>
        <v>0</v>
      </c>
      <c r="F17" s="1035">
        <f>'SEAP template'!F87</f>
        <v>2642.2250324532515</v>
      </c>
      <c r="G17" s="1035">
        <f>'SEAP template'!G87</f>
        <v>0</v>
      </c>
      <c r="H17" s="1035">
        <f>'SEAP template'!H87</f>
        <v>0</v>
      </c>
      <c r="I17" s="1035">
        <f>'SEAP template'!I87</f>
        <v>7926.6750973597545</v>
      </c>
      <c r="J17" s="1035">
        <f>'SEAP template'!J87</f>
        <v>18309.606775411245</v>
      </c>
      <c r="K17" s="1035">
        <f>'SEAP template'!K87</f>
        <v>0</v>
      </c>
      <c r="L17" s="1035">
        <f>'SEAP template'!L87</f>
        <v>0</v>
      </c>
      <c r="M17" s="1035">
        <f>'SEAP template'!M87</f>
        <v>0</v>
      </c>
      <c r="N17" s="1035">
        <f>'SEAP template'!N87</f>
        <v>0</v>
      </c>
      <c r="O17" s="1035">
        <f>'SEAP template'!O87</f>
        <v>0</v>
      </c>
      <c r="P17" s="1035">
        <f>'SEAP template'!Q87</f>
        <v>3029.3358568769477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22300.839591855347</v>
      </c>
      <c r="C20" s="1038">
        <f>SUM(C17:C19)</f>
        <v>12024.5175510018</v>
      </c>
      <c r="D20" s="1038">
        <f t="shared" ref="D20:H20" si="2">SUM(D17:D19)</f>
        <v>11504.266204019454</v>
      </c>
      <c r="E20" s="1038">
        <f t="shared" si="2"/>
        <v>0</v>
      </c>
      <c r="F20" s="1038">
        <f t="shared" si="2"/>
        <v>2642.2250324532515</v>
      </c>
      <c r="G20" s="1038">
        <f t="shared" si="2"/>
        <v>0</v>
      </c>
      <c r="H20" s="1038">
        <f t="shared" si="2"/>
        <v>0</v>
      </c>
      <c r="I20" s="1038">
        <f>SUM(I17:I19)</f>
        <v>7926.6750973597545</v>
      </c>
      <c r="J20" s="1038">
        <f>SUM(J17:J19)</f>
        <v>18309.606775411245</v>
      </c>
      <c r="K20" s="1038">
        <f t="shared" ref="K20:L20" si="3">SUM(K17:K19)</f>
        <v>0</v>
      </c>
      <c r="L20" s="1038">
        <f t="shared" si="3"/>
        <v>0</v>
      </c>
      <c r="M20" s="1038">
        <f>SUM(M17:M19)</f>
        <v>0</v>
      </c>
      <c r="N20" s="1038">
        <f>SUM(N17:N19)</f>
        <v>0</v>
      </c>
      <c r="O20" s="1038">
        <f>SUM(O17:O19)</f>
        <v>0</v>
      </c>
      <c r="P20" s="1038">
        <f>SUM(P17:P19)</f>
        <v>3029.3358568769477</v>
      </c>
    </row>
    <row r="22" spans="1:16">
      <c r="A22" s="471" t="s">
        <v>879</v>
      </c>
      <c r="B22" s="777" t="s">
        <v>873</v>
      </c>
      <c r="C22" s="777">
        <f ca="1">'EF ele_warmte'!B22</f>
        <v>8.8253585950156102E-2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0.11721858292107404</v>
      </c>
      <c r="C17" s="508">
        <f ca="1">'EF ele_warmte'!B22</f>
        <v>8.8253585950156102E-2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0.11721858292107404</v>
      </c>
      <c r="C17" s="508">
        <f ca="1">'EF ele_warmte'!B22</f>
        <v>8.8253585950156102E-2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0.11721858292107404</v>
      </c>
      <c r="C29" s="509">
        <f ca="1">'EF ele_warmte'!B22</f>
        <v>8.8253585950156102E-2</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5906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1628</v>
      </c>
      <c r="C14" s="332"/>
      <c r="D14" s="332"/>
      <c r="E14" s="332"/>
      <c r="F14" s="332"/>
    </row>
    <row r="15" spans="1:6">
      <c r="A15" s="1306" t="s">
        <v>183</v>
      </c>
      <c r="B15" s="1307">
        <v>2590</v>
      </c>
      <c r="C15" s="332"/>
      <c r="D15" s="332"/>
      <c r="E15" s="332"/>
      <c r="F15" s="332"/>
    </row>
    <row r="16" spans="1:6">
      <c r="A16" s="1306" t="s">
        <v>6</v>
      </c>
      <c r="B16" s="1307">
        <v>680</v>
      </c>
      <c r="C16" s="332"/>
      <c r="D16" s="332"/>
      <c r="E16" s="332"/>
      <c r="F16" s="332"/>
    </row>
    <row r="17" spans="1:6">
      <c r="A17" s="1306" t="s">
        <v>7</v>
      </c>
      <c r="B17" s="1307">
        <v>179</v>
      </c>
      <c r="C17" s="332"/>
      <c r="D17" s="332"/>
      <c r="E17" s="332"/>
      <c r="F17" s="332"/>
    </row>
    <row r="18" spans="1:6">
      <c r="A18" s="1306" t="s">
        <v>8</v>
      </c>
      <c r="B18" s="1307">
        <v>502</v>
      </c>
      <c r="C18" s="332"/>
      <c r="D18" s="332"/>
      <c r="E18" s="332"/>
      <c r="F18" s="332"/>
    </row>
    <row r="19" spans="1:6">
      <c r="A19" s="1306" t="s">
        <v>9</v>
      </c>
      <c r="B19" s="1307">
        <v>450</v>
      </c>
      <c r="C19" s="332"/>
      <c r="D19" s="332"/>
      <c r="E19" s="332"/>
      <c r="F19" s="332"/>
    </row>
    <row r="20" spans="1:6">
      <c r="A20" s="1306" t="s">
        <v>10</v>
      </c>
      <c r="B20" s="1307">
        <v>291</v>
      </c>
      <c r="C20" s="332"/>
      <c r="D20" s="332"/>
      <c r="E20" s="332"/>
      <c r="F20" s="332"/>
    </row>
    <row r="21" spans="1:6">
      <c r="A21" s="1306" t="s">
        <v>11</v>
      </c>
      <c r="B21" s="1307">
        <v>3362</v>
      </c>
      <c r="C21" s="332"/>
      <c r="D21" s="332"/>
      <c r="E21" s="332"/>
      <c r="F21" s="332"/>
    </row>
    <row r="22" spans="1:6">
      <c r="A22" s="1306" t="s">
        <v>12</v>
      </c>
      <c r="B22" s="1307">
        <v>393</v>
      </c>
      <c r="C22" s="332"/>
      <c r="D22" s="332"/>
      <c r="E22" s="332"/>
      <c r="F22" s="332"/>
    </row>
    <row r="23" spans="1:6">
      <c r="A23" s="1306" t="s">
        <v>13</v>
      </c>
      <c r="B23" s="1307">
        <v>211</v>
      </c>
      <c r="C23" s="332"/>
      <c r="D23" s="332"/>
      <c r="E23" s="332"/>
      <c r="F23" s="332"/>
    </row>
    <row r="24" spans="1:6">
      <c r="A24" s="1306" t="s">
        <v>14</v>
      </c>
      <c r="B24" s="1307">
        <v>6</v>
      </c>
      <c r="C24" s="332"/>
      <c r="D24" s="332"/>
      <c r="E24" s="332"/>
      <c r="F24" s="332"/>
    </row>
    <row r="25" spans="1:6">
      <c r="A25" s="1306" t="s">
        <v>15</v>
      </c>
      <c r="B25" s="1307">
        <v>1017</v>
      </c>
      <c r="C25" s="332"/>
      <c r="D25" s="332"/>
      <c r="E25" s="332"/>
      <c r="F25" s="332"/>
    </row>
    <row r="26" spans="1:6">
      <c r="A26" s="1306" t="s">
        <v>16</v>
      </c>
      <c r="B26" s="1307">
        <v>108</v>
      </c>
      <c r="C26" s="332"/>
      <c r="D26" s="332"/>
      <c r="E26" s="332"/>
      <c r="F26" s="332"/>
    </row>
    <row r="27" spans="1:6">
      <c r="A27" s="1306" t="s">
        <v>17</v>
      </c>
      <c r="B27" s="1307">
        <v>9</v>
      </c>
      <c r="C27" s="332"/>
      <c r="D27" s="332"/>
      <c r="E27" s="332"/>
      <c r="F27" s="332"/>
    </row>
    <row r="28" spans="1:6" s="43" customFormat="1">
      <c r="A28" s="1308" t="s">
        <v>18</v>
      </c>
      <c r="B28" s="1309">
        <v>15629</v>
      </c>
      <c r="C28" s="338"/>
      <c r="D28" s="338"/>
      <c r="E28" s="338"/>
      <c r="F28" s="338"/>
    </row>
    <row r="29" spans="1:6">
      <c r="A29" s="1308" t="s">
        <v>916</v>
      </c>
      <c r="B29" s="1309">
        <v>178</v>
      </c>
      <c r="C29" s="338"/>
      <c r="D29" s="338"/>
      <c r="E29" s="338"/>
      <c r="F29" s="338"/>
    </row>
    <row r="30" spans="1:6">
      <c r="A30" s="1301" t="s">
        <v>917</v>
      </c>
      <c r="B30" s="1310">
        <v>51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80543.292885732793</v>
      </c>
      <c r="E38" s="1307">
        <v>0</v>
      </c>
      <c r="F38" s="1307">
        <v>0</v>
      </c>
    </row>
    <row r="39" spans="1:6">
      <c r="A39" s="1306" t="s">
        <v>29</v>
      </c>
      <c r="B39" s="1306" t="s">
        <v>30</v>
      </c>
      <c r="C39" s="1307">
        <v>1938</v>
      </c>
      <c r="D39" s="1307">
        <v>35699519.864760503</v>
      </c>
      <c r="E39" s="1307">
        <v>6219</v>
      </c>
      <c r="F39" s="1307">
        <v>24107773.5467127</v>
      </c>
    </row>
    <row r="40" spans="1:6">
      <c r="A40" s="1306" t="s">
        <v>29</v>
      </c>
      <c r="B40" s="1306" t="s">
        <v>28</v>
      </c>
      <c r="C40" s="1307">
        <v>0</v>
      </c>
      <c r="D40" s="1307">
        <v>0</v>
      </c>
      <c r="E40" s="1307">
        <v>1</v>
      </c>
      <c r="F40" s="1307">
        <v>4488</v>
      </c>
    </row>
    <row r="41" spans="1:6">
      <c r="A41" s="1306" t="s">
        <v>31</v>
      </c>
      <c r="B41" s="1306" t="s">
        <v>32</v>
      </c>
      <c r="C41" s="1307">
        <v>17</v>
      </c>
      <c r="D41" s="1307">
        <v>637283.59674417402</v>
      </c>
      <c r="E41" s="1307">
        <v>99</v>
      </c>
      <c r="F41" s="1307">
        <v>845342.55964025704</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10</v>
      </c>
      <c r="F44" s="1307">
        <v>55550.295248496303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14947.401085433599</v>
      </c>
    </row>
    <row r="48" spans="1:6">
      <c r="A48" s="1306" t="s">
        <v>31</v>
      </c>
      <c r="B48" s="1306" t="s">
        <v>28</v>
      </c>
      <c r="C48" s="1307">
        <v>16</v>
      </c>
      <c r="D48" s="1307">
        <v>6691888.8084254796</v>
      </c>
      <c r="E48" s="1307">
        <v>29</v>
      </c>
      <c r="F48" s="1307">
        <v>378813.12735895597</v>
      </c>
    </row>
    <row r="49" spans="1:6">
      <c r="A49" s="1306" t="s">
        <v>31</v>
      </c>
      <c r="B49" s="1306" t="s">
        <v>39</v>
      </c>
      <c r="C49" s="1307">
        <v>0</v>
      </c>
      <c r="D49" s="1307">
        <v>0</v>
      </c>
      <c r="E49" s="1307">
        <v>0</v>
      </c>
      <c r="F49" s="1307">
        <v>0</v>
      </c>
    </row>
    <row r="50" spans="1:6">
      <c r="A50" s="1306" t="s">
        <v>31</v>
      </c>
      <c r="B50" s="1306" t="s">
        <v>40</v>
      </c>
      <c r="C50" s="1307">
        <v>4</v>
      </c>
      <c r="D50" s="1307">
        <v>757853.27031584003</v>
      </c>
      <c r="E50" s="1307">
        <v>10</v>
      </c>
      <c r="F50" s="1307">
        <v>3368195.6947331699</v>
      </c>
    </row>
    <row r="51" spans="1:6">
      <c r="A51" s="1306" t="s">
        <v>41</v>
      </c>
      <c r="B51" s="1306" t="s">
        <v>42</v>
      </c>
      <c r="C51" s="1307">
        <v>0</v>
      </c>
      <c r="D51" s="1307">
        <v>0</v>
      </c>
      <c r="E51" s="1307">
        <v>45</v>
      </c>
      <c r="F51" s="1307">
        <v>1203047.2075430499</v>
      </c>
    </row>
    <row r="52" spans="1:6">
      <c r="A52" s="1306" t="s">
        <v>41</v>
      </c>
      <c r="B52" s="1306" t="s">
        <v>28</v>
      </c>
      <c r="C52" s="1307">
        <v>3</v>
      </c>
      <c r="D52" s="1307">
        <v>26973243.2073237</v>
      </c>
      <c r="E52" s="1307">
        <v>10</v>
      </c>
      <c r="F52" s="1307">
        <v>113982.20588817001</v>
      </c>
    </row>
    <row r="53" spans="1:6">
      <c r="A53" s="1306" t="s">
        <v>43</v>
      </c>
      <c r="B53" s="1306" t="s">
        <v>44</v>
      </c>
      <c r="C53" s="1307">
        <v>59</v>
      </c>
      <c r="D53" s="1307">
        <v>1748607.7694272499</v>
      </c>
      <c r="E53" s="1307">
        <v>221</v>
      </c>
      <c r="F53" s="1307">
        <v>980347.53351821902</v>
      </c>
    </row>
    <row r="54" spans="1:6">
      <c r="A54" s="1306" t="s">
        <v>45</v>
      </c>
      <c r="B54" s="1306" t="s">
        <v>46</v>
      </c>
      <c r="C54" s="1307">
        <v>0</v>
      </c>
      <c r="D54" s="1307">
        <v>0</v>
      </c>
      <c r="E54" s="1307">
        <v>1</v>
      </c>
      <c r="F54" s="1307">
        <v>1088872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14</v>
      </c>
      <c r="D57" s="1307">
        <v>709228.37880960095</v>
      </c>
      <c r="E57" s="1307">
        <v>61</v>
      </c>
      <c r="F57" s="1307">
        <v>971083.23450591799</v>
      </c>
    </row>
    <row r="58" spans="1:6">
      <c r="A58" s="1306" t="s">
        <v>48</v>
      </c>
      <c r="B58" s="1306" t="s">
        <v>50</v>
      </c>
      <c r="C58" s="1307">
        <v>3</v>
      </c>
      <c r="D58" s="1307">
        <v>105241.643251206</v>
      </c>
      <c r="E58" s="1307">
        <v>14</v>
      </c>
      <c r="F58" s="1307">
        <v>207357.799303126</v>
      </c>
    </row>
    <row r="59" spans="1:6">
      <c r="A59" s="1306" t="s">
        <v>48</v>
      </c>
      <c r="B59" s="1306" t="s">
        <v>51</v>
      </c>
      <c r="C59" s="1307">
        <v>12</v>
      </c>
      <c r="D59" s="1307">
        <v>836832.37484919303</v>
      </c>
      <c r="E59" s="1307">
        <v>139</v>
      </c>
      <c r="F59" s="1307">
        <v>3547995.6950236899</v>
      </c>
    </row>
    <row r="60" spans="1:6">
      <c r="A60" s="1306" t="s">
        <v>48</v>
      </c>
      <c r="B60" s="1306" t="s">
        <v>52</v>
      </c>
      <c r="C60" s="1307">
        <v>18</v>
      </c>
      <c r="D60" s="1307">
        <v>721896.97464254999</v>
      </c>
      <c r="E60" s="1307">
        <v>63</v>
      </c>
      <c r="F60" s="1307">
        <v>1519949.1738024701</v>
      </c>
    </row>
    <row r="61" spans="1:6">
      <c r="A61" s="1306" t="s">
        <v>48</v>
      </c>
      <c r="B61" s="1306" t="s">
        <v>53</v>
      </c>
      <c r="C61" s="1307">
        <v>48</v>
      </c>
      <c r="D61" s="1307">
        <v>1095532.9647349201</v>
      </c>
      <c r="E61" s="1307">
        <v>183</v>
      </c>
      <c r="F61" s="1307">
        <v>1679998.32995288</v>
      </c>
    </row>
    <row r="62" spans="1:6">
      <c r="A62" s="1306" t="s">
        <v>48</v>
      </c>
      <c r="B62" s="1306" t="s">
        <v>54</v>
      </c>
      <c r="C62" s="1307">
        <v>3</v>
      </c>
      <c r="D62" s="1307">
        <v>247315.447191969</v>
      </c>
      <c r="E62" s="1307">
        <v>11</v>
      </c>
      <c r="F62" s="1307">
        <v>72098.782401000004</v>
      </c>
    </row>
    <row r="63" spans="1:6">
      <c r="A63" s="1306" t="s">
        <v>48</v>
      </c>
      <c r="B63" s="1306" t="s">
        <v>28</v>
      </c>
      <c r="C63" s="1307">
        <v>70</v>
      </c>
      <c r="D63" s="1307">
        <v>5187647.6643774798</v>
      </c>
      <c r="E63" s="1307">
        <v>71</v>
      </c>
      <c r="F63" s="1307">
        <v>1126117.9669874001</v>
      </c>
    </row>
    <row r="64" spans="1:6">
      <c r="A64" s="1306" t="s">
        <v>55</v>
      </c>
      <c r="B64" s="1306" t="s">
        <v>56</v>
      </c>
      <c r="C64" s="1307">
        <v>0</v>
      </c>
      <c r="D64" s="1307">
        <v>0</v>
      </c>
      <c r="E64" s="1307">
        <v>0</v>
      </c>
      <c r="F64" s="1307">
        <v>0</v>
      </c>
    </row>
    <row r="65" spans="1:6">
      <c r="A65" s="1306" t="s">
        <v>55</v>
      </c>
      <c r="B65" s="1306" t="s">
        <v>28</v>
      </c>
      <c r="C65" s="1307">
        <v>1</v>
      </c>
      <c r="D65" s="1307">
        <v>17971.565280269398</v>
      </c>
      <c r="E65" s="1307">
        <v>2</v>
      </c>
      <c r="F65" s="1307">
        <v>15213.7079112465</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4</v>
      </c>
      <c r="F68" s="1310">
        <v>25372.324864262398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100402913</v>
      </c>
      <c r="E73" s="456"/>
      <c r="F73" s="332"/>
    </row>
    <row r="74" spans="1:6">
      <c r="A74" s="1306" t="s">
        <v>63</v>
      </c>
      <c r="B74" s="1306" t="s">
        <v>724</v>
      </c>
      <c r="C74" s="1320" t="s">
        <v>725</v>
      </c>
      <c r="D74" s="1321">
        <v>5053227.2290400323</v>
      </c>
      <c r="E74" s="456"/>
      <c r="F74" s="332"/>
    </row>
    <row r="75" spans="1:6">
      <c r="A75" s="1306" t="s">
        <v>64</v>
      </c>
      <c r="B75" s="1306" t="s">
        <v>722</v>
      </c>
      <c r="C75" s="1320" t="s">
        <v>726</v>
      </c>
      <c r="D75" s="1321">
        <v>7405757</v>
      </c>
      <c r="E75" s="456"/>
      <c r="F75" s="332"/>
    </row>
    <row r="76" spans="1:6">
      <c r="A76" s="1306" t="s">
        <v>64</v>
      </c>
      <c r="B76" s="1306" t="s">
        <v>724</v>
      </c>
      <c r="C76" s="1320" t="s">
        <v>727</v>
      </c>
      <c r="D76" s="1321">
        <v>6871.5</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332897.54191993608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3561.8749521558902</v>
      </c>
      <c r="C91" s="332"/>
      <c r="D91" s="332"/>
      <c r="E91" s="332"/>
      <c r="F91" s="332"/>
    </row>
    <row r="92" spans="1:6">
      <c r="A92" s="1301" t="s">
        <v>68</v>
      </c>
      <c r="B92" s="1302">
        <v>1414.9919954331281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965</v>
      </c>
      <c r="C97" s="332"/>
      <c r="D97" s="332"/>
      <c r="E97" s="332"/>
      <c r="F97" s="332"/>
    </row>
    <row r="98" spans="1:6">
      <c r="A98" s="1306" t="s">
        <v>71</v>
      </c>
      <c r="B98" s="1307">
        <v>9</v>
      </c>
      <c r="C98" s="332"/>
      <c r="D98" s="332"/>
      <c r="E98" s="332"/>
      <c r="F98" s="332"/>
    </row>
    <row r="99" spans="1:6">
      <c r="A99" s="1306" t="s">
        <v>72</v>
      </c>
      <c r="B99" s="1307">
        <v>171</v>
      </c>
      <c r="C99" s="332"/>
      <c r="D99" s="332"/>
      <c r="E99" s="332"/>
      <c r="F99" s="332"/>
    </row>
    <row r="100" spans="1:6">
      <c r="A100" s="1306" t="s">
        <v>73</v>
      </c>
      <c r="B100" s="1307">
        <v>225</v>
      </c>
      <c r="C100" s="332"/>
      <c r="D100" s="332"/>
      <c r="E100" s="332"/>
      <c r="F100" s="332"/>
    </row>
    <row r="101" spans="1:6">
      <c r="A101" s="1306" t="s">
        <v>74</v>
      </c>
      <c r="B101" s="1307">
        <v>147</v>
      </c>
      <c r="C101" s="332"/>
      <c r="D101" s="332"/>
      <c r="E101" s="332"/>
      <c r="F101" s="332"/>
    </row>
    <row r="102" spans="1:6">
      <c r="A102" s="1306" t="s">
        <v>75</v>
      </c>
      <c r="B102" s="1307">
        <v>58</v>
      </c>
      <c r="C102" s="332"/>
      <c r="D102" s="332"/>
      <c r="E102" s="332"/>
      <c r="F102" s="332"/>
    </row>
    <row r="103" spans="1:6">
      <c r="A103" s="1306" t="s">
        <v>76</v>
      </c>
      <c r="B103" s="1307">
        <v>167</v>
      </c>
      <c r="C103" s="332"/>
      <c r="D103" s="332"/>
      <c r="E103" s="332"/>
      <c r="F103" s="332"/>
    </row>
    <row r="104" spans="1:6">
      <c r="A104" s="1306" t="s">
        <v>77</v>
      </c>
      <c r="B104" s="1307">
        <v>3520</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13</v>
      </c>
      <c r="C123" s="1307">
        <v>24</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91</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25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46193.489589673954</v>
      </c>
      <c r="C3" s="43" t="s">
        <v>169</v>
      </c>
      <c r="D3" s="43"/>
      <c r="E3" s="156"/>
      <c r="F3" s="43"/>
      <c r="G3" s="43"/>
      <c r="H3" s="43"/>
      <c r="I3" s="43"/>
      <c r="J3" s="43"/>
      <c r="K3" s="96"/>
    </row>
    <row r="4" spans="1:11">
      <c r="A4" s="363" t="s">
        <v>170</v>
      </c>
      <c r="B4" s="49">
        <f>IF(ISERROR('SEAP template'!B78+'SEAP template'!C78),0,'SEAP template'!B78+'SEAP template'!C78)</f>
        <v>31913.866947589016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2258.9387859801959</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0.11721858292107404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3029.3358568769477</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34325.357142857145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8.8253585950156102E-2</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1088.8720000000001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1088.8720000000001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0.11721858292107404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127.63603282243574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24112.2615467127</v>
      </c>
      <c r="C5" s="17">
        <f>IF(ISERROR('Eigen informatie GS &amp; warmtenet'!B57),0,'Eigen informatie GS &amp; warmtenet'!B57)</f>
        <v>0</v>
      </c>
      <c r="D5" s="30">
        <f>(SUM(HH_hh_gas_kWh,HH_rest_gas_kWh)/1000)*0.902</f>
        <v>32200.966918013979</v>
      </c>
      <c r="E5" s="17">
        <f>B46*B57</f>
        <v>8781.2928609937189</v>
      </c>
      <c r="F5" s="17">
        <f>B51*B62</f>
        <v>62232.346623089521</v>
      </c>
      <c r="G5" s="18"/>
      <c r="H5" s="17"/>
      <c r="I5" s="17"/>
      <c r="J5" s="17">
        <f>B50*B61+C50*C61</f>
        <v>2468.8535423003996</v>
      </c>
      <c r="K5" s="17"/>
      <c r="L5" s="17"/>
      <c r="M5" s="17"/>
      <c r="N5" s="17">
        <f>B48*B59+C48*C59</f>
        <v>25839.462912454641</v>
      </c>
      <c r="O5" s="17">
        <f>B69*B70*B71</f>
        <v>179.78333333333333</v>
      </c>
      <c r="P5" s="17">
        <f>B77*B78*B79/1000-B77*B78*B79/1000/B80</f>
        <v>724.5333333333333</v>
      </c>
    </row>
    <row r="6" spans="1:16">
      <c r="A6" s="16" t="s">
        <v>633</v>
      </c>
      <c r="B6" s="779">
        <f>kWh_PV_kleiner_dan_10kW</f>
        <v>3561.8749521558902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27674.136498868589</v>
      </c>
      <c r="C8" s="21">
        <f>C5</f>
        <v>0</v>
      </c>
      <c r="D8" s="21">
        <f>D5</f>
        <v>32200.966918013979</v>
      </c>
      <c r="E8" s="21">
        <f>E5</f>
        <v>8781.2928609937189</v>
      </c>
      <c r="F8" s="21">
        <f>F5</f>
        <v>62232.346623089521</v>
      </c>
      <c r="G8" s="21"/>
      <c r="H8" s="21"/>
      <c r="I8" s="21"/>
      <c r="J8" s="21">
        <f>J5</f>
        <v>2468.8535423003996</v>
      </c>
      <c r="K8" s="21"/>
      <c r="L8" s="21">
        <f>L5</f>
        <v>0</v>
      </c>
      <c r="M8" s="21">
        <f>M5</f>
        <v>0</v>
      </c>
      <c r="N8" s="21">
        <f>N5</f>
        <v>25839.462912454641</v>
      </c>
      <c r="O8" s="21">
        <f>O5</f>
        <v>179.78333333333333</v>
      </c>
      <c r="P8" s="21">
        <f>P5</f>
        <v>724.5333333333333</v>
      </c>
    </row>
    <row r="9" spans="1:16">
      <c r="B9" s="19"/>
      <c r="C9" s="19"/>
      <c r="D9" s="261"/>
      <c r="E9" s="19"/>
      <c r="F9" s="19"/>
      <c r="G9" s="19"/>
      <c r="H9" s="19"/>
      <c r="I9" s="19"/>
      <c r="J9" s="19"/>
      <c r="K9" s="19"/>
      <c r="L9" s="19"/>
      <c r="M9" s="19"/>
      <c r="N9" s="19"/>
      <c r="O9" s="19"/>
      <c r="P9" s="19"/>
    </row>
    <row r="10" spans="1:16">
      <c r="A10" s="24" t="s">
        <v>213</v>
      </c>
      <c r="B10" s="25">
        <f ca="1">'EF ele_warmte'!B12</f>
        <v>0.11721858292107404</v>
      </c>
      <c r="C10" s="25">
        <f ca="1">'EF ele_warmte'!B22</f>
        <v>8.8253585950156102E-2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3243.9230639617494</v>
      </c>
      <c r="C12" s="23">
        <f ca="1">C10*C8</f>
        <v>0</v>
      </c>
      <c r="D12" s="23">
        <f>D8*D10</f>
        <v>6504.5953174388242</v>
      </c>
      <c r="E12" s="23">
        <f>E10*E8</f>
        <v>1993.3534794455743</v>
      </c>
      <c r="F12" s="23">
        <f>F10*F8</f>
        <v>16616.036548364904</v>
      </c>
      <c r="G12" s="23"/>
      <c r="H12" s="23"/>
      <c r="I12" s="23"/>
      <c r="J12" s="23">
        <f>J10*J8</f>
        <v>873.97415397434145</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965</v>
      </c>
      <c r="C18" s="168" t="s">
        <v>110</v>
      </c>
      <c r="D18" s="230"/>
      <c r="E18" s="15"/>
    </row>
    <row r="19" spans="1:7">
      <c r="A19" s="173" t="s">
        <v>71</v>
      </c>
      <c r="B19" s="37">
        <f>aantalw2001_ander</f>
        <v>9</v>
      </c>
      <c r="C19" s="168" t="s">
        <v>110</v>
      </c>
      <c r="D19" s="231"/>
      <c r="E19" s="15"/>
    </row>
    <row r="20" spans="1:7">
      <c r="A20" s="173" t="s">
        <v>72</v>
      </c>
      <c r="B20" s="37">
        <f>aantalw2001_propaan</f>
        <v>171</v>
      </c>
      <c r="C20" s="169">
        <f>IF(ISERROR(B20/SUM($B$20,$B$21,$B$22)*100),0,B20/SUM($B$20,$B$21,$B$22)*100)</f>
        <v>31.491712707182316</v>
      </c>
      <c r="D20" s="231"/>
      <c r="E20" s="15"/>
    </row>
    <row r="21" spans="1:7">
      <c r="A21" s="173" t="s">
        <v>73</v>
      </c>
      <c r="B21" s="37">
        <f>aantalw2001_elektriciteit</f>
        <v>225</v>
      </c>
      <c r="C21" s="169">
        <f>IF(ISERROR(B21/SUM($B$20,$B$21,$B$22)*100),0,B21/SUM($B$20,$B$21,$B$22)*100)</f>
        <v>41.436464088397791</v>
      </c>
      <c r="D21" s="231"/>
      <c r="E21" s="15"/>
    </row>
    <row r="22" spans="1:7">
      <c r="A22" s="173" t="s">
        <v>74</v>
      </c>
      <c r="B22" s="37">
        <f>aantalw2001_hout</f>
        <v>147</v>
      </c>
      <c r="C22" s="169">
        <f>IF(ISERROR(B22/SUM($B$20,$B$21,$B$22)*100),0,B22/SUM($B$20,$B$21,$B$22)*100)</f>
        <v>27.071823204419886</v>
      </c>
      <c r="D22" s="231"/>
      <c r="E22" s="15"/>
    </row>
    <row r="23" spans="1:7">
      <c r="A23" s="173" t="s">
        <v>75</v>
      </c>
      <c r="B23" s="37">
        <f>aantalw2001_niet_gespec</f>
        <v>58</v>
      </c>
      <c r="C23" s="168" t="s">
        <v>110</v>
      </c>
      <c r="D23" s="230"/>
      <c r="E23" s="15"/>
    </row>
    <row r="24" spans="1:7">
      <c r="A24" s="173" t="s">
        <v>76</v>
      </c>
      <c r="B24" s="37">
        <f>aantalw2001_steenkool</f>
        <v>167</v>
      </c>
      <c r="C24" s="168" t="s">
        <v>110</v>
      </c>
      <c r="D24" s="231"/>
      <c r="E24" s="15"/>
    </row>
    <row r="25" spans="1:7">
      <c r="A25" s="173" t="s">
        <v>77</v>
      </c>
      <c r="B25" s="37">
        <f>aantalw2001_stookolie</f>
        <v>3520</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5906</v>
      </c>
      <c r="C28" s="36"/>
      <c r="D28" s="230"/>
    </row>
    <row r="29" spans="1:7" s="15" customFormat="1">
      <c r="A29" s="232" t="s">
        <v>743</v>
      </c>
      <c r="B29" s="37">
        <f>SUM(HH_hh_gas_aantal,HH_rest_gas_aantal)</f>
        <v>1938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1938</v>
      </c>
      <c r="C32" s="169">
        <f>IF(ISERROR(B32/SUM($B$32,$B$34,$B$35,$B$36,$B$38,$B$39)*100),0,B32/SUM($B$32,$B$34,$B$35,$B$36,$B$38,$B$39)*100)</f>
        <v>33.026584867075663</v>
      </c>
      <c r="D32" s="235"/>
      <c r="G32" s="15"/>
    </row>
    <row r="33" spans="1:7">
      <c r="A33" s="173" t="s">
        <v>71</v>
      </c>
      <c r="B33" s="34" t="s">
        <v>110</v>
      </c>
      <c r="C33" s="169"/>
      <c r="D33" s="235"/>
      <c r="G33" s="15"/>
    </row>
    <row r="34" spans="1:7">
      <c r="A34" s="173" t="s">
        <v>72</v>
      </c>
      <c r="B34" s="33">
        <f>IF((($B$28-$B$32-$B$39-$B$77-$B$38)*C20/100)&lt;0,0,($B$28-$B$32-$B$39-$B$77-$B$38)*C20/100)</f>
        <v>382.9392265193369</v>
      </c>
      <c r="C34" s="169">
        <f>IF(ISERROR(B34/SUM($B$32,$B$34,$B$35,$B$36,$B$38,$B$39)*100),0,B34/SUM($B$32,$B$34,$B$35,$B$36,$B$38,$B$39)*100)</f>
        <v>6.525890022483587</v>
      </c>
      <c r="D34" s="235"/>
      <c r="G34" s="15"/>
    </row>
    <row r="35" spans="1:7">
      <c r="A35" s="173" t="s">
        <v>73</v>
      </c>
      <c r="B35" s="33">
        <f>IF((($B$28-$B$32-$B$39-$B$77-$B$38)*C21/100)&lt;0,0,($B$28-$B$32-$B$39-$B$77-$B$38)*C21/100)</f>
        <v>503.86740331491706</v>
      </c>
      <c r="C35" s="169">
        <f>IF(ISERROR(B35/SUM($B$32,$B$34,$B$35,$B$36,$B$38,$B$39)*100),0,B35/SUM($B$32,$B$34,$B$35,$B$36,$B$38,$B$39)*100)</f>
        <v>8.5866973980047216</v>
      </c>
      <c r="D35" s="235"/>
      <c r="G35" s="15"/>
    </row>
    <row r="36" spans="1:7">
      <c r="A36" s="173" t="s">
        <v>74</v>
      </c>
      <c r="B36" s="33">
        <f>IF((($B$28-$B$32-$B$39-$B$77-$B$38)*C22/100)&lt;0,0,($B$28-$B$32-$B$39-$B$77-$B$38)*C22/100)</f>
        <v>329.1933701657457</v>
      </c>
      <c r="C36" s="169">
        <f>IF(ISERROR(B36/SUM($B$32,$B$34,$B$35,$B$36,$B$38,$B$39)*100),0,B36/SUM($B$32,$B$34,$B$35,$B$36,$B$38,$B$39)*100)</f>
        <v>5.6099756333630832</v>
      </c>
      <c r="D36" s="235"/>
      <c r="G36" s="15"/>
    </row>
    <row r="37" spans="1:7">
      <c r="A37" s="173" t="s">
        <v>75</v>
      </c>
      <c r="B37" s="34" t="s">
        <v>110</v>
      </c>
      <c r="C37" s="169"/>
      <c r="D37" s="175"/>
      <c r="G37" s="15"/>
    </row>
    <row r="38" spans="1:7">
      <c r="A38" s="173" t="s">
        <v>76</v>
      </c>
      <c r="B38" s="33">
        <f>IF((B24-(B29-B18)*0.1)&lt;0,0,B24-(B29-B18)*0.1)</f>
        <v>69.699999999999989</v>
      </c>
      <c r="C38" s="169">
        <f>IF(ISERROR(B38/SUM($B$32,$B$34,$B$35,$B$36,$B$38,$B$39)*100),0,B38/SUM($B$32,$B$34,$B$35,$B$36,$B$38,$B$39)*100)</f>
        <v>1.1877982276755281</v>
      </c>
      <c r="D38" s="236"/>
      <c r="G38" s="15"/>
    </row>
    <row r="39" spans="1:7">
      <c r="A39" s="173" t="s">
        <v>77</v>
      </c>
      <c r="B39" s="33">
        <f>IF((B25-(B29-B18))&lt;0,0,B25-(B29-B18)*0.9)</f>
        <v>2644.3</v>
      </c>
      <c r="C39" s="169">
        <f>IF(ISERROR(B39/SUM($B$32,$B$34,$B$35,$B$36,$B$38,$B$39)*100),0,B39/SUM($B$32,$B$34,$B$35,$B$36,$B$38,$B$39)*100)</f>
        <v>45.063053851397413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1938</v>
      </c>
      <c r="C44" s="34" t="s">
        <v>110</v>
      </c>
      <c r="D44" s="176"/>
    </row>
    <row r="45" spans="1:7">
      <c r="A45" s="173" t="s">
        <v>71</v>
      </c>
      <c r="B45" s="33" t="str">
        <f t="shared" si="0"/>
        <v>-</v>
      </c>
      <c r="C45" s="34" t="s">
        <v>110</v>
      </c>
      <c r="D45" s="176"/>
    </row>
    <row r="46" spans="1:7">
      <c r="A46" s="173" t="s">
        <v>72</v>
      </c>
      <c r="B46" s="33">
        <f t="shared" si="0"/>
        <v>382.9392265193369</v>
      </c>
      <c r="C46" s="34" t="s">
        <v>110</v>
      </c>
      <c r="D46" s="176"/>
    </row>
    <row r="47" spans="1:7">
      <c r="A47" s="173" t="s">
        <v>73</v>
      </c>
      <c r="B47" s="33">
        <f t="shared" si="0"/>
        <v>503.86740331491706</v>
      </c>
      <c r="C47" s="34" t="s">
        <v>110</v>
      </c>
      <c r="D47" s="176"/>
    </row>
    <row r="48" spans="1:7">
      <c r="A48" s="173" t="s">
        <v>74</v>
      </c>
      <c r="B48" s="33">
        <f t="shared" si="0"/>
        <v>329.1933701657457</v>
      </c>
      <c r="C48" s="33">
        <f>B48*10</f>
        <v>3291.9337016574573</v>
      </c>
      <c r="D48" s="236"/>
    </row>
    <row r="49" spans="1:6">
      <c r="A49" s="173" t="s">
        <v>75</v>
      </c>
      <c r="B49" s="33" t="str">
        <f t="shared" si="0"/>
        <v>-</v>
      </c>
      <c r="C49" s="34" t="s">
        <v>110</v>
      </c>
      <c r="D49" s="236"/>
    </row>
    <row r="50" spans="1:6">
      <c r="A50" s="173" t="s">
        <v>76</v>
      </c>
      <c r="B50" s="33">
        <f t="shared" si="0"/>
        <v>69.699999999999989</v>
      </c>
      <c r="C50" s="33">
        <f>B50*2</f>
        <v>139.39999999999998</v>
      </c>
      <c r="D50" s="236"/>
    </row>
    <row r="51" spans="1:6">
      <c r="A51" s="173" t="s">
        <v>77</v>
      </c>
      <c r="B51" s="33">
        <f t="shared" si="0"/>
        <v>2644.3</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9124.600981976484</v>
      </c>
      <c r="C5" s="17">
        <f>IF(ISERROR('Eigen informatie GS &amp; warmtenet'!B58),0,'Eigen informatie GS &amp; warmtenet'!B58)</f>
        <v>0</v>
      </c>
      <c r="D5" s="30">
        <f>SUM(D6:D12)</f>
        <v>8031.133293966941</v>
      </c>
      <c r="E5" s="17">
        <f>SUM(E6:E12)</f>
        <v>161.69845578820929</v>
      </c>
      <c r="F5" s="17">
        <f>SUM(F6:F12)</f>
        <v>1883.1993104124513</v>
      </c>
      <c r="G5" s="18"/>
      <c r="H5" s="17"/>
      <c r="I5" s="17"/>
      <c r="J5" s="17">
        <f>SUM(J6:J12)</f>
        <v>0</v>
      </c>
      <c r="K5" s="17"/>
      <c r="L5" s="17"/>
      <c r="M5" s="17"/>
      <c r="N5" s="17">
        <f>SUM(N6:N12)</f>
        <v>779.43989791806951</v>
      </c>
      <c r="O5" s="17">
        <f>B38*B39*B40</f>
        <v>1.5633333333333335</v>
      </c>
      <c r="P5" s="17">
        <f>B46*B47*B48/1000-B46*B47*B48/1000/B49</f>
        <v>19.066666666666666</v>
      </c>
      <c r="R5" s="32"/>
    </row>
    <row r="6" spans="1:18">
      <c r="A6" s="32" t="s">
        <v>53</v>
      </c>
      <c r="B6" s="37">
        <f>B26</f>
        <v>1679.9983299528801</v>
      </c>
      <c r="C6" s="33"/>
      <c r="D6" s="37">
        <f>IF(ISERROR(TER_kantoor_gas_kWh/1000),0,TER_kantoor_gas_kWh/1000)*0.902</f>
        <v>988.17073419089797</v>
      </c>
      <c r="E6" s="33">
        <f>$C$26*'E Balans VL '!I12/100/3.6*1000000</f>
        <v>6.5271491882368178</v>
      </c>
      <c r="F6" s="33">
        <f>$C$26*('E Balans VL '!L12+'E Balans VL '!N12)/100/3.6*1000000</f>
        <v>255.51245921979722</v>
      </c>
      <c r="G6" s="34"/>
      <c r="H6" s="33"/>
      <c r="I6" s="33"/>
      <c r="J6" s="33">
        <f>$C$26*('E Balans VL '!D12+'E Balans VL '!E12)/100/3.6*1000000</f>
        <v>0</v>
      </c>
      <c r="K6" s="33"/>
      <c r="L6" s="33"/>
      <c r="M6" s="33"/>
      <c r="N6" s="33">
        <f>$C$26*'E Balans VL '!Y12/100/3.6*1000000</f>
        <v>0.92588033864757513</v>
      </c>
      <c r="O6" s="33"/>
      <c r="P6" s="33"/>
      <c r="R6" s="32"/>
    </row>
    <row r="7" spans="1:18">
      <c r="A7" s="32" t="s">
        <v>52</v>
      </c>
      <c r="B7" s="37">
        <f t="shared" ref="B7:B12" si="0">B27</f>
        <v>1519.9491738024701</v>
      </c>
      <c r="C7" s="33"/>
      <c r="D7" s="37">
        <f>IF(ISERROR(TER_horeca_gas_kWh/1000),0,TER_horeca_gas_kWh/1000)*0.902</f>
        <v>651.15107112758005</v>
      </c>
      <c r="E7" s="33">
        <f>$C$27*'E Balans VL '!I9/100/3.6*1000000</f>
        <v>85.619143327374303</v>
      </c>
      <c r="F7" s="33">
        <f>$C$27*('E Balans VL '!L9+'E Balans VL '!N9)/100/3.6*1000000</f>
        <v>438.26234422521952</v>
      </c>
      <c r="G7" s="34"/>
      <c r="H7" s="33"/>
      <c r="I7" s="33"/>
      <c r="J7" s="33">
        <f>$C$27*('E Balans VL '!D9+'E Balans VL '!E9)/100/3.6*1000000</f>
        <v>0</v>
      </c>
      <c r="K7" s="33"/>
      <c r="L7" s="33"/>
      <c r="M7" s="33"/>
      <c r="N7" s="33">
        <f>$C$27*'E Balans VL '!Y9/100/3.6*1000000</f>
        <v>0.41965006848781877</v>
      </c>
      <c r="O7" s="33"/>
      <c r="P7" s="33"/>
      <c r="R7" s="32"/>
    </row>
    <row r="8" spans="1:18">
      <c r="A8" s="6" t="s">
        <v>51</v>
      </c>
      <c r="B8" s="37">
        <f t="shared" si="0"/>
        <v>3547.9956950236897</v>
      </c>
      <c r="C8" s="33"/>
      <c r="D8" s="37">
        <f>IF(ISERROR(TER_handel_gas_kWh/1000),0,TER_handel_gas_kWh/1000)*0.902</f>
        <v>754.8228021139721</v>
      </c>
      <c r="E8" s="33">
        <f>$C$28*'E Balans VL '!I13/100/3.6*1000000</f>
        <v>51.138655117280756</v>
      </c>
      <c r="F8" s="33">
        <f>$C$28*('E Balans VL '!L13+'E Balans VL '!N13)/100/3.6*1000000</f>
        <v>616.36947946976045</v>
      </c>
      <c r="G8" s="34"/>
      <c r="H8" s="33"/>
      <c r="I8" s="33"/>
      <c r="J8" s="33">
        <f>$C$28*('E Balans VL '!D13+'E Balans VL '!E13)/100/3.6*1000000</f>
        <v>0</v>
      </c>
      <c r="K8" s="33"/>
      <c r="L8" s="33"/>
      <c r="M8" s="33"/>
      <c r="N8" s="33">
        <f>$C$28*'E Balans VL '!Y13/100/3.6*1000000</f>
        <v>10.63019007330821</v>
      </c>
      <c r="O8" s="33"/>
      <c r="P8" s="33"/>
      <c r="R8" s="32"/>
    </row>
    <row r="9" spans="1:18">
      <c r="A9" s="32" t="s">
        <v>50</v>
      </c>
      <c r="B9" s="37">
        <f t="shared" si="0"/>
        <v>207.357799303126</v>
      </c>
      <c r="C9" s="33"/>
      <c r="D9" s="37">
        <f>IF(ISERROR(TER_gezond_gas_kWh/1000),0,TER_gezond_gas_kWh/1000)*0.902</f>
        <v>94.927962212587815</v>
      </c>
      <c r="E9" s="33">
        <f>$C$29*'E Balans VL '!I10/100/3.6*1000000</f>
        <v>0.22151187482358919</v>
      </c>
      <c r="F9" s="33">
        <f>$C$29*('E Balans VL '!L10+'E Balans VL '!N10)/100/3.6*1000000</f>
        <v>33.826358906338726</v>
      </c>
      <c r="G9" s="34"/>
      <c r="H9" s="33"/>
      <c r="I9" s="33"/>
      <c r="J9" s="33">
        <f>$C$29*('E Balans VL '!D10+'E Balans VL '!E10)/100/3.6*1000000</f>
        <v>0</v>
      </c>
      <c r="K9" s="33"/>
      <c r="L9" s="33"/>
      <c r="M9" s="33"/>
      <c r="N9" s="33">
        <f>$C$29*'E Balans VL '!Y10/100/3.6*1000000</f>
        <v>2.1346302278258404</v>
      </c>
      <c r="O9" s="33"/>
      <c r="P9" s="33"/>
      <c r="R9" s="32"/>
    </row>
    <row r="10" spans="1:18">
      <c r="A10" s="32" t="s">
        <v>49</v>
      </c>
      <c r="B10" s="37">
        <f t="shared" si="0"/>
        <v>971.08323450591797</v>
      </c>
      <c r="C10" s="33"/>
      <c r="D10" s="37">
        <f>IF(ISERROR(TER_ander_gas_kWh/1000),0,TER_ander_gas_kWh/1000)*0.902</f>
        <v>639.72399768626008</v>
      </c>
      <c r="E10" s="33">
        <f>$C$30*'E Balans VL '!I14/100/3.6*1000000</f>
        <v>4.4658640827674949</v>
      </c>
      <c r="F10" s="33">
        <f>$C$30*('E Balans VL '!L14+'E Balans VL '!N14)/100/3.6*1000000</f>
        <v>291.0642760996767</v>
      </c>
      <c r="G10" s="34"/>
      <c r="H10" s="33"/>
      <c r="I10" s="33"/>
      <c r="J10" s="33">
        <f>$C$30*('E Balans VL '!D14+'E Balans VL '!E14)/100/3.6*1000000</f>
        <v>0</v>
      </c>
      <c r="K10" s="33"/>
      <c r="L10" s="33"/>
      <c r="M10" s="33"/>
      <c r="N10" s="33">
        <f>$C$30*'E Balans VL '!Y14/100/3.6*1000000</f>
        <v>675.93803316688616</v>
      </c>
      <c r="O10" s="33"/>
      <c r="P10" s="33"/>
      <c r="R10" s="32"/>
    </row>
    <row r="11" spans="1:18">
      <c r="A11" s="32" t="s">
        <v>54</v>
      </c>
      <c r="B11" s="37">
        <f t="shared" si="0"/>
        <v>72.098782401000008</v>
      </c>
      <c r="C11" s="33"/>
      <c r="D11" s="37">
        <f>IF(ISERROR(TER_onderwijs_gas_kWh/1000),0,TER_onderwijs_gas_kWh/1000)*0.902</f>
        <v>223.07853336715604</v>
      </c>
      <c r="E11" s="33">
        <f>$C$31*'E Balans VL '!I11/100/3.6*1000000</f>
        <v>6.6881102299712461E-2</v>
      </c>
      <c r="F11" s="33">
        <f>$C$31*('E Balans VL '!L11+'E Balans VL '!N11)/100/3.6*1000000</f>
        <v>25.326645186094968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1126.1179669874</v>
      </c>
      <c r="C12" s="33"/>
      <c r="D12" s="37">
        <f>IF(ISERROR(TER_rest_gas_kWh/1000),0,TER_rest_gas_kWh/1000)*0.902</f>
        <v>4679.258193268487</v>
      </c>
      <c r="E12" s="33">
        <f>$C$32*'E Balans VL '!I8/100/3.6*1000000</f>
        <v>13.659251095426614</v>
      </c>
      <c r="F12" s="33">
        <f>$C$32*('E Balans VL '!L8+'E Balans VL '!N8)/100/3.6*1000000</f>
        <v>222.83774730556337</v>
      </c>
      <c r="G12" s="34"/>
      <c r="H12" s="33"/>
      <c r="I12" s="33"/>
      <c r="J12" s="33">
        <f>$C$32*('E Balans VL '!D8+'E Balans VL '!E8)/100/3.6*1000000</f>
        <v>0</v>
      </c>
      <c r="K12" s="33"/>
      <c r="L12" s="33"/>
      <c r="M12" s="33"/>
      <c r="N12" s="33">
        <f>$C$32*'E Balans VL '!Y8/100/3.6*1000000</f>
        <v>89.39151404291384</v>
      </c>
      <c r="O12" s="33"/>
      <c r="P12" s="33"/>
      <c r="R12" s="32"/>
    </row>
    <row r="13" spans="1:18">
      <c r="A13" s="16" t="s">
        <v>496</v>
      </c>
      <c r="B13" s="249">
        <f ca="1">'lokale energieproductie'!N40+'lokale energieproductie'!N33</f>
        <v>1341</v>
      </c>
      <c r="C13" s="249">
        <f ca="1">'lokale energieproductie'!O40+'lokale energieproductie'!O33</f>
        <v>0</v>
      </c>
      <c r="D13" s="310">
        <f ca="1">('lokale energieproductie'!P33+'lokale energieproductie'!P40)*(-1)</f>
        <v>0</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-3831.4285714285716</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10465.600981976484</v>
      </c>
      <c r="C16" s="21">
        <f t="shared" ca="1" si="1"/>
        <v>0</v>
      </c>
      <c r="D16" s="21">
        <f t="shared" ca="1" si="1"/>
        <v>8031.133293966941</v>
      </c>
      <c r="E16" s="21">
        <f t="shared" si="1"/>
        <v>161.69845578820929</v>
      </c>
      <c r="F16" s="21">
        <f t="shared" ca="1" si="1"/>
        <v>1883.1993104124513</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0.11721858292107404</v>
      </c>
      <c r="C18" s="25">
        <f ca="1">'EF ele_warmte'!B22</f>
        <v>8.8253585950156102E-2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1226.7629165246844</v>
      </c>
      <c r="C20" s="23">
        <f t="shared" ref="C20:P20" ca="1" si="2">C16*C18</f>
        <v>0</v>
      </c>
      <c r="D20" s="23">
        <f t="shared" ca="1" si="2"/>
        <v>1622.2889253813221</v>
      </c>
      <c r="E20" s="23">
        <f t="shared" si="2"/>
        <v>36.705549463923511</v>
      </c>
      <c r="F20" s="23">
        <f t="shared" ca="1" si="2"/>
        <v>502.81421588012449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1679.9983299528801</v>
      </c>
      <c r="C26" s="39">
        <f>IF(ISERROR(B26*3.6/1000000/'E Balans VL '!Z12*100),0,B26*3.6/1000000/'E Balans VL '!Z12*100)</f>
        <v>3.568399669119212E-2</v>
      </c>
      <c r="D26" s="239" t="s">
        <v>689</v>
      </c>
      <c r="F26" s="6"/>
    </row>
    <row r="27" spans="1:18">
      <c r="A27" s="233" t="s">
        <v>52</v>
      </c>
      <c r="B27" s="33">
        <f>IF(ISERROR(TER_horeca_ele_kWh/1000),0,TER_horeca_ele_kWh/1000)</f>
        <v>1519.9491738024701</v>
      </c>
      <c r="C27" s="39">
        <f>IF(ISERROR(B27*3.6/1000000/'E Balans VL '!Z9*100),0,B27*3.6/1000000/'E Balans VL '!Z9*100)</f>
        <v>0.11818530487261612</v>
      </c>
      <c r="D27" s="239" t="s">
        <v>689</v>
      </c>
      <c r="F27" s="6"/>
    </row>
    <row r="28" spans="1:18">
      <c r="A28" s="173" t="s">
        <v>51</v>
      </c>
      <c r="B28" s="33">
        <f>IF(ISERROR(TER_handel_ele_kWh/1000),0,TER_handel_ele_kWh/1000)</f>
        <v>3547.9956950236897</v>
      </c>
      <c r="C28" s="39">
        <f>IF(ISERROR(B28*3.6/1000000/'E Balans VL '!Z13*100),0,B28*3.6/1000000/'E Balans VL '!Z13*100)</f>
        <v>0.10151233240785701</v>
      </c>
      <c r="D28" s="239" t="s">
        <v>689</v>
      </c>
      <c r="F28" s="6"/>
    </row>
    <row r="29" spans="1:18">
      <c r="A29" s="233" t="s">
        <v>50</v>
      </c>
      <c r="B29" s="33">
        <f>IF(ISERROR(TER_gezond_ele_kWh/1000),0,TER_gezond_ele_kWh/1000)</f>
        <v>207.357799303126</v>
      </c>
      <c r="C29" s="39">
        <f>IF(ISERROR(B29*3.6/1000000/'E Balans VL '!Z10*100),0,B29*3.6/1000000/'E Balans VL '!Z10*100)</f>
        <v>2.2606818541414945E-2</v>
      </c>
      <c r="D29" s="239" t="s">
        <v>689</v>
      </c>
      <c r="F29" s="6"/>
    </row>
    <row r="30" spans="1:18">
      <c r="A30" s="233" t="s">
        <v>49</v>
      </c>
      <c r="B30" s="33">
        <f>IF(ISERROR(TER_ander_ele_kWh/1000),0,TER_ander_ele_kWh/1000)</f>
        <v>971.08323450591797</v>
      </c>
      <c r="C30" s="39">
        <f>IF(ISERROR(B30*3.6/1000000/'E Balans VL '!Z14*100),0,B30*3.6/1000000/'E Balans VL '!Z14*100)</f>
        <v>7.1061668251045138E-2</v>
      </c>
      <c r="D30" s="239" t="s">
        <v>689</v>
      </c>
      <c r="F30" s="6"/>
    </row>
    <row r="31" spans="1:18">
      <c r="A31" s="233" t="s">
        <v>54</v>
      </c>
      <c r="B31" s="33">
        <f>IF(ISERROR(TER_onderwijs_ele_kWh/1000),0,TER_onderwijs_ele_kWh/1000)</f>
        <v>72.098782401000008</v>
      </c>
      <c r="C31" s="39">
        <f>IF(ISERROR(B31*3.6/1000000/'E Balans VL '!Z11*100),0,B31*3.6/1000000/'E Balans VL '!Z11*100)</f>
        <v>1.4481093984320325E-2</v>
      </c>
      <c r="D31" s="239" t="s">
        <v>689</v>
      </c>
    </row>
    <row r="32" spans="1:18">
      <c r="A32" s="233" t="s">
        <v>259</v>
      </c>
      <c r="B32" s="33">
        <f>IF(ISERROR(TER_rest_ele_kWh/1000),0,TER_rest_ele_kWh/1000)</f>
        <v>1126.1179669874</v>
      </c>
      <c r="C32" s="39">
        <f>IF(ISERROR(B32*3.6/1000000/'E Balans VL '!Z8*100),0,B32*3.6/1000000/'E Balans VL '!Z8*100)</f>
        <v>9.1771780246764668E-3</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4662.8490780663133</v>
      </c>
      <c r="C5" s="17">
        <f>IF(ISERROR('Eigen informatie GS &amp; warmtenet'!B59),0,'Eigen informatie GS &amp; warmtenet'!B59)</f>
        <v>0</v>
      </c>
      <c r="D5" s="30">
        <f>SUM(D6:D15)</f>
        <v>7294.4971592879156</v>
      </c>
      <c r="E5" s="17">
        <f>SUM(E6:E15)</f>
        <v>526.41672904955965</v>
      </c>
      <c r="F5" s="17">
        <f>SUM(F6:F15)</f>
        <v>5689.7871782178045</v>
      </c>
      <c r="G5" s="18"/>
      <c r="H5" s="17"/>
      <c r="I5" s="17"/>
      <c r="J5" s="17">
        <f>SUM(J6:J15)</f>
        <v>1.0154790081500797</v>
      </c>
      <c r="K5" s="17"/>
      <c r="L5" s="17"/>
      <c r="M5" s="17"/>
      <c r="N5" s="17">
        <f>SUM(N6:N15)</f>
        <v>1082.771575658317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55.550295248496305</v>
      </c>
      <c r="C8" s="33"/>
      <c r="D8" s="37">
        <f>IF( ISERROR(IND_metaal_Gas_kWH/1000),0,IND_metaal_Gas_kWH/1000)*0.902</f>
        <v>0</v>
      </c>
      <c r="E8" s="33">
        <f>C30*'E Balans VL '!I18/100/3.6*1000000</f>
        <v>1.5956129897654427</v>
      </c>
      <c r="F8" s="33">
        <f>C30*'E Balans VL '!L18/100/3.6*1000000+C30*'E Balans VL '!N18/100/3.6*1000000</f>
        <v>14.24758234552259</v>
      </c>
      <c r="G8" s="34"/>
      <c r="H8" s="33"/>
      <c r="I8" s="33"/>
      <c r="J8" s="40">
        <f>C30*'E Balans VL '!D18/100/3.6*1000000+C30*'E Balans VL '!E18/100/3.6*1000000</f>
        <v>0</v>
      </c>
      <c r="K8" s="33"/>
      <c r="L8" s="33"/>
      <c r="M8" s="33"/>
      <c r="N8" s="33">
        <f>C30*'E Balans VL '!Y18/100/3.6*1000000</f>
        <v>1.5083039102147113</v>
      </c>
      <c r="O8" s="33"/>
      <c r="P8" s="33"/>
      <c r="R8" s="32"/>
    </row>
    <row r="9" spans="1:18">
      <c r="A9" s="6" t="s">
        <v>32</v>
      </c>
      <c r="B9" s="37">
        <f t="shared" si="0"/>
        <v>845.34255964025704</v>
      </c>
      <c r="C9" s="33"/>
      <c r="D9" s="37">
        <f>IF( ISERROR(IND_andere_gas_kWh/1000),0,IND_andere_gas_kWh/1000)*0.902</f>
        <v>574.82980426324502</v>
      </c>
      <c r="E9" s="33">
        <f>C31*'E Balans VL '!I19/100/3.6*1000000</f>
        <v>228.81344642291316</v>
      </c>
      <c r="F9" s="33">
        <f>C31*'E Balans VL '!L19/100/3.6*1000000+C31*'E Balans VL '!N19/100/3.6*1000000</f>
        <v>563.0876006496926</v>
      </c>
      <c r="G9" s="34"/>
      <c r="H9" s="33"/>
      <c r="I9" s="33"/>
      <c r="J9" s="40">
        <f>C31*'E Balans VL '!D19/100/3.6*1000000+C31*'E Balans VL '!E19/100/3.6*1000000</f>
        <v>0</v>
      </c>
      <c r="K9" s="33"/>
      <c r="L9" s="33"/>
      <c r="M9" s="33"/>
      <c r="N9" s="33">
        <f>C31*'E Balans VL '!Y19/100/3.6*1000000</f>
        <v>71.468113662583278</v>
      </c>
      <c r="O9" s="33"/>
      <c r="P9" s="33"/>
      <c r="R9" s="32"/>
    </row>
    <row r="10" spans="1:18">
      <c r="A10" s="6" t="s">
        <v>40</v>
      </c>
      <c r="B10" s="37">
        <f t="shared" si="0"/>
        <v>3368.1956947331701</v>
      </c>
      <c r="C10" s="33"/>
      <c r="D10" s="37">
        <f>IF( ISERROR(IND_voed_gas_kWh/1000),0,IND_voed_gas_kWh/1000)*0.902</f>
        <v>683.58364982488774</v>
      </c>
      <c r="E10" s="33">
        <f>C32*'E Balans VL '!I20/100/3.6*1000000</f>
        <v>274.71777909068686</v>
      </c>
      <c r="F10" s="33">
        <f>C32*'E Balans VL '!L20/100/3.6*1000000+C32*'E Balans VL '!N20/100/3.6*1000000</f>
        <v>5022.2853703367273</v>
      </c>
      <c r="G10" s="34"/>
      <c r="H10" s="33"/>
      <c r="I10" s="33"/>
      <c r="J10" s="40">
        <f>C32*'E Balans VL '!D20/100/3.6*1000000+C32*'E Balans VL '!E20/100/3.6*1000000</f>
        <v>4.4557140600213312E-2</v>
      </c>
      <c r="K10" s="33"/>
      <c r="L10" s="33"/>
      <c r="M10" s="33"/>
      <c r="N10" s="33">
        <f>C32*'E Balans VL '!Y20/100/3.6*1000000</f>
        <v>989.45704430196679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14.947401085433599</v>
      </c>
      <c r="C13" s="33"/>
      <c r="D13" s="37">
        <f>IF( ISERROR(IND_papier_gas_kWh/1000),0,IND_papier_gas_kWh/1000)*0.902</f>
        <v>0</v>
      </c>
      <c r="E13" s="33">
        <f>C35*'E Balans VL '!I23/100/3.6*1000000</f>
        <v>0.15660125721143581</v>
      </c>
      <c r="F13" s="33">
        <f>C35*'E Balans VL '!L23/100/3.6*1000000+C35*'E Balans VL '!N23/100/3.6*1000000</f>
        <v>1.1153777183626015</v>
      </c>
      <c r="G13" s="34"/>
      <c r="H13" s="33"/>
      <c r="I13" s="33"/>
      <c r="J13" s="40">
        <f>C35*'E Balans VL '!D23/100/3.6*1000000+C35*'E Balans VL '!E23/100/3.6*1000000</f>
        <v>0</v>
      </c>
      <c r="K13" s="33"/>
      <c r="L13" s="33"/>
      <c r="M13" s="33"/>
      <c r="N13" s="33">
        <f>C35*'E Balans VL '!Y23/100/3.6*1000000</f>
        <v>2.7574723003596944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378.81312735895597</v>
      </c>
      <c r="C15" s="33"/>
      <c r="D15" s="37">
        <f>IF( ISERROR(IND_rest_gas_kWh/1000),0,IND_rest_gas_kWh/1000)*0.902</f>
        <v>6036.0837051997823</v>
      </c>
      <c r="E15" s="33">
        <f>C37*'E Balans VL '!I15/100/3.6*1000000</f>
        <v>21.13328928898278</v>
      </c>
      <c r="F15" s="33">
        <f>C37*'E Balans VL '!L15/100/3.6*1000000+C37*'E Balans VL '!N15/100/3.6*1000000</f>
        <v>89.051247167499483</v>
      </c>
      <c r="G15" s="34"/>
      <c r="H15" s="33"/>
      <c r="I15" s="33"/>
      <c r="J15" s="40">
        <f>C37*'E Balans VL '!D15/100/3.6*1000000+C37*'E Balans VL '!E15/100/3.6*1000000</f>
        <v>0.97092186754986642</v>
      </c>
      <c r="K15" s="33"/>
      <c r="L15" s="33"/>
      <c r="M15" s="33"/>
      <c r="N15" s="33">
        <f>C37*'E Balans VL '!Y15/100/3.6*1000000</f>
        <v>17.580641483192561</v>
      </c>
      <c r="O15" s="33"/>
      <c r="P15" s="33"/>
      <c r="R15" s="32"/>
    </row>
    <row r="16" spans="1:18">
      <c r="A16" s="16" t="s">
        <v>496</v>
      </c>
      <c r="B16" s="249">
        <f>'lokale energieproductie'!N39+'lokale energieproductie'!N32</f>
        <v>0</v>
      </c>
      <c r="C16" s="249">
        <f>'lokale energieproductie'!O39+'lokale energieproductie'!O32</f>
        <v>0</v>
      </c>
      <c r="D16" s="310">
        <f>('lokale energieproductie'!P32+'lokale energieproductie'!P39)*(-1)</f>
        <v>0</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4662.8490780663133</v>
      </c>
      <c r="C18" s="21">
        <f>C5+C16</f>
        <v>0</v>
      </c>
      <c r="D18" s="21">
        <f>MAX((D5+D16),0)</f>
        <v>7294.4971592879156</v>
      </c>
      <c r="E18" s="21">
        <f>MAX((E5+E16),0)</f>
        <v>526.41672904955965</v>
      </c>
      <c r="F18" s="21">
        <f>MAX((F5+F16),0)</f>
        <v>5689.7871782178045</v>
      </c>
      <c r="G18" s="21"/>
      <c r="H18" s="21"/>
      <c r="I18" s="21"/>
      <c r="J18" s="21">
        <f>MAX((J5+J16),0)</f>
        <v>1.0154790081500797</v>
      </c>
      <c r="K18" s="21"/>
      <c r="L18" s="21">
        <f>MAX((L5+L16),0)</f>
        <v>0</v>
      </c>
      <c r="M18" s="21"/>
      <c r="N18" s="21">
        <f>MAX((N5+N16),0)</f>
        <v>1082.771575658317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0.11721858292107404</v>
      </c>
      <c r="C20" s="25">
        <f ca="1">'EF ele_warmte'!B22</f>
        <v>8.8253585950156102E-2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546.5725613057698</v>
      </c>
      <c r="C22" s="23">
        <f ca="1">C18*C20</f>
        <v>0</v>
      </c>
      <c r="D22" s="23">
        <f>D18*D20</f>
        <v>1473.488426176159</v>
      </c>
      <c r="E22" s="23">
        <f>E18*E20</f>
        <v>119.49659749425004</v>
      </c>
      <c r="F22" s="23">
        <f>F18*F20</f>
        <v>1519.1731765841539</v>
      </c>
      <c r="G22" s="23"/>
      <c r="H22" s="23"/>
      <c r="I22" s="23"/>
      <c r="J22" s="23">
        <f>J18*J20</f>
        <v>0.35947956888512822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55.550295248496305</v>
      </c>
      <c r="C30" s="39">
        <f>IF(ISERROR(B30*3.6/1000000/'E Balans VL '!Z18*100),0,B30*3.6/1000000/'E Balans VL '!Z18*100)</f>
        <v>5.4660072476540311E-3</v>
      </c>
      <c r="D30" s="239" t="s">
        <v>689</v>
      </c>
    </row>
    <row r="31" spans="1:18">
      <c r="A31" s="6" t="s">
        <v>32</v>
      </c>
      <c r="B31" s="37">
        <f>IF( ISERROR(IND_ander_ele_kWh/1000),0,IND_ander_ele_kWh/1000)</f>
        <v>845.34255964025704</v>
      </c>
      <c r="C31" s="39">
        <f>IF(ISERROR(B31*3.6/1000000/'E Balans VL '!Z19*100),0,B31*3.6/1000000/'E Balans VL '!Z19*100)</f>
        <v>3.6813994149215892E-2</v>
      </c>
      <c r="D31" s="239" t="s">
        <v>689</v>
      </c>
    </row>
    <row r="32" spans="1:18">
      <c r="A32" s="173" t="s">
        <v>40</v>
      </c>
      <c r="B32" s="37">
        <f>IF( ISERROR(IND_voed_ele_kWh/1000),0,IND_voed_ele_kWh/1000)</f>
        <v>3368.1956947331701</v>
      </c>
      <c r="C32" s="39">
        <f>IF(ISERROR(B32*3.6/1000000/'E Balans VL '!Z20*100),0,B32*3.6/1000000/'E Balans VL '!Z20*100)</f>
        <v>0.63906655840940874</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14.947401085433599</v>
      </c>
      <c r="C35" s="39">
        <f>IF(ISERROR(B35*3.6/1000000/'E Balans VL '!Z22*100),0,B35*3.6/1000000/'E Balans VL '!Z22*100)</f>
        <v>2.1017546897351921E-3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378.81312735895597</v>
      </c>
      <c r="C37" s="39">
        <f>IF(ISERROR(B37*3.6/1000000/'E Balans VL '!Z15*100),0,B37*3.6/1000000/'E Balans VL '!Z15*100)</f>
        <v>2.9192204247283186E-3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1317.0294134312201</v>
      </c>
      <c r="C5" s="17">
        <f>'Eigen informatie GS &amp; warmtenet'!B60</f>
        <v>0</v>
      </c>
      <c r="D5" s="30">
        <f>IF(ISERROR(SUM(LB_lb_gas_kWh,LB_rest_gas_kWh)/1000),0,SUM(LB_lb_gas_kWh,LB_rest_gas_kWh)/1000)*0.902</f>
        <v>24329.865373005978</v>
      </c>
      <c r="E5" s="17">
        <f>B17*'E Balans VL '!I25/3.6*1000000/100</f>
        <v>16.596267288087596</v>
      </c>
      <c r="F5" s="17">
        <f>B17*('E Balans VL '!L25/3.6*1000000+'E Balans VL '!N25/3.6*1000000)/100</f>
        <v>4544.0814119202332</v>
      </c>
      <c r="G5" s="18"/>
      <c r="H5" s="17"/>
      <c r="I5" s="17"/>
      <c r="J5" s="17">
        <f>('E Balans VL '!D25+'E Balans VL '!E25)/3.6*1000000*landbouw!B17/100</f>
        <v>198.06625231807567</v>
      </c>
      <c r="K5" s="17"/>
      <c r="L5" s="17">
        <f>L6*(-1)</f>
        <v>13837.5</v>
      </c>
      <c r="M5" s="17"/>
      <c r="N5" s="17">
        <f>N6*(-1)</f>
        <v>31962.857142857149</v>
      </c>
      <c r="O5" s="17"/>
      <c r="P5" s="17"/>
      <c r="R5" s="32"/>
    </row>
    <row r="6" spans="1:18">
      <c r="A6" s="16" t="s">
        <v>496</v>
      </c>
      <c r="B6" s="17" t="s">
        <v>210</v>
      </c>
      <c r="C6" s="17">
        <f>'lokale energieproductie'!O41+'lokale energieproductie'!O34</f>
        <v>34325.357142857145</v>
      </c>
      <c r="D6" s="310">
        <f>('lokale energieproductie'!P34+'lokale energieproductie'!P41)*(-1)</f>
        <v>-20082.857142857145</v>
      </c>
      <c r="E6" s="250"/>
      <c r="F6" s="310">
        <f>('lokale energieproductie'!S34+'lokale energieproductie'!S41)*(-1)</f>
        <v>-4612.5</v>
      </c>
      <c r="G6" s="251"/>
      <c r="H6" s="250"/>
      <c r="I6" s="250"/>
      <c r="J6" s="250"/>
      <c r="K6" s="250"/>
      <c r="L6" s="310">
        <f>('lokale energieproductie'!T34+'lokale energieproductie'!U34+'lokale energieproductie'!T41+'lokale energieproductie'!U41)*(-1)</f>
        <v>-13837.5</v>
      </c>
      <c r="M6" s="250"/>
      <c r="N6" s="1030">
        <f>('lokale energieproductie'!V34+'lokale energieproductie'!R34+'lokale energieproductie'!Q34+'lokale energieproductie'!Q41+'lokale energieproductie'!R41+'lokale energieproductie'!V41)*(-1)</f>
        <v>-31962.857142857149</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1317.0294134312201</v>
      </c>
      <c r="C8" s="21">
        <f>C5+C6</f>
        <v>34325.357142857145</v>
      </c>
      <c r="D8" s="21">
        <f>MAX((D5+D6),0)</f>
        <v>4247.0082301488328</v>
      </c>
      <c r="E8" s="21">
        <f>MAX((E5+E6),0)</f>
        <v>16.596267288087596</v>
      </c>
      <c r="F8" s="21">
        <f>MAX((F5+F6),0)</f>
        <v>0</v>
      </c>
      <c r="G8" s="21"/>
      <c r="H8" s="21"/>
      <c r="I8" s="21"/>
      <c r="J8" s="21">
        <f>MAX((J5+J6),0)</f>
        <v>198.06625231807567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0.11721858292107404</v>
      </c>
      <c r="C10" s="31">
        <f ca="1">'EF ele_warmte'!B22</f>
        <v>8.8253585950156102E-2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154.38032150778096</v>
      </c>
      <c r="C12" s="23">
        <f ca="1">C8*C10</f>
        <v>3029.3358568769477</v>
      </c>
      <c r="D12" s="23">
        <f>D8*D10</f>
        <v>857.8956624900643</v>
      </c>
      <c r="E12" s="23">
        <f>E8*E10</f>
        <v>3.7673526743958843</v>
      </c>
      <c r="F12" s="23">
        <f>F8*F10</f>
        <v>0</v>
      </c>
      <c r="G12" s="23"/>
      <c r="H12" s="23"/>
      <c r="I12" s="23"/>
      <c r="J12" s="23">
        <f>J8*J10</f>
        <v>70.115453320598789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0.18368409281606651</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188.22559815607664</v>
      </c>
      <c r="C26" s="249">
        <f>B26*'GWP N2O_CH4'!B5</f>
        <v>3952.7375612776095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64.247711549866807</v>
      </c>
      <c r="C27" s="249">
        <f>B27*'GWP N2O_CH4'!B5</f>
        <v>1349.2019425472029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4.4948596557496341</v>
      </c>
      <c r="C28" s="249">
        <f>B28*'GWP N2O_CH4'!B4</f>
        <v>1393.4064932823865</v>
      </c>
      <c r="D28" s="50"/>
    </row>
    <row r="29" spans="1:4">
      <c r="A29" s="41" t="s">
        <v>276</v>
      </c>
      <c r="B29" s="249">
        <f>B34*'ha_N2O bodem landbouw'!B4</f>
        <v>9.6973841254445787</v>
      </c>
      <c r="C29" s="249">
        <f>B29*'GWP N2O_CH4'!B4</f>
        <v>3006.1890788878195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2.4213399171568589E-3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1.6754701727271501E-5</v>
      </c>
      <c r="C5" s="444" t="s">
        <v>210</v>
      </c>
      <c r="D5" s="429">
        <f>SUM(D6:D11)</f>
        <v>2.6018855384044992E-5</v>
      </c>
      <c r="E5" s="429">
        <f>SUM(E6:E11)</f>
        <v>9.26256766313054E-4</v>
      </c>
      <c r="F5" s="442" t="s">
        <v>210</v>
      </c>
      <c r="G5" s="429">
        <f>SUM(G6:G11)</f>
        <v>0.23335291410147774</v>
      </c>
      <c r="H5" s="429">
        <f>SUM(H6:H11)</f>
        <v>4.7704520151306003E-2</v>
      </c>
      <c r="I5" s="444" t="s">
        <v>210</v>
      </c>
      <c r="J5" s="444" t="s">
        <v>210</v>
      </c>
      <c r="K5" s="444" t="s">
        <v>210</v>
      </c>
      <c r="L5" s="444" t="s">
        <v>210</v>
      </c>
      <c r="M5" s="429">
        <f>SUM(M6:M11)</f>
        <v>1.2710736686873106E-2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1.5603762293553851E-5</v>
      </c>
      <c r="C6" s="883"/>
      <c r="D6" s="883">
        <f>vkm_GW_PW*SUMIFS(TableVerdeelsleutelVkm[CNG],TableVerdeelsleutelVkm[Voertuigtype],"Lichte voertuigen")*SUMIFS(TableECFTransport[EnergieConsumptieFactor (PJ per km)],TableECFTransport[Index],CONCATENATE($A6,"_CNG_CNG"))</f>
        <v>2.3124310951251646E-5</v>
      </c>
      <c r="E6" s="883">
        <f>vkm_GW_PW*SUMIFS(TableVerdeelsleutelVkm[LPG],TableVerdeelsleutelVkm[Voertuigtype],"Lichte voertuigen")*SUMIFS(TableECFTransport[EnergieConsumptieFactor (PJ per km)],TableECFTransport[Index],CONCATENATE($A6,"_LPG_LPG"))</f>
        <v>8.2822832116412055E-4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0.16668344117528866</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4.2581667530573894E-2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9.467037878199169E-3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4.7844939088803828E-2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1.1116458332146534E-6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2.1602736796253858E-3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1.15093943371765E-6</v>
      </c>
      <c r="C8" s="883"/>
      <c r="D8" s="432">
        <f>vkm_NGW_PW*SUMIFS(TableVerdeelsleutelVkm[CNG],TableVerdeelsleutelVkm[Voertuigtype],"Lichte voertuigen")*SUMIFS(TableECFTransport[EnergieConsumptieFactor (PJ per km)],TableECFTransport[Index],CONCATENATE($A8,"_CNG_CNG"))</f>
        <v>2.8945444327933465E-6</v>
      </c>
      <c r="E8" s="432">
        <f>vkm_NGW_PW*SUMIFS(TableVerdeelsleutelVkm[LPG],TableVerdeelsleutelVkm[Voertuigtype],"Lichte voertuigen")*SUMIFS(TableECFTransport[EnergieConsumptieFactor (PJ per km)],TableECFTransport[Index],CONCATENATE($A8,"_LPG_LPG"))</f>
        <v>9.8028445148933438E-5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1.8740496344295417E-2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5.1217387117088193E-3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1.0796306909028168E-3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8.4037493089822888E-5</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2.2631900806869779E-9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3.7944381457329082E-6</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4.6540838131309732</v>
      </c>
      <c r="C14" s="21"/>
      <c r="D14" s="21">
        <f t="shared" ref="D14:M14" si="0">((D5)*10^9/3600)+D12</f>
        <v>7.2274598289013872</v>
      </c>
      <c r="E14" s="21">
        <f t="shared" si="0"/>
        <v>257.29354619807054</v>
      </c>
      <c r="F14" s="21"/>
      <c r="G14" s="21">
        <f t="shared" si="0"/>
        <v>64820.253917077149</v>
      </c>
      <c r="H14" s="21">
        <f t="shared" si="0"/>
        <v>13251.255597585001</v>
      </c>
      <c r="I14" s="21"/>
      <c r="J14" s="21"/>
      <c r="K14" s="21"/>
      <c r="L14" s="21"/>
      <c r="M14" s="21">
        <f t="shared" si="0"/>
        <v>3530.7601907980852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0.11721858292107404</v>
      </c>
      <c r="C16" s="56">
        <f ca="1">'EF ele_warmte'!B22</f>
        <v>8.8253585950156102E-2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0.54554510937112144</v>
      </c>
      <c r="C18" s="23"/>
      <c r="D18" s="23">
        <f t="shared" ref="D18:M18" si="1">D14*D16</f>
        <v>1.4599468854380804</v>
      </c>
      <c r="E18" s="23">
        <f t="shared" si="1"/>
        <v>58.405634986962013</v>
      </c>
      <c r="F18" s="23"/>
      <c r="G18" s="23">
        <f t="shared" si="1"/>
        <v>17307.007795859601</v>
      </c>
      <c r="H18" s="23">
        <f t="shared" si="1"/>
        <v>3299.5626437986652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4.3360986885241934E-3</v>
      </c>
      <c r="H50" s="321">
        <f t="shared" si="2"/>
        <v>0</v>
      </c>
      <c r="I50" s="321">
        <f t="shared" si="2"/>
        <v>0</v>
      </c>
      <c r="J50" s="321">
        <f t="shared" si="2"/>
        <v>0</v>
      </c>
      <c r="K50" s="321">
        <f t="shared" si="2"/>
        <v>0</v>
      </c>
      <c r="L50" s="321">
        <f t="shared" si="2"/>
        <v>0</v>
      </c>
      <c r="M50" s="321">
        <f t="shared" si="2"/>
        <v>1.9300333984676604E-4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4.3360986885241934E-3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1.9300333984676604E-4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1204.471857923387</v>
      </c>
      <c r="H54" s="21">
        <f t="shared" si="3"/>
        <v>0</v>
      </c>
      <c r="I54" s="21">
        <f t="shared" si="3"/>
        <v>0</v>
      </c>
      <c r="J54" s="21">
        <f t="shared" si="3"/>
        <v>0</v>
      </c>
      <c r="K54" s="21">
        <f t="shared" si="3"/>
        <v>0</v>
      </c>
      <c r="L54" s="21">
        <f t="shared" si="3"/>
        <v>0</v>
      </c>
      <c r="M54" s="21">
        <f t="shared" si="3"/>
        <v>53.612038846323898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0.11721858292107404</v>
      </c>
      <c r="C56" s="56">
        <f ca="1">'EF ele_warmte'!B22</f>
        <v>8.8253585950156102E-2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321.59398606554436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4976.8669475890183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25596</v>
      </c>
      <c r="C8" s="556">
        <f>B50</f>
        <v>8578.5909388376913</v>
      </c>
      <c r="D8" s="1015"/>
      <c r="E8" s="1015">
        <f>E50</f>
        <v>1970.2749675467487</v>
      </c>
      <c r="F8" s="1016"/>
      <c r="G8" s="557"/>
      <c r="H8" s="1015">
        <f>I50</f>
        <v>0</v>
      </c>
      <c r="I8" s="1015">
        <f>G50+F50</f>
        <v>5910.8249026402464</v>
      </c>
      <c r="J8" s="1015">
        <f>H50+D50+C50</f>
        <v>13653.250367445904</v>
      </c>
      <c r="K8" s="1015"/>
      <c r="L8" s="1015"/>
      <c r="M8" s="1015"/>
      <c r="N8" s="558"/>
      <c r="O8" s="559">
        <f>C8*$C$12+D8*$D$12+E8*$E$12+F8*$F$12+G8*$G$12+H8*$H$12+I8*$I$12+J8*$J$12</f>
        <v>2258.9387859801959</v>
      </c>
      <c r="P8" s="1254"/>
      <c r="Q8" s="1255"/>
      <c r="S8" s="1027"/>
      <c r="T8" s="1275"/>
      <c r="U8" s="1275"/>
    </row>
    <row r="9" spans="1:21" s="544" customFormat="1" ht="17.45" customHeight="1" thickBot="1">
      <c r="A9" s="560" t="s">
        <v>247</v>
      </c>
      <c r="B9" s="561">
        <f>N38+'Eigen informatie GS &amp; warmtenet'!B12</f>
        <v>1341</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31913.86694758902</v>
      </c>
      <c r="C10" s="569">
        <f t="shared" ref="C10:L10" si="0">SUM(C8:C9)</f>
        <v>8578.5909388376913</v>
      </c>
      <c r="D10" s="569">
        <f t="shared" si="0"/>
        <v>0</v>
      </c>
      <c r="E10" s="569">
        <f t="shared" si="0"/>
        <v>1970.2749675467487</v>
      </c>
      <c r="F10" s="569">
        <f t="shared" si="0"/>
        <v>0</v>
      </c>
      <c r="G10" s="569">
        <f t="shared" si="0"/>
        <v>0</v>
      </c>
      <c r="H10" s="569">
        <f t="shared" si="0"/>
        <v>0</v>
      </c>
      <c r="I10" s="569">
        <f t="shared" si="0"/>
        <v>5910.8249026402464</v>
      </c>
      <c r="J10" s="569">
        <f t="shared" si="0"/>
        <v>17484.678938874476</v>
      </c>
      <c r="K10" s="569">
        <f t="shared" si="0"/>
        <v>0</v>
      </c>
      <c r="L10" s="569">
        <f t="shared" si="0"/>
        <v>0</v>
      </c>
      <c r="M10" s="1018"/>
      <c r="N10" s="1018"/>
      <c r="O10" s="570">
        <f>SUM(O4:O9)</f>
        <v>2258.9387859801959</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34325.357142857145</v>
      </c>
      <c r="C17" s="581">
        <f>B51</f>
        <v>11504.266204019454</v>
      </c>
      <c r="D17" s="582"/>
      <c r="E17" s="582">
        <f>E51</f>
        <v>2642.2250324532515</v>
      </c>
      <c r="F17" s="1021"/>
      <c r="G17" s="583"/>
      <c r="H17" s="581">
        <f>I51</f>
        <v>0</v>
      </c>
      <c r="I17" s="582">
        <f>G51+F51</f>
        <v>7926.6750973597545</v>
      </c>
      <c r="J17" s="582">
        <f>H51+D51+C51</f>
        <v>18309.606775411245</v>
      </c>
      <c r="K17" s="582"/>
      <c r="L17" s="582"/>
      <c r="M17" s="582"/>
      <c r="N17" s="1022"/>
      <c r="O17" s="584">
        <f>C17*$C$22+E17*$E$22+H17*$H$22+I17*$I$22+J17*$J$22+D17*$D$22+F17*$F$22+G17*$G$22+K17*$K$22+L17*$L$22</f>
        <v>3029.3358568769477</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34325.357142857145</v>
      </c>
      <c r="C20" s="568">
        <f>SUM(C17:C19)</f>
        <v>11504.266204019454</v>
      </c>
      <c r="D20" s="568">
        <f t="shared" ref="D20:L20" si="1">SUM(D17:D19)</f>
        <v>0</v>
      </c>
      <c r="E20" s="568">
        <f t="shared" si="1"/>
        <v>2642.2250324532515</v>
      </c>
      <c r="F20" s="568">
        <f t="shared" si="1"/>
        <v>0</v>
      </c>
      <c r="G20" s="568">
        <f t="shared" si="1"/>
        <v>0</v>
      </c>
      <c r="H20" s="568">
        <f t="shared" si="1"/>
        <v>0</v>
      </c>
      <c r="I20" s="568">
        <f t="shared" si="1"/>
        <v>7926.6750973597545</v>
      </c>
      <c r="J20" s="568">
        <f t="shared" si="1"/>
        <v>18309.606775411245</v>
      </c>
      <c r="K20" s="568">
        <f t="shared" si="1"/>
        <v>0</v>
      </c>
      <c r="L20" s="568">
        <f t="shared" si="1"/>
        <v>0</v>
      </c>
      <c r="M20" s="568"/>
      <c r="N20" s="568"/>
      <c r="O20" s="588">
        <f>SUM(O17:O19)</f>
        <v>3029.3358568769477</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87">
        <v>13013</v>
      </c>
      <c r="C28" s="787">
        <v>2230</v>
      </c>
      <c r="D28" s="640" t="s">
        <v>920</v>
      </c>
      <c r="E28" s="639" t="s">
        <v>921</v>
      </c>
      <c r="F28" s="639" t="s">
        <v>922</v>
      </c>
      <c r="G28" s="639" t="s">
        <v>923</v>
      </c>
      <c r="H28" s="639" t="s">
        <v>924</v>
      </c>
      <c r="I28" s="639" t="s">
        <v>921</v>
      </c>
      <c r="J28" s="786">
        <v>39923</v>
      </c>
      <c r="K28" s="786">
        <v>39923</v>
      </c>
      <c r="L28" s="639" t="s">
        <v>925</v>
      </c>
      <c r="M28" s="639">
        <v>1562</v>
      </c>
      <c r="N28" s="639">
        <v>7029</v>
      </c>
      <c r="O28" s="639">
        <v>10041.428571428572</v>
      </c>
      <c r="P28" s="639">
        <v>20082.857142857145</v>
      </c>
      <c r="Q28" s="639">
        <v>0</v>
      </c>
      <c r="R28" s="639">
        <v>0</v>
      </c>
      <c r="S28" s="639">
        <v>0</v>
      </c>
      <c r="T28" s="639">
        <v>0</v>
      </c>
      <c r="U28" s="639">
        <v>0</v>
      </c>
      <c r="V28" s="639">
        <v>0</v>
      </c>
      <c r="W28" s="639">
        <v>0</v>
      </c>
      <c r="X28" s="639">
        <v>10</v>
      </c>
      <c r="Y28" s="639" t="s">
        <v>111</v>
      </c>
      <c r="Z28" s="641" t="s">
        <v>111</v>
      </c>
    </row>
    <row r="29" spans="1:26" s="593" customFormat="1" ht="25.5">
      <c r="A29" s="592"/>
      <c r="B29" s="787">
        <v>13013</v>
      </c>
      <c r="C29" s="787">
        <v>2230</v>
      </c>
      <c r="D29" s="640" t="s">
        <v>926</v>
      </c>
      <c r="E29" s="639" t="s">
        <v>927</v>
      </c>
      <c r="F29" s="639" t="s">
        <v>928</v>
      </c>
      <c r="G29" s="639" t="s">
        <v>923</v>
      </c>
      <c r="H29" s="639" t="s">
        <v>924</v>
      </c>
      <c r="I29" s="639" t="s">
        <v>927</v>
      </c>
      <c r="J29" s="786">
        <v>40168</v>
      </c>
      <c r="K29" s="786">
        <v>39933</v>
      </c>
      <c r="L29" s="639" t="s">
        <v>925</v>
      </c>
      <c r="M29" s="639">
        <v>2486</v>
      </c>
      <c r="N29" s="639">
        <v>11187.000000000002</v>
      </c>
      <c r="O29" s="639">
        <v>15981.428571428574</v>
      </c>
      <c r="P29" s="639">
        <v>0</v>
      </c>
      <c r="Q29" s="639">
        <v>31962.857142857149</v>
      </c>
      <c r="R29" s="639">
        <v>0</v>
      </c>
      <c r="S29" s="639">
        <v>0</v>
      </c>
      <c r="T29" s="639">
        <v>0</v>
      </c>
      <c r="U29" s="639">
        <v>0</v>
      </c>
      <c r="V29" s="639">
        <v>0</v>
      </c>
      <c r="W29" s="639">
        <v>0</v>
      </c>
      <c r="X29" s="639">
        <v>10</v>
      </c>
      <c r="Y29" s="639" t="s">
        <v>111</v>
      </c>
      <c r="Z29" s="641" t="s">
        <v>111</v>
      </c>
    </row>
    <row r="30" spans="1:26" s="593" customFormat="1" ht="38.25">
      <c r="A30" s="592"/>
      <c r="B30" s="787">
        <v>13013</v>
      </c>
      <c r="C30" s="787">
        <v>2230</v>
      </c>
      <c r="D30" s="640" t="s">
        <v>929</v>
      </c>
      <c r="E30" s="639" t="s">
        <v>930</v>
      </c>
      <c r="F30" s="639" t="s">
        <v>931</v>
      </c>
      <c r="G30" s="639" t="s">
        <v>923</v>
      </c>
      <c r="H30" s="639" t="s">
        <v>932</v>
      </c>
      <c r="I30" s="639" t="s">
        <v>933</v>
      </c>
      <c r="J30" s="786">
        <v>40389</v>
      </c>
      <c r="K30" s="786">
        <v>40389</v>
      </c>
      <c r="L30" s="639" t="s">
        <v>925</v>
      </c>
      <c r="M30" s="639">
        <v>1640</v>
      </c>
      <c r="N30" s="639">
        <v>7380</v>
      </c>
      <c r="O30" s="639">
        <v>8302.5</v>
      </c>
      <c r="P30" s="639">
        <v>0</v>
      </c>
      <c r="Q30" s="639">
        <v>0</v>
      </c>
      <c r="R30" s="639">
        <v>0</v>
      </c>
      <c r="S30" s="639">
        <v>4612.5</v>
      </c>
      <c r="T30" s="639">
        <v>13837.5</v>
      </c>
      <c r="U30" s="639">
        <v>0</v>
      </c>
      <c r="V30" s="639">
        <v>0</v>
      </c>
      <c r="W30" s="639">
        <v>0</v>
      </c>
      <c r="X30" s="639">
        <v>10</v>
      </c>
      <c r="Y30" s="639" t="s">
        <v>111</v>
      </c>
      <c r="Z30" s="641" t="s">
        <v>111</v>
      </c>
    </row>
    <row r="31" spans="1:26" s="576" customFormat="1">
      <c r="A31" s="595" t="s">
        <v>279</v>
      </c>
      <c r="B31" s="596"/>
      <c r="C31" s="596"/>
      <c r="D31" s="596"/>
      <c r="E31" s="596"/>
      <c r="F31" s="596"/>
      <c r="G31" s="596"/>
      <c r="H31" s="596"/>
      <c r="I31" s="596"/>
      <c r="J31" s="596"/>
      <c r="K31" s="596"/>
      <c r="L31" s="597"/>
      <c r="M31" s="597">
        <f>SUM(M28:M30)</f>
        <v>5688</v>
      </c>
      <c r="N31" s="597">
        <f>SUM(N28:N30)</f>
        <v>25596</v>
      </c>
      <c r="O31" s="597">
        <f>SUM(O28:O30)</f>
        <v>34325.357142857145</v>
      </c>
      <c r="P31" s="597">
        <f>SUM(P28:P30)</f>
        <v>20082.857142857145</v>
      </c>
      <c r="Q31" s="597">
        <f>SUM(Q28:Q30)</f>
        <v>31962.857142857149</v>
      </c>
      <c r="R31" s="597">
        <f>SUM(R28:R30)</f>
        <v>0</v>
      </c>
      <c r="S31" s="597">
        <f>SUM(S28:S30)</f>
        <v>4612.5</v>
      </c>
      <c r="T31" s="597">
        <f>SUM(T28:T30)</f>
        <v>13837.5</v>
      </c>
      <c r="U31" s="597">
        <f>SUM(U28:U30)</f>
        <v>0</v>
      </c>
      <c r="V31" s="597">
        <f>SUM(V28:V30)</f>
        <v>0</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5688</v>
      </c>
      <c r="N34" s="602">
        <f>SUMIF($Z$28:$Z$30,"landbouw",N28:N30)</f>
        <v>25596</v>
      </c>
      <c r="O34" s="602">
        <f>SUMIF($Z$28:$Z$30,"landbouw",O28:O30)</f>
        <v>34325.357142857145</v>
      </c>
      <c r="P34" s="602">
        <f>SUMIF($Z$28:$Z$30,"landbouw",P28:P30)</f>
        <v>20082.857142857145</v>
      </c>
      <c r="Q34" s="602">
        <f>SUMIF($Z$28:$Z$30,"landbouw",Q28:Q30)</f>
        <v>31962.857142857149</v>
      </c>
      <c r="R34" s="602">
        <f>SUMIF($Z$28:$Z$30,"landbouw",R28:R30)</f>
        <v>0</v>
      </c>
      <c r="S34" s="602">
        <f>SUMIF($Z$28:$Z$30,"landbouw",S28:S30)</f>
        <v>4612.5</v>
      </c>
      <c r="T34" s="602">
        <f>SUMIF($Z$28:$Z$30,"landbouw",T28:T30)</f>
        <v>13837.5</v>
      </c>
      <c r="U34" s="602">
        <f>SUMIF($Z$28:$Z$30,"landbouw",U28:U30)</f>
        <v>0</v>
      </c>
      <c r="V34" s="602">
        <f>SUMIF($Z$28:$Z$30,"landbouw",V28:V30)</f>
        <v>0</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63.75">
      <c r="A37" s="594"/>
      <c r="B37" s="787">
        <v>13013</v>
      </c>
      <c r="C37" s="787">
        <v>2230</v>
      </c>
      <c r="D37" s="642" t="s">
        <v>934</v>
      </c>
      <c r="E37" s="642" t="s">
        <v>935</v>
      </c>
      <c r="F37" s="642" t="s">
        <v>936</v>
      </c>
      <c r="G37" s="642" t="s">
        <v>937</v>
      </c>
      <c r="H37" s="642" t="s">
        <v>938</v>
      </c>
      <c r="I37" s="642" t="s">
        <v>939</v>
      </c>
      <c r="J37" s="786">
        <v>38796</v>
      </c>
      <c r="K37" s="786">
        <v>39052</v>
      </c>
      <c r="L37" s="642" t="s">
        <v>940</v>
      </c>
      <c r="M37" s="642">
        <v>298</v>
      </c>
      <c r="N37" s="642">
        <v>1341</v>
      </c>
      <c r="O37" s="642">
        <v>0</v>
      </c>
      <c r="P37" s="642">
        <v>0</v>
      </c>
      <c r="Q37" s="642">
        <v>3831.4285714285716</v>
      </c>
      <c r="R37" s="642">
        <v>0</v>
      </c>
      <c r="S37" s="642">
        <v>0</v>
      </c>
      <c r="T37" s="642">
        <v>0</v>
      </c>
      <c r="U37" s="642">
        <v>0</v>
      </c>
      <c r="V37" s="642">
        <v>0</v>
      </c>
      <c r="W37" s="642">
        <v>0</v>
      </c>
      <c r="X37" s="642">
        <v>1600</v>
      </c>
      <c r="Y37" s="642" t="s">
        <v>49</v>
      </c>
      <c r="Z37" s="643" t="s">
        <v>155</v>
      </c>
    </row>
    <row r="38" spans="1:27" s="576" customFormat="1">
      <c r="A38" s="595" t="s">
        <v>279</v>
      </c>
      <c r="B38" s="596"/>
      <c r="C38" s="596"/>
      <c r="D38" s="596"/>
      <c r="E38" s="596"/>
      <c r="F38" s="596"/>
      <c r="G38" s="596"/>
      <c r="H38" s="596"/>
      <c r="I38" s="596"/>
      <c r="J38" s="596"/>
      <c r="K38" s="596"/>
      <c r="L38" s="597"/>
      <c r="M38" s="597">
        <f>SUM(M37:M37)</f>
        <v>298</v>
      </c>
      <c r="N38" s="597">
        <f>SUM(N37:N37)</f>
        <v>1341</v>
      </c>
      <c r="O38" s="597">
        <f>SUM(O37:O37)</f>
        <v>0</v>
      </c>
      <c r="P38" s="597">
        <f>SUM(P37:P37)</f>
        <v>0</v>
      </c>
      <c r="Q38" s="597">
        <f>SUM(Q37:Q37)</f>
        <v>3831.4285714285716</v>
      </c>
      <c r="R38" s="597">
        <f>SUM(R37:R37)</f>
        <v>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298</v>
      </c>
      <c r="N40" s="597">
        <f>SUMIF($Z$37:$Z$38,"tertiair",N37:N38)</f>
        <v>1341</v>
      </c>
      <c r="O40" s="597">
        <f>SUMIF($Z$37:$Z$38,"tertiair",O37:O38)</f>
        <v>0</v>
      </c>
      <c r="P40" s="597">
        <f>SUMIF($Z$37:$Z$38,"tertiair",P37:P38)</f>
        <v>0</v>
      </c>
      <c r="Q40" s="597">
        <f>SUMIF($Z$37:$Z$38,"tertiair",Q37:Q38)</f>
        <v>3831.4285714285716</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0.57284011543701929</v>
      </c>
      <c r="C47" s="622">
        <f>IF(ISERROR(N31/(O31+N31)),0,N31/(N31+O31))</f>
        <v>0.42715988456298076</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8578.5909388376913</v>
      </c>
      <c r="C50" s="631">
        <f t="shared" si="2"/>
        <v>13653.250367445904</v>
      </c>
      <c r="D50" s="631">
        <f t="shared" si="2"/>
        <v>0</v>
      </c>
      <c r="E50" s="631">
        <f t="shared" si="2"/>
        <v>1970.2749675467487</v>
      </c>
      <c r="F50" s="631">
        <f t="shared" si="2"/>
        <v>5910.8249026402464</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11504.266204019454</v>
      </c>
      <c r="C51" s="634">
        <f t="shared" si="3"/>
        <v>18309.606775411245</v>
      </c>
      <c r="D51" s="634">
        <f t="shared" si="3"/>
        <v>0</v>
      </c>
      <c r="E51" s="634">
        <f t="shared" si="3"/>
        <v>2642.2250324532515</v>
      </c>
      <c r="F51" s="634">
        <f t="shared" si="3"/>
        <v>7926.6750973597545</v>
      </c>
      <c r="G51" s="634">
        <f t="shared" si="3"/>
        <v>0</v>
      </c>
      <c r="H51" s="634">
        <f t="shared" si="3"/>
        <v>0</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2020-06-20T16:14:59Z</dcterms:modified>
</cp:coreProperties>
</file>