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V37" i="18"/>
  <c r="J9" i="18" s="1"/>
  <c r="U37" i="18"/>
  <c r="T37" i="18"/>
  <c r="I9" i="18" s="1"/>
  <c r="S37" i="18"/>
  <c r="R37" i="18"/>
  <c r="Q37" i="18"/>
  <c r="P37" i="18"/>
  <c r="C9" i="18" s="1"/>
  <c r="O37" i="18"/>
  <c r="N37" i="18"/>
  <c r="B9" i="18" s="1"/>
  <c r="M37" i="18"/>
  <c r="W33" i="18"/>
  <c r="V33" i="18"/>
  <c r="U33" i="18"/>
  <c r="T33" i="18"/>
  <c r="S33" i="18"/>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B46" i="18" s="1"/>
  <c r="N30" i="18"/>
  <c r="B8" i="18" s="1"/>
  <c r="M30" i="18"/>
  <c r="G22" i="18"/>
  <c r="F22" i="18"/>
  <c r="E22" i="18"/>
  <c r="D22" i="18"/>
  <c r="C22" i="18"/>
  <c r="L20" i="18"/>
  <c r="D20" i="18"/>
  <c r="B17" i="18"/>
  <c r="G12" i="18"/>
  <c r="F12" i="18"/>
  <c r="E12" i="18"/>
  <c r="D12" i="18"/>
  <c r="C12" i="18"/>
  <c r="L10" i="18"/>
  <c r="K10" i="18"/>
  <c r="G10" i="18"/>
  <c r="D10" i="18"/>
  <c r="B6" i="18"/>
  <c r="B5" i="18"/>
  <c r="B4" i="18"/>
  <c r="I50" i="18" l="1"/>
  <c r="H17" i="18" s="1"/>
  <c r="G50" i="18"/>
  <c r="F50" i="18"/>
  <c r="C50" i="18"/>
  <c r="B50" i="18"/>
  <c r="C17" i="18" s="1"/>
  <c r="C20" i="18" s="1"/>
  <c r="C46" i="18"/>
  <c r="B20" i="18"/>
  <c r="F20" i="18"/>
  <c r="O18" i="18"/>
  <c r="H20" i="18"/>
  <c r="G20" i="18"/>
  <c r="K20" i="18"/>
  <c r="B10" i="18"/>
  <c r="O19" i="18"/>
  <c r="O9" i="18"/>
  <c r="D50" i="18"/>
  <c r="H50" i="18"/>
  <c r="E49" i="18"/>
  <c r="E8" i="18" s="1"/>
  <c r="E10" i="18" s="1"/>
  <c r="E50" i="18"/>
  <c r="E17" i="18" s="1"/>
  <c r="E20" i="18" s="1"/>
  <c r="N6" i="17"/>
  <c r="I49" i="18" l="1"/>
  <c r="H8" i="18" s="1"/>
  <c r="H10" i="18" s="1"/>
  <c r="G49" i="18"/>
  <c r="F49" i="18"/>
  <c r="D49" i="18"/>
  <c r="C49" i="18"/>
  <c r="B49" i="18"/>
  <c r="C8" i="18" s="1"/>
  <c r="C10" i="18" s="1"/>
  <c r="H49" i="18"/>
  <c r="J8" i="18" s="1"/>
  <c r="J10" i="18" s="1"/>
  <c r="I17" i="18"/>
  <c r="I2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7" i="48" l="1"/>
  <c r="C24" i="14"/>
  <c r="C26" i="14" s="1"/>
  <c r="P11" i="14"/>
  <c r="O4" i="48"/>
  <c r="O22" i="48" s="1"/>
  <c r="P4" i="48"/>
  <c r="P22" i="48" s="1"/>
  <c r="Q11" i="14"/>
  <c r="D4" i="48"/>
  <c r="D22" i="48" s="1"/>
  <c r="E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N52" i="14"/>
  <c r="N61" i="14" s="1"/>
  <c r="J20" i="15"/>
  <c r="K40" i="14" s="1"/>
  <c r="E20" i="15"/>
  <c r="F40" i="14" s="1"/>
  <c r="F10" i="14"/>
  <c r="E5" i="48"/>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R10" i="14" l="1"/>
  <c r="N63" i="14"/>
  <c r="F13" i="14"/>
  <c r="F16" i="14" s="1"/>
  <c r="F27" i="14" s="1"/>
  <c r="E8" i="48"/>
  <c r="E26" i="48" s="1"/>
  <c r="E22" i="16"/>
  <c r="F43" i="14" s="1"/>
  <c r="F46" i="14" s="1"/>
  <c r="F61" i="14" s="1"/>
  <c r="J22" i="16"/>
  <c r="K43" i="14" s="1"/>
  <c r="K46" i="14" s="1"/>
  <c r="K61" i="14" s="1"/>
  <c r="K13" i="14"/>
  <c r="K16" i="14" s="1"/>
  <c r="K27" i="14" s="1"/>
  <c r="J8" i="48"/>
  <c r="E63" i="14"/>
  <c r="E23" i="48"/>
  <c r="E33" i="48" s="1"/>
  <c r="E15" i="48"/>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F63" i="14"/>
  <c r="J26" i="48"/>
  <c r="J33" i="48" s="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<sst xmlns="http://schemas.openxmlformats.org/spreadsheetml/2006/main" count="2465" uniqueCount="929">
  <si>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</si>
  <si>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</si>
  <si>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</si>
  <si>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</si>
  <si>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</si>
  <si>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</si>
  <si>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</si>
  <si>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</si>
  <si>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</si>
  <si>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</si>
  <si>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</si>
  <si>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</si>
  <si>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</si>
  <si>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</si>
  <si>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</si>
  <si>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</si>
  <si>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</si>
  <si>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</si>
  <si>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</si>
  <si>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</si>
  <si>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</si>
  <si>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</si>
  <si>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</si>
  <si>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</si>
  <si>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</si>
  <si>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</si>
  <si>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</si>
  <si>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</si>
  <si>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</si>
  <si>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</si>
  <si>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</si>
  <si>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</si>
  <si>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</si>
  <si>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</si>
  <si>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</si>
  <si>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</si>
  <si>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</si>
  <si>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</si>
  <si>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</si>
  <si>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</si>
  <si>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</si>
  <si>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</si>
  <si>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</si>
  <si>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</si>
  <si>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</si>
  <si>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</si>
  <si>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</si>
  <si>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</si>
  <si>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</si>
  <si>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</si>
  <si>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</si>
  <si>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</si>
  <si>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</si>
  <si>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</si>
  <si>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</si>
  <si>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</si>
  <si>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</si>
  <si>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</si>
  <si>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</si>
  <si>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</si>
  <si>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</si>
  <si>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</si>
  <si>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</si>
  <si>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</si>
  <si>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</si>
  <si>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</si>
  <si>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</si>
  <si>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</si>
  <si>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</si>
  <si>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</si>
  <si>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</si>
  <si>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</si>
  <si>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</si>
  <si>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</si>
  <si>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</si>
  <si>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</si>
  <si>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</si>
  <si>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</si>
  <si>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</si>
  <si>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</si>
  <si>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</si>
  <si>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</si>
  <si>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</si>
  <si>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</si>
  <si>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</si>
  <si>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</si>
  <si>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</si>
  <si>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</si>
  <si>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</si>
  <si>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</si>
  <si>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</si>
  <si>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</si>
  <si>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</si>
  <si>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</si>
  <si>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</si>
  <si>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</si>
  <si>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</si>
  <si>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</si>
  <si>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</si>
  <si>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</si>
  <si>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</si>
  <si>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</si>
  <si>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</si>
  <si>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</si>
  <si>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</si>
  <si>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</si>
  <si>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</si>
  <si>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</si>
  <si>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</si>
  <si>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</si>
  <si>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</si>
  <si>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</si>
  <si>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</si>
  <si>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</si>
  <si>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</si>
  <si>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</si>
  <si>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</si>
  <si>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</si>
  <si>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</si>
  <si>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</si>
  <si>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</si>
  <si>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</si>
  <si>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</si>
  <si>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</si>
  <si>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</si>
  <si>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</si>
  <si>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</si>
  <si>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</si>
  <si>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</si>
  <si>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</si>
  <si>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</si>
  <si>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</si>
  <si>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</si>
  <si>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</si>
  <si>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</si>
  <si>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</si>
  <si>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</si>
  <si>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</si>
  <si>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</si>
  <si>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</si>
  <si>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</si>
  <si>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</si>
  <si>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</si>
  <si>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</si>
  <si>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</si>
  <si>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</si>
  <si>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</si>
  <si>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</si>
  <si>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</si>
  <si>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</si>
  <si>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</si>
  <si>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</si>
  <si>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</si>
  <si>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</si>
  <si>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</si>
  <si>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</si>
  <si>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</si>
  <si>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</si>
  <si>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</si>
  <si>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</si>
  <si>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</si>
  <si>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</si>
  <si>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</si>
  <si>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</si>
  <si>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</si>
  <si>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</si>
  <si>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</si>
  <si>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</si>
  <si>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</si>
  <si>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</si>
  <si>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</si>
  <si>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</si>
  <si>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</si>
  <si>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</si>
  <si>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</si>
  <si>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</si>
  <si>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</si>
  <si>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</si>
  <si>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</si>
  <si>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</si>
  <si>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</si>
  <si>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</si>
  <si>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</si>
  <si>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</si>
  <si>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</si>
  <si>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</si>
  <si>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</si>
  <si>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</si>
  <si>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</si>
  <si>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</si>
  <si>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</si>
  <si>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</si>
  <si>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</si>
  <si>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</si>
  <si>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</si>
  <si>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</si>
  <si>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</si>
  <si>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</si>
  <si>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</si>
  <si>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</si>
  <si>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</si>
  <si>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</si>
  <si>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</si>
  <si>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</si>
  <si>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</si>
  <si>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</si>
  <si>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</si>
  <si>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</si>
  <si>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</si>
  <si>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</si>
  <si>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</si>
  <si>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</si>
  <si>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</si>
  <si>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</si>
  <si>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</si>
  <si>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</si>
  <si>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</si>
  <si>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</si>
  <si>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</si>
  <si>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</si>
  <si>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</si>
  <si>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</si>
  <si>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</si>
  <si>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</si>
  <si>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</si>
  <si>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</si>
  <si>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</si>
  <si>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</si>
  <si>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</si>
  <si>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</si>
  <si>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</si>
  <si>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</si>
  <si>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</si>
  <si>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</si>
  <si>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</si>
  <si>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</si>
  <si>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</si>
  <si>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</si>
  <si>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</si>
  <si>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</si>
  <si>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</si>
  <si>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</si>
  <si>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</si>
  <si>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</si>
  <si>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</si>
  <si>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</si>
  <si>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</si>
  <si>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</si>
  <si>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</si>
  <si>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</si>
  <si>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</si>
  <si>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</si>
  <si>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</si>
  <si>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</si>
  <si>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</si>
  <si>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</si>
  <si>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</si>
  <si>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</si>
  <si>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</si>
  <si>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</si>
  <si>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</si>
  <si>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</si>
  <si>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</si>
  <si>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</si>
  <si>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</si>
  <si>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</si>
  <si>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</si>
  <si>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</si>
  <si>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</si>
  <si>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</si>
  <si>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</si>
  <si>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</si>
  <si>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</si>
  <si>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</si>
  <si>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</si>
  <si>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</si>
  <si>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</si>
  <si>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</si>
  <si>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</si>
  <si>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</si>
  <si>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</si>
  <si>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</si>
  <si>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</si>
  <si>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</si>
  <si>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</si>
  <si>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</si>
  <si>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</si>
  <si>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</si>
  <si>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</si>
  <si>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</si>
  <si>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</si>
  <si>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</si>
  <si>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</si>
  <si>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</si>
  <si>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</si>
  <si>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</si>
  <si>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</si>
  <si>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</si>
  <si>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</si>
  <si>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</si>
  <si>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</si>
  <si>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</si>
  <si>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</si>
  <si>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</si>
  <si>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</si>
  <si>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</si>
  <si>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</si>
  <si>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</si>
  <si>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</si>
  <si>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</si>
  <si>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</si>
  <si>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</si>
  <si>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</si>
  <si>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</si>
  <si>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</si>
  <si>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</si>
  <si>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</si>
  <si>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</si>
  <si>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</si>
  <si>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</si>
  <si>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</si>
  <si>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</si>
  <si>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</si>
  <si>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</si>
  <si>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</si>
  <si>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</si>
  <si>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</si>
  <si>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</si>
  <si>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</si>
  <si>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</si>
  <si>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</si>
  <si>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</si>
  <si>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</si>
  <si>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</si>
  <si>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</si>
  <si>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</si>
  <si>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</si>
  <si>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</si>
  <si>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</si>
  <si>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</si>
  <si>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</si>
  <si>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</si>
  <si>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</si>
  <si>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</si>
  <si>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</si>
  <si>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</si>
  <si>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</si>
  <si>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</si>
  <si>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</si>
  <si>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</si>
  <si>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</si>
  <si>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</si>
  <si>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</si>
  <si>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</si>
  <si>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</si>
  <si>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</si>
  <si>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</si>
  <si>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</si>
  <si>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</si>
  <si>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</si>
  <si>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</si>
  <si>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</si>
  <si>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</si>
  <si>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</si>
  <si>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</si>
  <si>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</si>
  <si>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</si>
  <si>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</si>
  <si>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</si>
  <si>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</si>
  <si>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</si>
  <si>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</si>
  <si>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</si>
  <si>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</si>
  <si>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</si>
  <si>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</si>
  <si>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</si>
  <si>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</si>
  <si>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</si>
  <si>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</si>
  <si>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</si>
  <si>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</si>
  <si>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</si>
  <si>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</si>
  <si>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</si>
  <si>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</si>
  <si>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</si>
  <si>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</si>
  <si>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</si>
  <si>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</si>
  <si>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</si>
  <si>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</si>
  <si>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</si>
  <si>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</si>
  <si>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</si>
  <si>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</si>
  <si>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</si>
  <si>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</si>
  <si>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</si>
  <si>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</si>
  <si>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</si>
  <si>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</si>
  <si>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</si>
  <si>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</si>
  <si>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</si>
  <si>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</si>
  <si>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</si>
  <si>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</si>
  <si>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</si>
  <si>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</si>
  <si>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</si>
  <si>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</si>
  <si>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</si>
  <si>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</si>
  <si>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</si>
  <si>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</si>
  <si>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</si>
  <si>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</si>
  <si>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</si>
  <si>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</si>
  <si>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</si>
  <si>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</si>
  <si>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</si>
  <si>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</si>
  <si>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</si>
  <si>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</si>
  <si>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</si>
  <si>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</si>
  <si>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</si>
  <si>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</si>
  <si>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</si>
  <si>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</si>
  <si>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</si>
  <si>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</si>
  <si>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</si>
  <si>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</si>
  <si>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</si>
  <si>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</si>
  <si>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</si>
  <si>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</si>
  <si>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</si>
  <si>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</si>
  <si>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</si>
  <si>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</si>
  <si>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</si>
  <si>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</si>
  <si>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</si>
  <si>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</si>
  <si>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</si>
  <si>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</si>
  <si>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</si>
  <si>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</si>
  <si>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</si>
  <si>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</si>
  <si>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</si>
  <si>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</si>
  <si>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</si>
  <si>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</si>
  <si>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</si>
  <si>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</si>
  <si>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</si>
  <si>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</si>
  <si>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</si>
  <si>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</si>
  <si>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</si>
  <si>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</si>
  <si>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</si>
  <si>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</si>
  <si>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</si>
  <si>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</si>
  <si>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</si>
  <si>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</si>
  <si>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</si>
  <si>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</si>
  <si>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</si>
  <si>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</si>
  <si>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</si>
  <si>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</si>
  <si>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</si>
  <si>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</si>
  <si>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</si>
  <si>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</si>
  <si>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</si>
  <si>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</si>
  <si>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</si>
  <si>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</si>
  <si>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</si>
  <si>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</si>
  <si>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</si>
  <si>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</si>
  <si>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</si>
  <si>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</si>
  <si>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</si>
  <si>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</si>
  <si>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</si>
  <si>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</si>
  <si>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</si>
  <si>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</si>
  <si>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</si>
  <si>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</si>
  <si>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</si>
  <si>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</si>
  <si>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</si>
  <si>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</si>
  <si>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</si>
  <si>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</si>
  <si>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</si>
  <si>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</si>
  <si>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</si>
  <si>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</si>
  <si>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</si>
  <si>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</si>
  <si>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</si>
  <si>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</si>
  <si>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</si>
  <si>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</si>
  <si>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</si>
  <si>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</si>
  <si>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</si>
  <si>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</si>
  <si>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</si>
  <si>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</si>
  <si>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</si>
  <si>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</si>
  <si>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</si>
  <si>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</si>
  <si>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</si>
  <si>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</si>
  <si>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</si>
  <si>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</si>
  <si>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</si>
  <si>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</si>
  <si>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</si>
  <si>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</si>
  <si>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</si>
  <si>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</si>
  <si>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</si>
  <si>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</si>
  <si>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</si>
  <si>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</si>
  <si>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</si>
  <si>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</si>
  <si>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</si>
  <si>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</si>
  <si>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</si>
  <si>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</si>
  <si>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</si>
  <si>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</si>
  <si>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</si>
  <si>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</si>
  <si>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</si>
  <si>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</si>
  <si>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</si>
  <si>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</si>
  <si>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</si>
  <si>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</si>
  <si>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</si>
  <si>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</si>
  <si>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</si>
  <si>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</si>
  <si>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</si>
  <si>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</si>
  <si>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</si>
  <si>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</si>
  <si>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</si>
  <si>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</si>
  <si>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</si>
  <si>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</si>
  <si>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</si>
  <si>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</si>
  <si>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</si>
  <si>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</si>
  <si>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</si>
  <si>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</si>
  <si>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</si>
  <si>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</si>
  <si>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</si>
  <si>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</si>
  <si>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</si>
  <si>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</si>
  <si>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</si>
  <si>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</si>
  <si>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</si>
  <si>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</si>
  <si>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</si>
  <si>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</si>
  <si>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</si>
  <si>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</si>
  <si>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</si>
  <si>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</si>
  <si>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</si>
  <si>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</si>
  <si>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</si>
  <si>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</si>
  <si>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</si>
  <si>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</si>
  <si>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</si>
  <si>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</si>
  <si>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</si>
  <si>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</si>
  <si>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</si>
  <si>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</si>
  <si>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</si>
  <si>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</si>
  <si>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</si>
  <si>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</si>
  <si>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</si>
  <si>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</si>
  <si>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</si>
  <si>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</si>
  <si>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</si>
  <si>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</si>
  <si>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</si>
  <si>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</si>
  <si>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</si>
  <si>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</si>
  <si>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</si>
  <si>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</si>
  <si>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</si>
  <si>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</si>
  <si>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</si>
  <si>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</si>
  <si>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</si>
  <si>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</si>
  <si>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</si>
  <si>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</si>
  <si>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</si>
  <si>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</si>
  <si>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</si>
  <si>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</si>
  <si>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</si>
  <si>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</si>
  <si>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</si>
  <si>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</si>
  <si>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</si>
  <si>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</si>
  <si>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</si>
  <si>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</si>
  <si>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</si>
  <si>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</si>
  <si>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</si>
  <si>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</si>
  <si>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</si>
  <si>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</si>
  <si>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</si>
  <si>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</si>
  <si>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</si>
  <si>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</si>
  <si>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</si>
  <si>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</si>
  <si>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</si>
  <si>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</si>
  <si>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</si>
  <si>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</si>
  <si>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</si>
  <si>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</si>
  <si>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</si>
  <si>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</si>
  <si>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</si>
  <si>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</si>
  <si>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</si>
  <si>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</si>
  <si>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</si>
  <si>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</si>
  <si>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</si>
  <si>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</si>
  <si>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</si>
  <si>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</si>
  <si>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</si>
  <si>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</si>
  <si>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</si>
  <si>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</si>
  <si>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</si>
  <si>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</si>
  <si>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</si>
  <si>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</si>
  <si>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</si>
  <si>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</si>
  <si>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</si>
  <si>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</si>
  <si>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</si>
  <si>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</si>
  <si>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</si>
  <si>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</si>
  <si>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</si>
  <si>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</si>
  <si>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</si>
  <si>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</si>
  <si>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</si>
  <si>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</si>
  <si>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</si>
  <si>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</si>
  <si>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</si>
  <si>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</si>
  <si>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</si>
  <si>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</si>
  <si>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</si>
  <si>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</si>
  <si>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</si>
  <si>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</si>
  <si>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</si>
  <si>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</si>
  <si>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</si>
  <si>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</si>
  <si>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</si>
  <si>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</si>
  <si>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</si>
  <si>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</si>
  <si>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</si>
  <si>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</si>
  <si>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</si>
  <si>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</si>
  <si>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</si>
  <si>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</si>
  <si>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</si>
  <si>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</si>
  <si>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</si>
  <si>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</si>
  <si>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</si>
  <si>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</si>
  <si>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</si>
  <si>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</si>
  <si>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</si>
  <si>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</si>
  <si>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</si>
  <si>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</si>
  <si>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</si>
  <si>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</si>
  <si>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</si>
  <si>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</si>
  <si>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</si>
  <si>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</si>
  <si>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</si>
  <si>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</si>
  <si>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</si>
  <si>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</si>
  <si>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</si>
  <si>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</si>
  <si>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</si>
  <si>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</si>
  <si>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</si>
  <si>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</si>
  <si>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</si>
  <si>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</si>
  <si>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</si>
  <si>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</si>
  <si>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</si>
  <si>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</si>
  <si>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</si>
  <si>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</si>
  <si>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</si>
  <si>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</si>
  <si>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</si>
  <si>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</si>
  <si>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</si>
  <si>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</si>
  <si>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</si>
  <si>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</si>
  <si>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</si>
  <si>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</si>
  <si>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</si>
  <si>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</si>
  <si>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</si>
  <si>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</si>
  <si>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</si>
  <si>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</si>
  <si>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</si>
  <si>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</si>
  <si>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</si>
  <si>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</si>
  <si>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</si>
  <si>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</si>
  <si>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</si>
  <si>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</si>
  <si>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</si>
  <si>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</si>
  <si>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</si>
  <si>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</si>
  <si>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</si>
  <si>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</si>
  <si>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</si>
  <si>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</si>
  <si>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</si>
  <si>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</si>
  <si>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</si>
  <si>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</si>
  <si>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</si>
  <si>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</si>
  <si>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</si>
  <si>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</si>
  <si>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</si>
  <si>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</si>
  <si>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</si>
  <si>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</si>
  <si>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</si>
  <si>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</si>
  <si>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</si>
  <si>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</si>
  <si>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</si>
  <si>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</si>
  <si>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</si>
  <si>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</si>
  <si>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</si>
  <si>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</si>
  <si>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</si>
  <si>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</si>
  <si>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</si>
  <si>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</si>
  <si>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</si>
  <si>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</si>
  <si>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</si>
  <si>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</si>
  <si>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</si>
  <si>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</si>
  <si>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</si>
  <si>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</si>
  <si>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</si>
  <si>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</si>
  <si>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</si>
  <si>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</si>
  <si>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</si>
  <si>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</si>
  <si>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</si>
  <si>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</si>
  <si>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</si>
  <si>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</si>
  <si>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</si>
  <si>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</si>
  <si>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</si>
  <si>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</si>
  <si>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</si>
  <si>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</si>
  <si>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</si>
  <si>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</si>
  <si>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</si>
  <si>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</si>
  <si>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</si>
  <si>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</si>
  <si>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</si>
  <si>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</si>
  <si>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</si>
  <si>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</si>
  <si>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</si>
  <si>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</si>
  <si>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</si>
  <si>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</si>
  <si>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</si>
  <si>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</si>
  <si>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</si>
  <si>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</si>
  <si>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</si>
  <si>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</si>
  <si>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</si>
  <si>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</si>
  <si>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</si>
  <si>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</si>
  <si>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</si>
  <si>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</si>
  <si>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</si>
  <si>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</si>
  <si>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</si>
  <si>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</si>
  <si>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</si>
  <si>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</si>
  <si>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</si>
  <si>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</si>
  <si>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</si>
  <si>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</si>
  <si>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</si>
  <si>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</si>
  <si>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</si>
  <si>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</si>
  <si>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</si>
  <si>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</si>
  <si>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</si>
  <si>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</si>
  <si>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</si>
  <si>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</si>
  <si>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</si>
  <si>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</si>
  <si>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</si>
  <si>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</si>
  <si>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</si>
  <si>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</si>
  <si>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</si>
  <si>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</si>
  <si>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</si>
  <si>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</si>
  <si>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</si>
  <si>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</si>
  <si>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</si>
  <si>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</si>
  <si>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</si>
  <si>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</si>
  <si>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</si>
  <si>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</si>
  <si>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</si>
  <si>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</si>
  <si>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</si>
  <si>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</si>
  <si>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</si>
  <si>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</si>
  <si>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</si>
  <si>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</si>
  <si>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</si>
  <si>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</si>
  <si>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</si>
  <si>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</si>
  <si>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</si>
  <si>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</si>
  <si>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</si>
  <si>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</si>
  <si>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</si>
  <si>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13001</t>
  </si>
  <si>
    <t>ARENDONK</t>
  </si>
  <si>
    <t>Cultuurgrond (ha)</t>
  </si>
  <si>
    <t>Paarden&amp;pony's 200 - 600 kg</t>
  </si>
  <si>
    <t>Paarden&amp;pony's &lt; 200 kg</t>
  </si>
  <si>
    <t>Fluvius</t>
  </si>
  <si>
    <t>referentietaak LNE (2017); Jaarverslag De Lijn</t>
  </si>
  <si>
    <t>Biogas De Biezen</t>
  </si>
  <si>
    <t>De Biezen 6 , 2370 Arendonk</t>
  </si>
  <si>
    <t>WKK-0237 Biogas De Biezen</t>
  </si>
  <si>
    <t>interne verbrandingsmotor</t>
  </si>
  <si>
    <t>WKK interne verbrandinsgmotor (gas)</t>
  </si>
  <si>
    <t>IVEKA</t>
  </si>
  <si>
    <t>Arbio bvba</t>
  </si>
  <si>
    <t>Watering 20 A, 2370 Arendonk</t>
  </si>
  <si>
    <t>WKK-0531 Arbio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</si>
</sst>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134217.94314868431</c:v>
                </c:pt>
                <c:pt idx="1">
                  <c:v>71732.97467855367</c:v>
                </c:pt>
                <c:pt idx="2">
                  <c:v>805.79399999999998</c:v>
                </c:pt>
                <c:pt idx="3">
                  <c:v>52410.328270408732</c:v>
                </c:pt>
                <c:pt idx="4">
                  <c:v>38394.245693824654</c:v>
                </c:pt>
                <c:pt idx="5">
                  <c:v>89860.683938991788</c:v>
                </c:pt>
                <c:pt idx="6">
                  <c:v>791.83660575652721</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134217.94314868431</c:v>
                </c:pt>
                <c:pt idx="1">
                  <c:v>71732.97467855367</c:v>
                </c:pt>
                <c:pt idx="2">
                  <c:v>805.79399999999998</c:v>
                </c:pt>
                <c:pt idx="3">
                  <c:v>52410.328270408732</c:v>
                </c:pt>
                <c:pt idx="4">
                  <c:v>38394.245693824654</c:v>
                </c:pt>
                <c:pt idx="5">
                  <c:v>89860.683938991788</c:v>
                </c:pt>
                <c:pt idx="6">
                  <c:v>791.83660575652721</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19493.08705975781</c:v>
                </c:pt>
                <c:pt idx="2">
                  <c:v>9577.2200466876311</c:v>
                </c:pt>
                <c:pt idx="3">
                  <c:v>76.306515614951749</c:v>
                </c:pt>
                <c:pt idx="4">
                  <c:v>5848.4174473762387</c:v>
                </c:pt>
                <c:pt idx="5">
                  <c:v>6032.7114150092357</c:v>
                </c:pt>
                <c:pt idx="6">
                  <c:v>22772.505880416385</c:v>
                </c:pt>
                <c:pt idx="7">
                  <c:v>202.41089724755102</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19493.08705975781</c:v>
                </c:pt>
                <c:pt idx="2">
                  <c:v>9577.2200466876311</c:v>
                </c:pt>
                <c:pt idx="3">
                  <c:v>76.306515614951749</c:v>
                </c:pt>
                <c:pt idx="4">
                  <c:v>5848.4174473762387</c:v>
                </c:pt>
                <c:pt idx="5">
                  <c:v>6032.7114150092357</c:v>
                </c:pt>
                <c:pt idx="6">
                  <c:v>22772.505880416385</c:v>
                </c:pt>
                <c:pt idx="7">
                  <c:v>202.41089724755102</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13001</v>
      </c>
      <c r="B6" s="395"/>
      <c r="C6" s="396"/>
    </row>
    <row r="7" spans="1:7" s="393" customFormat="1" ht="15.75" customHeight="1">
      <c r="A7" s="397" t="str">
        <f>txtMunicipality</f>
        <v>ARENDONK</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9.4697299328304438E-2</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9.4697299328304438E-2</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5145</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2428</v>
      </c>
      <c r="C14" s="332"/>
      <c r="D14" s="332"/>
      <c r="E14" s="332"/>
      <c r="F14" s="332"/>
    </row>
    <row r="15" spans="1:6">
      <c r="A15" s="1306" t="s">
        <v>183</v>
      </c>
      <c r="B15" s="1307">
        <v>4207</v>
      </c>
      <c r="C15" s="332"/>
      <c r="D15" s="332"/>
      <c r="E15" s="332"/>
      <c r="F15" s="332"/>
    </row>
    <row r="16" spans="1:6">
      <c r="A16" s="1306" t="s">
        <v>6</v>
      </c>
      <c r="B16" s="1307">
        <v>1386</v>
      </c>
      <c r="C16" s="332"/>
      <c r="D16" s="332"/>
      <c r="E16" s="332"/>
      <c r="F16" s="332"/>
    </row>
    <row r="17" spans="1:6">
      <c r="A17" s="1306" t="s">
        <v>7</v>
      </c>
      <c r="B17" s="1307">
        <v>122</v>
      </c>
      <c r="C17" s="332"/>
      <c r="D17" s="332"/>
      <c r="E17" s="332"/>
      <c r="F17" s="332"/>
    </row>
    <row r="18" spans="1:6">
      <c r="A18" s="1306" t="s">
        <v>8</v>
      </c>
      <c r="B18" s="1307">
        <v>826</v>
      </c>
      <c r="C18" s="332"/>
      <c r="D18" s="332"/>
      <c r="E18" s="332"/>
      <c r="F18" s="332"/>
    </row>
    <row r="19" spans="1:6">
      <c r="A19" s="1306" t="s">
        <v>9</v>
      </c>
      <c r="B19" s="1307">
        <v>745</v>
      </c>
      <c r="C19" s="332"/>
      <c r="D19" s="332"/>
      <c r="E19" s="332"/>
      <c r="F19" s="332"/>
    </row>
    <row r="20" spans="1:6">
      <c r="A20" s="1306" t="s">
        <v>10</v>
      </c>
      <c r="B20" s="1307">
        <v>385</v>
      </c>
      <c r="C20" s="332"/>
      <c r="D20" s="332"/>
      <c r="E20" s="332"/>
      <c r="F20" s="332"/>
    </row>
    <row r="21" spans="1:6">
      <c r="A21" s="1306" t="s">
        <v>11</v>
      </c>
      <c r="B21" s="1307">
        <v>17180</v>
      </c>
      <c r="C21" s="332"/>
      <c r="D21" s="332"/>
      <c r="E21" s="332"/>
      <c r="F21" s="332"/>
    </row>
    <row r="22" spans="1:6">
      <c r="A22" s="1306" t="s">
        <v>12</v>
      </c>
      <c r="B22" s="1307">
        <v>18547</v>
      </c>
      <c r="C22" s="332"/>
      <c r="D22" s="332"/>
      <c r="E22" s="332"/>
      <c r="F22" s="332"/>
    </row>
    <row r="23" spans="1:6">
      <c r="A23" s="1306" t="s">
        <v>13</v>
      </c>
      <c r="B23" s="1307">
        <v>961</v>
      </c>
      <c r="C23" s="332"/>
      <c r="D23" s="332"/>
      <c r="E23" s="332"/>
      <c r="F23" s="332"/>
    </row>
    <row r="24" spans="1:6">
      <c r="A24" s="1306" t="s">
        <v>14</v>
      </c>
      <c r="B24" s="1307">
        <v>12</v>
      </c>
      <c r="C24" s="332"/>
      <c r="D24" s="332"/>
      <c r="E24" s="332"/>
      <c r="F24" s="332"/>
    </row>
    <row r="25" spans="1:6">
      <c r="A25" s="1306" t="s">
        <v>15</v>
      </c>
      <c r="B25" s="1307">
        <v>4310</v>
      </c>
      <c r="C25" s="332"/>
      <c r="D25" s="332"/>
      <c r="E25" s="332"/>
      <c r="F25" s="332"/>
    </row>
    <row r="26" spans="1:6">
      <c r="A26" s="1306" t="s">
        <v>16</v>
      </c>
      <c r="B26" s="1307">
        <v>8</v>
      </c>
      <c r="C26" s="332"/>
      <c r="D26" s="332"/>
      <c r="E26" s="332"/>
      <c r="F26" s="332"/>
    </row>
    <row r="27" spans="1:6">
      <c r="A27" s="1306" t="s">
        <v>17</v>
      </c>
      <c r="B27" s="1307">
        <v>1</v>
      </c>
      <c r="C27" s="332"/>
      <c r="D27" s="332"/>
      <c r="E27" s="332"/>
      <c r="F27" s="332"/>
    </row>
    <row r="28" spans="1:6" s="43" customFormat="1">
      <c r="A28" s="1308" t="s">
        <v>18</v>
      </c>
      <c r="B28" s="1309">
        <v>384468</v>
      </c>
      <c r="C28" s="338"/>
      <c r="D28" s="338"/>
      <c r="E28" s="338"/>
      <c r="F28" s="338"/>
    </row>
    <row r="29" spans="1:6">
      <c r="A29" s="1308" t="s">
        <v>916</v>
      </c>
      <c r="B29" s="1309">
        <v>59</v>
      </c>
      <c r="C29" s="338"/>
      <c r="D29" s="338"/>
      <c r="E29" s="338"/>
      <c r="F29" s="338"/>
    </row>
    <row r="30" spans="1:6">
      <c r="A30" s="1301" t="s">
        <v>917</v>
      </c>
      <c r="B30" s="1310">
        <v>12</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2</v>
      </c>
      <c r="D38" s="1307">
        <v>195929.78705406401</v>
      </c>
      <c r="E38" s="1307">
        <v>1</v>
      </c>
      <c r="F38" s="1307">
        <v>65870.005915829999</v>
      </c>
    </row>
    <row r="39" spans="1:6">
      <c r="A39" s="1306" t="s">
        <v>29</v>
      </c>
      <c r="B39" s="1306" t="s">
        <v>30</v>
      </c>
      <c r="C39" s="1307">
        <v>3581</v>
      </c>
      <c r="D39" s="1307">
        <v>73281208.620312393</v>
      </c>
      <c r="E39" s="1307">
        <v>4977</v>
      </c>
      <c r="F39" s="1307">
        <v>19094395.3022485</v>
      </c>
    </row>
    <row r="40" spans="1:6">
      <c r="A40" s="1306" t="s">
        <v>29</v>
      </c>
      <c r="B40" s="1306" t="s">
        <v>28</v>
      </c>
      <c r="C40" s="1307">
        <v>1</v>
      </c>
      <c r="D40" s="1307">
        <v>5123.3896990992998</v>
      </c>
      <c r="E40" s="1307">
        <v>1</v>
      </c>
      <c r="F40" s="1307">
        <v>1355.2970832128001</v>
      </c>
    </row>
    <row r="41" spans="1:6">
      <c r="A41" s="1306" t="s">
        <v>31</v>
      </c>
      <c r="B41" s="1306" t="s">
        <v>32</v>
      </c>
      <c r="C41" s="1307">
        <v>53</v>
      </c>
      <c r="D41" s="1307">
        <v>1548875.9125361601</v>
      </c>
      <c r="E41" s="1307">
        <v>111</v>
      </c>
      <c r="F41" s="1307">
        <v>6465723.5104238298</v>
      </c>
    </row>
    <row r="42" spans="1:6">
      <c r="A42" s="1306" t="s">
        <v>31</v>
      </c>
      <c r="B42" s="1306" t="s">
        <v>33</v>
      </c>
      <c r="C42" s="1307">
        <v>0</v>
      </c>
      <c r="D42" s="1307">
        <v>0</v>
      </c>
      <c r="E42" s="1307">
        <v>4</v>
      </c>
      <c r="F42" s="1307">
        <v>191280.66583526201</v>
      </c>
    </row>
    <row r="43" spans="1:6">
      <c r="A43" s="1306" t="s">
        <v>31</v>
      </c>
      <c r="B43" s="1306" t="s">
        <v>34</v>
      </c>
      <c r="C43" s="1307">
        <v>0</v>
      </c>
      <c r="D43" s="1307">
        <v>0</v>
      </c>
      <c r="E43" s="1307">
        <v>0</v>
      </c>
      <c r="F43" s="1307">
        <v>0</v>
      </c>
    </row>
    <row r="44" spans="1:6">
      <c r="A44" s="1306" t="s">
        <v>31</v>
      </c>
      <c r="B44" s="1306" t="s">
        <v>35</v>
      </c>
      <c r="C44" s="1307">
        <v>9</v>
      </c>
      <c r="D44" s="1307">
        <v>4436307.07376971</v>
      </c>
      <c r="E44" s="1307">
        <v>22</v>
      </c>
      <c r="F44" s="1307">
        <v>5131315.0800266704</v>
      </c>
    </row>
    <row r="45" spans="1:6">
      <c r="A45" s="1306" t="s">
        <v>31</v>
      </c>
      <c r="B45" s="1306" t="s">
        <v>36</v>
      </c>
      <c r="C45" s="1307">
        <v>3</v>
      </c>
      <c r="D45" s="1307">
        <v>173082.69667162499</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3</v>
      </c>
      <c r="F47" s="1307">
        <v>1322907.13696696</v>
      </c>
    </row>
    <row r="48" spans="1:6">
      <c r="A48" s="1306" t="s">
        <v>31</v>
      </c>
      <c r="B48" s="1306" t="s">
        <v>28</v>
      </c>
      <c r="C48" s="1307">
        <v>27</v>
      </c>
      <c r="D48" s="1307">
        <v>2974502.94016182</v>
      </c>
      <c r="E48" s="1307">
        <v>32</v>
      </c>
      <c r="F48" s="1307">
        <v>5246254.2088293601</v>
      </c>
    </row>
    <row r="49" spans="1:6">
      <c r="A49" s="1306" t="s">
        <v>31</v>
      </c>
      <c r="B49" s="1306" t="s">
        <v>39</v>
      </c>
      <c r="C49" s="1307">
        <v>0</v>
      </c>
      <c r="D49" s="1307">
        <v>0</v>
      </c>
      <c r="E49" s="1307">
        <v>0</v>
      </c>
      <c r="F49" s="1307">
        <v>0</v>
      </c>
    </row>
    <row r="50" spans="1:6">
      <c r="A50" s="1306" t="s">
        <v>31</v>
      </c>
      <c r="B50" s="1306" t="s">
        <v>40</v>
      </c>
      <c r="C50" s="1307">
        <v>6</v>
      </c>
      <c r="D50" s="1307">
        <v>445251.05338833801</v>
      </c>
      <c r="E50" s="1307">
        <v>10</v>
      </c>
      <c r="F50" s="1307">
        <v>363627.19240007101</v>
      </c>
    </row>
    <row r="51" spans="1:6">
      <c r="A51" s="1306" t="s">
        <v>41</v>
      </c>
      <c r="B51" s="1306" t="s">
        <v>42</v>
      </c>
      <c r="C51" s="1307">
        <v>0</v>
      </c>
      <c r="D51" s="1307">
        <v>0</v>
      </c>
      <c r="E51" s="1307">
        <v>58</v>
      </c>
      <c r="F51" s="1307">
        <v>4787260.27290715</v>
      </c>
    </row>
    <row r="52" spans="1:6">
      <c r="A52" s="1306" t="s">
        <v>41</v>
      </c>
      <c r="B52" s="1306" t="s">
        <v>28</v>
      </c>
      <c r="C52" s="1307">
        <v>4</v>
      </c>
      <c r="D52" s="1307">
        <v>2293362.6639278</v>
      </c>
      <c r="E52" s="1307">
        <v>11</v>
      </c>
      <c r="F52" s="1307">
        <v>278500.46869646298</v>
      </c>
    </row>
    <row r="53" spans="1:6">
      <c r="A53" s="1306" t="s">
        <v>43</v>
      </c>
      <c r="B53" s="1306" t="s">
        <v>44</v>
      </c>
      <c r="C53" s="1307">
        <v>91</v>
      </c>
      <c r="D53" s="1307">
        <v>2900675.5783053301</v>
      </c>
      <c r="E53" s="1307">
        <v>153</v>
      </c>
      <c r="F53" s="1307">
        <v>780179.19175347197</v>
      </c>
    </row>
    <row r="54" spans="1:6">
      <c r="A54" s="1306" t="s">
        <v>45</v>
      </c>
      <c r="B54" s="1306" t="s">
        <v>46</v>
      </c>
      <c r="C54" s="1307">
        <v>0</v>
      </c>
      <c r="D54" s="1307">
        <v>0</v>
      </c>
      <c r="E54" s="1307">
        <v>1</v>
      </c>
      <c r="F54" s="1307">
        <v>805794</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13</v>
      </c>
      <c r="D57" s="1307">
        <v>293210.90990371897</v>
      </c>
      <c r="E57" s="1307">
        <v>81</v>
      </c>
      <c r="F57" s="1307">
        <v>2048418.82905216</v>
      </c>
    </row>
    <row r="58" spans="1:6">
      <c r="A58" s="1306" t="s">
        <v>48</v>
      </c>
      <c r="B58" s="1306" t="s">
        <v>50</v>
      </c>
      <c r="C58" s="1307">
        <v>24</v>
      </c>
      <c r="D58" s="1307">
        <v>824188.41963530402</v>
      </c>
      <c r="E58" s="1307">
        <v>24</v>
      </c>
      <c r="F58" s="1307">
        <v>254689.229158403</v>
      </c>
    </row>
    <row r="59" spans="1:6">
      <c r="A59" s="1306" t="s">
        <v>48</v>
      </c>
      <c r="B59" s="1306" t="s">
        <v>51</v>
      </c>
      <c r="C59" s="1307">
        <v>67</v>
      </c>
      <c r="D59" s="1307">
        <v>2212901.4149544998</v>
      </c>
      <c r="E59" s="1307">
        <v>126</v>
      </c>
      <c r="F59" s="1307">
        <v>2979849.2941832799</v>
      </c>
    </row>
    <row r="60" spans="1:6">
      <c r="A60" s="1306" t="s">
        <v>48</v>
      </c>
      <c r="B60" s="1306" t="s">
        <v>52</v>
      </c>
      <c r="C60" s="1307">
        <v>42</v>
      </c>
      <c r="D60" s="1307">
        <v>1984965.8038657601</v>
      </c>
      <c r="E60" s="1307">
        <v>52</v>
      </c>
      <c r="F60" s="1307">
        <v>1238038.8974502201</v>
      </c>
    </row>
    <row r="61" spans="1:6">
      <c r="A61" s="1306" t="s">
        <v>48</v>
      </c>
      <c r="B61" s="1306" t="s">
        <v>53</v>
      </c>
      <c r="C61" s="1307">
        <v>62</v>
      </c>
      <c r="D61" s="1307">
        <v>5920608.1403054902</v>
      </c>
      <c r="E61" s="1307">
        <v>135</v>
      </c>
      <c r="F61" s="1307">
        <v>2493111.8972448302</v>
      </c>
    </row>
    <row r="62" spans="1:6">
      <c r="A62" s="1306" t="s">
        <v>48</v>
      </c>
      <c r="B62" s="1306" t="s">
        <v>54</v>
      </c>
      <c r="C62" s="1307">
        <v>0</v>
      </c>
      <c r="D62" s="1307">
        <v>0</v>
      </c>
      <c r="E62" s="1307">
        <v>0</v>
      </c>
      <c r="F62" s="1307">
        <v>0</v>
      </c>
    </row>
    <row r="63" spans="1:6">
      <c r="A63" s="1306" t="s">
        <v>48</v>
      </c>
      <c r="B63" s="1306" t="s">
        <v>28</v>
      </c>
      <c r="C63" s="1307">
        <v>81</v>
      </c>
      <c r="D63" s="1307">
        <v>5459056.6582304304</v>
      </c>
      <c r="E63" s="1307">
        <v>93</v>
      </c>
      <c r="F63" s="1307">
        <v>34214652.898158431</v>
      </c>
    </row>
    <row r="64" spans="1:6">
      <c r="A64" s="1306" t="s">
        <v>55</v>
      </c>
      <c r="B64" s="1306" t="s">
        <v>56</v>
      </c>
      <c r="C64" s="1307">
        <v>0</v>
      </c>
      <c r="D64" s="1307">
        <v>0</v>
      </c>
      <c r="E64" s="1307">
        <v>0</v>
      </c>
      <c r="F64" s="1307">
        <v>0</v>
      </c>
    </row>
    <row r="65" spans="1:6">
      <c r="A65" s="1306" t="s">
        <v>55</v>
      </c>
      <c r="B65" s="1306" t="s">
        <v>28</v>
      </c>
      <c r="C65" s="1307">
        <v>0</v>
      </c>
      <c r="D65" s="1307">
        <v>0</v>
      </c>
      <c r="E65" s="1307">
        <v>1</v>
      </c>
      <c r="F65" s="1307">
        <v>444.46326079720001</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8</v>
      </c>
      <c r="D68" s="1310">
        <v>260599.258575471</v>
      </c>
      <c r="E68" s="1310">
        <v>12</v>
      </c>
      <c r="F68" s="1310">
        <v>283905.370061083</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31848150</v>
      </c>
      <c r="E73" s="456"/>
      <c r="F73" s="332"/>
    </row>
    <row r="74" spans="1:6">
      <c r="A74" s="1306" t="s">
        <v>63</v>
      </c>
      <c r="B74" s="1306" t="s">
        <v>724</v>
      </c>
      <c r="C74" s="1320" t="s">
        <v>725</v>
      </c>
      <c r="D74" s="1321">
        <v>1656804.32863309</v>
      </c>
      <c r="E74" s="456"/>
      <c r="F74" s="332"/>
    </row>
    <row r="75" spans="1:6">
      <c r="A75" s="1306" t="s">
        <v>64</v>
      </c>
      <c r="B75" s="1306" t="s">
        <v>722</v>
      </c>
      <c r="C75" s="1320" t="s">
        <v>726</v>
      </c>
      <c r="D75" s="1321">
        <v>11601205</v>
      </c>
      <c r="E75" s="456"/>
      <c r="F75" s="332"/>
    </row>
    <row r="76" spans="1:6">
      <c r="A76" s="1306" t="s">
        <v>64</v>
      </c>
      <c r="B76" s="1306" t="s">
        <v>724</v>
      </c>
      <c r="C76" s="1320" t="s">
        <v>727</v>
      </c>
      <c r="D76" s="1321">
        <v>474726.32863309002</v>
      </c>
      <c r="E76" s="456"/>
      <c r="F76" s="332"/>
    </row>
    <row r="77" spans="1:6">
      <c r="A77" s="1306" t="s">
        <v>65</v>
      </c>
      <c r="B77" s="1306" t="s">
        <v>722</v>
      </c>
      <c r="C77" s="1320" t="s">
        <v>728</v>
      </c>
      <c r="D77" s="1321">
        <v>30867139</v>
      </c>
      <c r="E77" s="456"/>
      <c r="F77" s="332"/>
    </row>
    <row r="78" spans="1:6">
      <c r="A78" s="1301" t="s">
        <v>65</v>
      </c>
      <c r="B78" s="1301" t="s">
        <v>724</v>
      </c>
      <c r="C78" s="1301" t="s">
        <v>729</v>
      </c>
      <c r="D78" s="1322">
        <v>12386964</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209525.34273381991</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25394.132829999999</v>
      </c>
      <c r="C90" s="332"/>
      <c r="D90" s="332"/>
      <c r="E90" s="332"/>
      <c r="F90" s="332"/>
    </row>
    <row r="91" spans="1:6">
      <c r="A91" s="1306" t="s">
        <v>67</v>
      </c>
      <c r="B91" s="1307">
        <v>2838.7201142130834</v>
      </c>
      <c r="C91" s="332"/>
      <c r="D91" s="332"/>
      <c r="E91" s="332"/>
      <c r="F91" s="332"/>
    </row>
    <row r="92" spans="1:6">
      <c r="A92" s="1301" t="s">
        <v>68</v>
      </c>
      <c r="B92" s="1302">
        <v>4630.33844899833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2294</v>
      </c>
      <c r="C97" s="332"/>
      <c r="D97" s="332"/>
      <c r="E97" s="332"/>
      <c r="F97" s="332"/>
    </row>
    <row r="98" spans="1:6">
      <c r="A98" s="1306" t="s">
        <v>71</v>
      </c>
      <c r="B98" s="1307">
        <v>6</v>
      </c>
      <c r="C98" s="332"/>
      <c r="D98" s="332"/>
      <c r="E98" s="332"/>
      <c r="F98" s="332"/>
    </row>
    <row r="99" spans="1:6">
      <c r="A99" s="1306" t="s">
        <v>72</v>
      </c>
      <c r="B99" s="1307">
        <v>78</v>
      </c>
      <c r="C99" s="332"/>
      <c r="D99" s="332"/>
      <c r="E99" s="332"/>
      <c r="F99" s="332"/>
    </row>
    <row r="100" spans="1:6">
      <c r="A100" s="1306" t="s">
        <v>73</v>
      </c>
      <c r="B100" s="1307">
        <v>168</v>
      </c>
      <c r="C100" s="332"/>
      <c r="D100" s="332"/>
      <c r="E100" s="332"/>
      <c r="F100" s="332"/>
    </row>
    <row r="101" spans="1:6">
      <c r="A101" s="1306" t="s">
        <v>74</v>
      </c>
      <c r="B101" s="1307">
        <v>133</v>
      </c>
      <c r="C101" s="332"/>
      <c r="D101" s="332"/>
      <c r="E101" s="332"/>
      <c r="F101" s="332"/>
    </row>
    <row r="102" spans="1:6">
      <c r="A102" s="1306" t="s">
        <v>75</v>
      </c>
      <c r="B102" s="1307">
        <v>48</v>
      </c>
      <c r="C102" s="332"/>
      <c r="D102" s="332"/>
      <c r="E102" s="332"/>
      <c r="F102" s="332"/>
    </row>
    <row r="103" spans="1:6">
      <c r="A103" s="1306" t="s">
        <v>76</v>
      </c>
      <c r="B103" s="1307">
        <v>44</v>
      </c>
      <c r="C103" s="332"/>
      <c r="D103" s="332"/>
      <c r="E103" s="332"/>
      <c r="F103" s="332"/>
    </row>
    <row r="104" spans="1:6">
      <c r="A104" s="1306" t="s">
        <v>77</v>
      </c>
      <c r="B104" s="1307">
        <v>1624</v>
      </c>
      <c r="C104" s="332"/>
      <c r="D104" s="332"/>
      <c r="E104" s="332"/>
      <c r="F104" s="332"/>
    </row>
    <row r="105" spans="1:6">
      <c r="A105" s="1301" t="s">
        <v>78</v>
      </c>
      <c r="B105" s="1310">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1</v>
      </c>
      <c r="C121" s="1307">
        <v>0</v>
      </c>
      <c r="D121" s="332"/>
      <c r="E121" s="332"/>
      <c r="F121" s="332"/>
    </row>
    <row r="122" spans="1:6">
      <c r="A122" s="1306" t="s">
        <v>86</v>
      </c>
      <c r="B122" s="1307">
        <v>0</v>
      </c>
      <c r="C122" s="1307">
        <v>0</v>
      </c>
      <c r="D122" s="332"/>
      <c r="E122" s="332"/>
      <c r="F122" s="332"/>
    </row>
    <row r="123" spans="1:6">
      <c r="A123" s="1306" t="s">
        <v>87</v>
      </c>
      <c r="B123" s="1307">
        <v>18</v>
      </c>
      <c r="C123" s="1307">
        <v>15</v>
      </c>
      <c r="D123" s="332"/>
      <c r="E123" s="332"/>
      <c r="F123" s="332"/>
    </row>
    <row r="124" spans="1:6" s="43" customFormat="1">
      <c r="A124" s="1308" t="s">
        <v>88</v>
      </c>
      <c r="B124" s="1329">
        <v>1</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132</v>
      </c>
      <c r="C129" s="332"/>
      <c r="D129" s="332"/>
      <c r="E129" s="332"/>
      <c r="F129" s="332"/>
    </row>
    <row r="130" spans="1:6">
      <c r="A130" s="1306" t="s">
        <v>294</v>
      </c>
      <c r="B130" s="1307">
        <v>4</v>
      </c>
      <c r="C130" s="332"/>
      <c r="D130" s="332"/>
      <c r="E130" s="332"/>
      <c r="F130" s="332"/>
    </row>
    <row r="131" spans="1:6">
      <c r="A131" s="1306" t="s">
        <v>295</v>
      </c>
      <c r="B131" s="1307">
        <v>2</v>
      </c>
      <c r="C131" s="332"/>
      <c r="D131" s="332"/>
      <c r="E131" s="332"/>
      <c r="F131" s="332"/>
    </row>
    <row r="132" spans="1:6">
      <c r="A132" s="1301" t="s">
        <v>296</v>
      </c>
      <c r="B132" s="1302">
        <v>13</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90539.281718323429</v>
      </c>
      <c r="C3" s="43" t="s">
        <v>169</v>
      </c>
      <c r="D3" s="43"/>
      <c r="E3" s="156"/>
      <c r="F3" s="43"/>
      <c r="G3" s="43"/>
      <c r="H3" s="43"/>
      <c r="I3" s="43"/>
      <c r="J3" s="43"/>
      <c r="K3" s="96"/>
    </row>
    <row r="4" spans="1:11">
      <c r="A4" s="363" t="s">
        <v>170</v>
      </c>
      <c r="B4" s="49">
        <f>IF(ISERROR('SEAP template'!B78+'SEAP template'!C78),0,'SEAP template'!B78+'SEAP template'!C78)</f>
        <v>51743.691393211411</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9.4697299328304438E-2</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26972.142857142855</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805.79399999999998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805.79399999999998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9.4697299328304438E-2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76.306515614951749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19095.750599331714</v>
      </c>
      <c r="C5" s="17">
        <f>IF(ISERROR('Eigen informatie GS &amp; warmtenet'!B57),0,'Eigen informatie GS &amp; warmtenet'!B57)</f>
        <v>0</v>
      </c>
      <c r="D5" s="30">
        <f>(SUM(HH_hh_gas_kWh,HH_rest_gas_kWh)/1000)*0.902</f>
        <v>66104.271473030371</v>
      </c>
      <c r="E5" s="17">
        <f>B46*B57</f>
        <v>5031.7919562216357</v>
      </c>
      <c r="F5" s="17">
        <f>B51*B62</f>
        <v>10938.847600654995</v>
      </c>
      <c r="G5" s="18"/>
      <c r="H5" s="17"/>
      <c r="I5" s="17"/>
      <c r="J5" s="17">
        <f>B50*B61+C50*C61</f>
        <v>0</v>
      </c>
      <c r="K5" s="17"/>
      <c r="L5" s="17"/>
      <c r="M5" s="17"/>
      <c r="N5" s="17">
        <f>B48*B59+C48*C59</f>
        <v>29368.618071899185</v>
      </c>
      <c r="O5" s="17">
        <f>B69*B70*B71</f>
        <v>229.81</v>
      </c>
      <c r="P5" s="17">
        <f>B77*B78*B79/1000-B77*B78*B79/1000/B80</f>
        <v>610.13333333333333</v>
      </c>
    </row>
    <row r="6" spans="1:16">
      <c r="A6" s="16" t="s">
        <v>633</v>
      </c>
      <c r="B6" s="779">
        <f>kWh_PV_kleiner_dan_10kW</f>
        <v>2838.7201142130834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21934.470713544797</v>
      </c>
      <c r="C8" s="21">
        <f>C5</f>
        <v>0</v>
      </c>
      <c r="D8" s="21">
        <f>D5</f>
        <v>66104.271473030371</v>
      </c>
      <c r="E8" s="21">
        <f>E5</f>
        <v>5031.7919562216357</v>
      </c>
      <c r="F8" s="21">
        <f>F5</f>
        <v>10938.847600654995</v>
      </c>
      <c r="G8" s="21"/>
      <c r="H8" s="21"/>
      <c r="I8" s="21"/>
      <c r="J8" s="21">
        <f>J5</f>
        <v>0</v>
      </c>
      <c r="K8" s="21"/>
      <c r="L8" s="21">
        <f>L5</f>
        <v>0</v>
      </c>
      <c r="M8" s="21">
        <f>M5</f>
        <v>0</v>
      </c>
      <c r="N8" s="21">
        <f>N5</f>
        <v>29368.618071899185</v>
      </c>
      <c r="O8" s="21">
        <f>O5</f>
        <v>229.81</v>
      </c>
      <c r="P8" s="21">
        <f>P5</f>
        <v>610.13333333333333</v>
      </c>
    </row>
    <row r="9" spans="1:16">
      <c r="B9" s="19"/>
      <c r="C9" s="19"/>
      <c r="D9" s="261"/>
      <c r="E9" s="19"/>
      <c r="F9" s="19"/>
      <c r="G9" s="19"/>
      <c r="H9" s="19"/>
      <c r="I9" s="19"/>
      <c r="J9" s="19"/>
      <c r="K9" s="19"/>
      <c r="L9" s="19"/>
      <c r="M9" s="19"/>
      <c r="N9" s="19"/>
      <c r="O9" s="19"/>
      <c r="P9" s="19"/>
    </row>
    <row r="10" spans="1:16">
      <c r="A10" s="24" t="s">
        <v>213</v>
      </c>
      <c r="B10" s="25">
        <f ca="1">'EF ele_warmte'!B12</f>
        <v>9.4697299328304438E-2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2077.135138768479</v>
      </c>
      <c r="C12" s="23">
        <f ca="1">C10*C8</f>
        <v>0</v>
      </c>
      <c r="D12" s="23">
        <f>D8*D10</f>
        <v>13353.062837552136</v>
      </c>
      <c r="E12" s="23">
        <f>E10*E8</f>
        <v>1142.2167740623113</v>
      </c>
      <c r="F12" s="23">
        <f>F10*F8</f>
        <v>2920.6723093748838</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2294</v>
      </c>
      <c r="C18" s="168" t="s">
        <v>110</v>
      </c>
      <c r="D18" s="230"/>
      <c r="E18" s="15"/>
    </row>
    <row r="19" spans="1:7">
      <c r="A19" s="173" t="s">
        <v>71</v>
      </c>
      <c r="B19" s="37">
        <f>aantalw2001_ander</f>
        <v>6</v>
      </c>
      <c r="C19" s="168" t="s">
        <v>110</v>
      </c>
      <c r="D19" s="231"/>
      <c r="E19" s="15"/>
    </row>
    <row r="20" spans="1:7">
      <c r="A20" s="173" t="s">
        <v>72</v>
      </c>
      <c r="B20" s="37">
        <f>aantalw2001_propaan</f>
        <v>78</v>
      </c>
      <c r="C20" s="169">
        <f>IF(ISERROR(B20/SUM($B$20,$B$21,$B$22)*100),0,B20/SUM($B$20,$B$21,$B$22)*100)</f>
        <v>20.580474934036939</v>
      </c>
      <c r="D20" s="231"/>
      <c r="E20" s="15"/>
    </row>
    <row r="21" spans="1:7">
      <c r="A21" s="173" t="s">
        <v>73</v>
      </c>
      <c r="B21" s="37">
        <f>aantalw2001_elektriciteit</f>
        <v>168</v>
      </c>
      <c r="C21" s="169">
        <f>IF(ISERROR(B21/SUM($B$20,$B$21,$B$22)*100),0,B21/SUM($B$20,$B$21,$B$22)*100)</f>
        <v>44.327176781002635</v>
      </c>
      <c r="D21" s="231"/>
      <c r="E21" s="15"/>
    </row>
    <row r="22" spans="1:7">
      <c r="A22" s="173" t="s">
        <v>74</v>
      </c>
      <c r="B22" s="37">
        <f>aantalw2001_hout</f>
        <v>133</v>
      </c>
      <c r="C22" s="169">
        <f>IF(ISERROR(B22/SUM($B$20,$B$21,$B$22)*100),0,B22/SUM($B$20,$B$21,$B$22)*100)</f>
        <v>35.092348284960423</v>
      </c>
      <c r="D22" s="231"/>
      <c r="E22" s="15"/>
    </row>
    <row r="23" spans="1:7">
      <c r="A23" s="173" t="s">
        <v>75</v>
      </c>
      <c r="B23" s="37">
        <f>aantalw2001_niet_gespec</f>
        <v>48</v>
      </c>
      <c r="C23" s="168" t="s">
        <v>110</v>
      </c>
      <c r="D23" s="230"/>
      <c r="E23" s="15"/>
    </row>
    <row r="24" spans="1:7">
      <c r="A24" s="173" t="s">
        <v>76</v>
      </c>
      <c r="B24" s="37">
        <f>aantalw2001_steenkool</f>
        <v>44</v>
      </c>
      <c r="C24" s="168" t="s">
        <v>110</v>
      </c>
      <c r="D24" s="231"/>
      <c r="E24" s="15"/>
    </row>
    <row r="25" spans="1:7">
      <c r="A25" s="173" t="s">
        <v>77</v>
      </c>
      <c r="B25" s="37">
        <f>aantalw2001_stookolie</f>
        <v>1624</v>
      </c>
      <c r="C25" s="168" t="s">
        <v>110</v>
      </c>
      <c r="D25" s="230"/>
      <c r="E25" s="52"/>
    </row>
    <row r="26" spans="1:7">
      <c r="A26" s="173" t="s">
        <v>78</v>
      </c>
      <c r="B26" s="37">
        <f>aantalw2001_WP</f>
        <v>1</v>
      </c>
      <c r="C26" s="168" t="s">
        <v>110</v>
      </c>
      <c r="D26" s="230"/>
      <c r="E26" s="15"/>
    </row>
    <row r="27" spans="1:7" s="15" customFormat="1">
      <c r="A27" s="173"/>
      <c r="B27" s="29"/>
      <c r="C27" s="36"/>
      <c r="D27" s="230"/>
    </row>
    <row r="28" spans="1:7" s="15" customFormat="1">
      <c r="A28" s="232" t="s">
        <v>742</v>
      </c>
      <c r="B28" s="37">
        <f>aantalHuishoudens</f>
        <v>5145</v>
      </c>
      <c r="C28" s="36"/>
      <c r="D28" s="230"/>
    </row>
    <row r="29" spans="1:7" s="15" customFormat="1">
      <c r="A29" s="232" t="s">
        <v>743</v>
      </c>
      <c r="B29" s="37">
        <f>SUM(HH_hh_gas_aantal,HH_rest_gas_aantal)</f>
        <v>3582</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3582</v>
      </c>
      <c r="C32" s="169">
        <f>IF(ISERROR(B32/SUM($B$32,$B$34,$B$35,$B$36,$B$38,$B$39)*100),0,B32/SUM($B$32,$B$34,$B$35,$B$36,$B$38,$B$39)*100)</f>
        <v>70.056718169372189</v>
      </c>
      <c r="D32" s="235"/>
      <c r="G32" s="15"/>
    </row>
    <row r="33" spans="1:7">
      <c r="A33" s="173" t="s">
        <v>71</v>
      </c>
      <c r="B33" s="34" t="s">
        <v>110</v>
      </c>
      <c r="C33" s="169"/>
      <c r="D33" s="235"/>
      <c r="G33" s="15"/>
    </row>
    <row r="34" spans="1:7">
      <c r="A34" s="173" t="s">
        <v>72</v>
      </c>
      <c r="B34" s="33">
        <f>IF((($B$28-$B$32-$B$39-$B$77-$B$38)*C20/100)&lt;0,0,($B$28-$B$32-$B$39-$B$77-$B$38)*C20/100)</f>
        <v>219.42902374670186</v>
      </c>
      <c r="C34" s="169">
        <f>IF(ISERROR(B34/SUM($B$32,$B$34,$B$35,$B$36,$B$38,$B$39)*100),0,B34/SUM($B$32,$B$34,$B$35,$B$36,$B$38,$B$39)*100)</f>
        <v>4.2915905289791088</v>
      </c>
      <c r="D34" s="235"/>
      <c r="G34" s="15"/>
    </row>
    <row r="35" spans="1:7">
      <c r="A35" s="173" t="s">
        <v>73</v>
      </c>
      <c r="B35" s="33">
        <f>IF((($B$28-$B$32-$B$39-$B$77-$B$38)*C21/100)&lt;0,0,($B$28-$B$32-$B$39-$B$77-$B$38)*C21/100)</f>
        <v>472.61635883905006</v>
      </c>
      <c r="C35" s="169">
        <f>IF(ISERROR(B35/SUM($B$32,$B$34,$B$35,$B$36,$B$38,$B$39)*100),0,B35/SUM($B$32,$B$34,$B$35,$B$36,$B$38,$B$39)*100)</f>
        <v>9.2434257547242336</v>
      </c>
      <c r="D35" s="235"/>
      <c r="G35" s="15"/>
    </row>
    <row r="36" spans="1:7">
      <c r="A36" s="173" t="s">
        <v>74</v>
      </c>
      <c r="B36" s="33">
        <f>IF((($B$28-$B$32-$B$39-$B$77-$B$38)*C22/100)&lt;0,0,($B$28-$B$32-$B$39-$B$77-$B$38)*C22/100)</f>
        <v>374.15461741424804</v>
      </c>
      <c r="C36" s="169">
        <f>IF(ISERROR(B36/SUM($B$32,$B$34,$B$35,$B$36,$B$38,$B$39)*100),0,B36/SUM($B$32,$B$34,$B$35,$B$36,$B$38,$B$39)*100)</f>
        <v>7.3177120558233524</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464.79999999999995</v>
      </c>
      <c r="C39" s="169">
        <f>IF(ISERROR(B39/SUM($B$32,$B$34,$B$35,$B$36,$B$38,$B$39)*100),0,B39/SUM($B$32,$B$34,$B$35,$B$36,$B$38,$B$39)*100)</f>
        <v>9.0905534911011134</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3582</v>
      </c>
      <c r="C44" s="34" t="s">
        <v>110</v>
      </c>
      <c r="D44" s="176"/>
    </row>
    <row r="45" spans="1:7">
      <c r="A45" s="173" t="s">
        <v>71</v>
      </c>
      <c r="B45" s="33" t="str">
        <f t="shared" si="0"/>
        <v>-</v>
      </c>
      <c r="C45" s="34" t="s">
        <v>110</v>
      </c>
      <c r="D45" s="176"/>
    </row>
    <row r="46" spans="1:7">
      <c r="A46" s="173" t="s">
        <v>72</v>
      </c>
      <c r="B46" s="33">
        <f t="shared" si="0"/>
        <v>219.42902374670186</v>
      </c>
      <c r="C46" s="34" t="s">
        <v>110</v>
      </c>
      <c r="D46" s="176"/>
    </row>
    <row r="47" spans="1:7">
      <c r="A47" s="173" t="s">
        <v>73</v>
      </c>
      <c r="B47" s="33">
        <f t="shared" si="0"/>
        <v>472.61635883905006</v>
      </c>
      <c r="C47" s="34" t="s">
        <v>110</v>
      </c>
      <c r="D47" s="176"/>
    </row>
    <row r="48" spans="1:7">
      <c r="A48" s="173" t="s">
        <v>74</v>
      </c>
      <c r="B48" s="33">
        <f t="shared" si="0"/>
        <v>374.15461741424804</v>
      </c>
      <c r="C48" s="33">
        <f>B48*10</f>
        <v>3741.5461741424806</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464.79999999999995</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147</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32</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43228.761045247331</v>
      </c>
      <c r="C5" s="17">
        <f>IF(ISERROR('Eigen informatie GS &amp; warmtenet'!B58),0,'Eigen informatie GS &amp; warmtenet'!B58)</f>
        <v>0</v>
      </c>
      <c r="D5" s="30">
        <f>SUM(D6:D12)</f>
        <v>15058.828074899473</v>
      </c>
      <c r="E5" s="17">
        <f>SUM(E6:E12)</f>
        <v>547.07423830713583</v>
      </c>
      <c r="F5" s="17">
        <f>SUM(F6:F12)</f>
        <v>8679.7902590587437</v>
      </c>
      <c r="G5" s="18"/>
      <c r="H5" s="17"/>
      <c r="I5" s="17"/>
      <c r="J5" s="17">
        <f>SUM(J6:J12)</f>
        <v>0</v>
      </c>
      <c r="K5" s="17"/>
      <c r="L5" s="17"/>
      <c r="M5" s="17"/>
      <c r="N5" s="17">
        <f>SUM(N6:N12)</f>
        <v>4155.0677277076666</v>
      </c>
      <c r="O5" s="17">
        <f>B38*B39*B40</f>
        <v>6.2533333333333339</v>
      </c>
      <c r="P5" s="17">
        <f>B46*B47*B48/1000-B46*B47*B48/1000/B49</f>
        <v>57.2</v>
      </c>
      <c r="R5" s="32"/>
    </row>
    <row r="6" spans="1:18">
      <c r="A6" s="32" t="s">
        <v>53</v>
      </c>
      <c r="B6" s="37">
        <f>B26</f>
        <v>2493.1118972448303</v>
      </c>
      <c r="C6" s="33"/>
      <c r="D6" s="37">
        <f>IF(ISERROR(TER_kantoor_gas_kWh/1000),0,TER_kantoor_gas_kWh/1000)*0.902</f>
        <v>5340.3885425555527</v>
      </c>
      <c r="E6" s="33">
        <f>$C$26*'E Balans VL '!I12/100/3.6*1000000</f>
        <v>9.6862675433383103</v>
      </c>
      <c r="F6" s="33">
        <f>$C$26*('E Balans VL '!L12+'E Balans VL '!N12)/100/3.6*1000000</f>
        <v>379.17963406131952</v>
      </c>
      <c r="G6" s="34"/>
      <c r="H6" s="33"/>
      <c r="I6" s="33"/>
      <c r="J6" s="33">
        <f>$C$26*('E Balans VL '!D12+'E Balans VL '!E12)/100/3.6*1000000</f>
        <v>0</v>
      </c>
      <c r="K6" s="33"/>
      <c r="L6" s="33"/>
      <c r="M6" s="33"/>
      <c r="N6" s="33">
        <f>$C$26*'E Balans VL '!Y12/100/3.6*1000000</f>
        <v>1.3740033228319248</v>
      </c>
      <c r="O6" s="33"/>
      <c r="P6" s="33"/>
      <c r="R6" s="32"/>
    </row>
    <row r="7" spans="1:18">
      <c r="A7" s="32" t="s">
        <v>52</v>
      </c>
      <c r="B7" s="37">
        <f t="shared" ref="B7:B12" si="0">B27</f>
        <v>1238.03889745022</v>
      </c>
      <c r="C7" s="33"/>
      <c r="D7" s="37">
        <f>IF(ISERROR(TER_horeca_gas_kWh/1000),0,TER_horeca_gas_kWh/1000)*0.902</f>
        <v>1790.4391550869157</v>
      </c>
      <c r="E7" s="33">
        <f>$C$27*'E Balans VL '!I9/100/3.6*1000000</f>
        <v>69.739062090131725</v>
      </c>
      <c r="F7" s="33">
        <f>$C$27*('E Balans VL '!L9+'E Balans VL '!N9)/100/3.6*1000000</f>
        <v>356.97629814893605</v>
      </c>
      <c r="G7" s="34"/>
      <c r="H7" s="33"/>
      <c r="I7" s="33"/>
      <c r="J7" s="33">
        <f>$C$27*('E Balans VL '!D9+'E Balans VL '!E9)/100/3.6*1000000</f>
        <v>0</v>
      </c>
      <c r="K7" s="33"/>
      <c r="L7" s="33"/>
      <c r="M7" s="33"/>
      <c r="N7" s="33">
        <f>$C$27*'E Balans VL '!Y9/100/3.6*1000000</f>
        <v>0.3418161061305906</v>
      </c>
      <c r="O7" s="33"/>
      <c r="P7" s="33"/>
      <c r="R7" s="32"/>
    </row>
    <row r="8" spans="1:18">
      <c r="A8" s="6" t="s">
        <v>51</v>
      </c>
      <c r="B8" s="37">
        <f t="shared" si="0"/>
        <v>2979.8492941832797</v>
      </c>
      <c r="C8" s="33"/>
      <c r="D8" s="37">
        <f>IF(ISERROR(TER_handel_gas_kWh/1000),0,TER_handel_gas_kWh/1000)*0.902</f>
        <v>1996.0370762889588</v>
      </c>
      <c r="E8" s="33">
        <f>$C$28*'E Balans VL '!I13/100/3.6*1000000</f>
        <v>42.949737952174651</v>
      </c>
      <c r="F8" s="33">
        <f>$C$28*('E Balans VL '!L13+'E Balans VL '!N13)/100/3.6*1000000</f>
        <v>517.66921840693431</v>
      </c>
      <c r="G8" s="34"/>
      <c r="H8" s="33"/>
      <c r="I8" s="33"/>
      <c r="J8" s="33">
        <f>$C$28*('E Balans VL '!D13+'E Balans VL '!E13)/100/3.6*1000000</f>
        <v>0</v>
      </c>
      <c r="K8" s="33"/>
      <c r="L8" s="33"/>
      <c r="M8" s="33"/>
      <c r="N8" s="33">
        <f>$C$28*'E Balans VL '!Y13/100/3.6*1000000</f>
        <v>8.9279602090300934</v>
      </c>
      <c r="O8" s="33"/>
      <c r="P8" s="33"/>
      <c r="R8" s="32"/>
    </row>
    <row r="9" spans="1:18">
      <c r="A9" s="32" t="s">
        <v>50</v>
      </c>
      <c r="B9" s="37">
        <f t="shared" si="0"/>
        <v>254.68922915840301</v>
      </c>
      <c r="C9" s="33"/>
      <c r="D9" s="37">
        <f>IF(ISERROR(TER_gezond_gas_kWh/1000),0,TER_gezond_gas_kWh/1000)*0.902</f>
        <v>743.41795451104429</v>
      </c>
      <c r="E9" s="33">
        <f>$C$29*'E Balans VL '!I10/100/3.6*1000000</f>
        <v>0.27207410976512081</v>
      </c>
      <c r="F9" s="33">
        <f>$C$29*('E Balans VL '!L10+'E Balans VL '!N10)/100/3.6*1000000</f>
        <v>41.547553571866125</v>
      </c>
      <c r="G9" s="34"/>
      <c r="H9" s="33"/>
      <c r="I9" s="33"/>
      <c r="J9" s="33">
        <f>$C$29*('E Balans VL '!D10+'E Balans VL '!E10)/100/3.6*1000000</f>
        <v>0</v>
      </c>
      <c r="K9" s="33"/>
      <c r="L9" s="33"/>
      <c r="M9" s="33"/>
      <c r="N9" s="33">
        <f>$C$29*'E Balans VL '!Y10/100/3.6*1000000</f>
        <v>2.621880291410835</v>
      </c>
      <c r="O9" s="33"/>
      <c r="P9" s="33"/>
      <c r="R9" s="32"/>
    </row>
    <row r="10" spans="1:18">
      <c r="A10" s="32" t="s">
        <v>49</v>
      </c>
      <c r="B10" s="37">
        <f t="shared" si="0"/>
        <v>2048.4188290521602</v>
      </c>
      <c r="C10" s="33"/>
      <c r="D10" s="37">
        <f>IF(ISERROR(TER_ander_gas_kWh/1000),0,TER_ander_gas_kWh/1000)*0.902</f>
        <v>264.4762407331545</v>
      </c>
      <c r="E10" s="33">
        <f>$C$30*'E Balans VL '!I14/100/3.6*1000000</f>
        <v>9.4203666071767014</v>
      </c>
      <c r="F10" s="33">
        <f>$C$30*('E Balans VL '!L14+'E Balans VL '!N14)/100/3.6*1000000</f>
        <v>613.97573600410146</v>
      </c>
      <c r="G10" s="34"/>
      <c r="H10" s="33"/>
      <c r="I10" s="33"/>
      <c r="J10" s="33">
        <f>$C$30*('E Balans VL '!D14+'E Balans VL '!E14)/100/3.6*1000000</f>
        <v>0</v>
      </c>
      <c r="K10" s="33"/>
      <c r="L10" s="33"/>
      <c r="M10" s="33"/>
      <c r="N10" s="33">
        <f>$C$30*'E Balans VL '!Y14/100/3.6*1000000</f>
        <v>1425.8347227217989</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34214.652898158434</v>
      </c>
      <c r="C12" s="33"/>
      <c r="D12" s="37">
        <f>IF(ISERROR(TER_rest_gas_kWh/1000),0,TER_rest_gas_kWh/1000)*0.902</f>
        <v>4924.0691057238482</v>
      </c>
      <c r="E12" s="33">
        <f>$C$32*'E Balans VL '!I8/100/3.6*1000000</f>
        <v>415.0067300045493</v>
      </c>
      <c r="F12" s="33">
        <f>$C$32*('E Balans VL '!L8+'E Balans VL '!N8)/100/3.6*1000000</f>
        <v>6770.4418188655873</v>
      </c>
      <c r="G12" s="34"/>
      <c r="H12" s="33"/>
      <c r="I12" s="33"/>
      <c r="J12" s="33">
        <f>$C$32*('E Balans VL '!D8+'E Balans VL '!E8)/100/3.6*1000000</f>
        <v>0</v>
      </c>
      <c r="K12" s="33"/>
      <c r="L12" s="33"/>
      <c r="M12" s="33"/>
      <c r="N12" s="33">
        <f>$C$32*'E Balans VL '!Y8/100/3.6*1000000</f>
        <v>2715.9673450564646</v>
      </c>
      <c r="O12" s="33"/>
      <c r="P12" s="33"/>
      <c r="R12" s="32"/>
    </row>
    <row r="13" spans="1:18">
      <c r="A13" s="16" t="s">
        <v>496</v>
      </c>
      <c r="B13" s="249">
        <f ca="1">'lokale energieproductie'!N39+'lokale energieproductie'!N32</f>
        <v>0</v>
      </c>
      <c r="C13" s="249">
        <f ca="1">'lokale energieproductie'!O39+'lokale energieproductie'!O32</f>
        <v>0</v>
      </c>
      <c r="D13" s="310">
        <f ca="1">('lokale energieproductie'!P32+'lokale energieproductie'!P39)*(-1)</f>
        <v>0</v>
      </c>
      <c r="E13" s="250"/>
      <c r="F13" s="310">
        <f ca="1">('lokale energieproductie'!S32+'lokale energieproductie'!S39)*(-1)</f>
        <v>0</v>
      </c>
      <c r="G13" s="251"/>
      <c r="H13" s="250"/>
      <c r="I13" s="250"/>
      <c r="J13" s="250"/>
      <c r="K13" s="250"/>
      <c r="L13" s="310">
        <f ca="1">('lokale energieproductie'!U32+'lokale energieproductie'!T32+'lokale energieproductie'!U39+'lokale energieproductie'!T39)*(-1)</f>
        <v>0</v>
      </c>
      <c r="M13" s="250"/>
      <c r="N13" s="310">
        <f ca="1">('lokale energieproductie'!Q32+'lokale energieproductie'!R32+'lokale energieproductie'!V32+'lokale energieproductie'!Q39+'lokale energieproductie'!R39+'lokale energieproductie'!V39)*(-1)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43228.761045247331</v>
      </c>
      <c r="C16" s="21">
        <f t="shared" ca="1" si="1"/>
        <v>0</v>
      </c>
      <c r="D16" s="21">
        <f t="shared" ca="1" si="1"/>
        <v>15058.828074899473</v>
      </c>
      <c r="E16" s="21">
        <f t="shared" si="1"/>
        <v>547.07423830713583</v>
      </c>
      <c r="F16" s="21">
        <f t="shared" ca="1" si="1"/>
        <v>8679.7902590587437</v>
      </c>
      <c r="G16" s="21">
        <f t="shared" si="1"/>
        <v>0</v>
      </c>
      <c r="H16" s="21">
        <f t="shared" si="1"/>
        <v>0</v>
      </c>
      <c r="I16" s="21">
        <f t="shared" si="1"/>
        <v>0</v>
      </c>
      <c r="J16" s="21">
        <f t="shared" si="1"/>
        <v>0</v>
      </c>
      <c r="K16" s="21">
        <f t="shared" si="1"/>
        <v>0</v>
      </c>
      <c r="L16" s="21">
        <f t="shared" ca="1" si="1"/>
        <v>0</v>
      </c>
      <c r="M16" s="21">
        <f t="shared" si="1"/>
        <v>0</v>
      </c>
      <c r="N16" s="21">
        <f t="shared" ca="1" si="1"/>
        <v>4155.0677277076666</v>
      </c>
      <c r="O16" s="21">
        <f>O5</f>
        <v>6.2533333333333339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9.4697299328304438E-2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4093.6469242935332</v>
      </c>
      <c r="C20" s="23">
        <f t="shared" ref="C20:P20" ca="1" si="2">C16*C18</f>
        <v>0</v>
      </c>
      <c r="D20" s="23">
        <f t="shared" ca="1" si="2"/>
        <v>3041.8832711296936</v>
      </c>
      <c r="E20" s="23">
        <f t="shared" si="2"/>
        <v>124.18585209571984</v>
      </c>
      <c r="F20" s="23">
        <f t="shared" ca="1" si="2"/>
        <v>2317.5039991686849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2493.1118972448303</v>
      </c>
      <c r="C26" s="39">
        <f>IF(ISERROR(B26*3.6/1000000/'E Balans VL '!Z12*100),0,B26*3.6/1000000/'E Balans VL '!Z12*100)</f>
        <v>5.2954931624575756E-2</v>
      </c>
      <c r="D26" s="239" t="s">
        <v>689</v>
      </c>
      <c r="F26" s="6"/>
    </row>
    <row r="27" spans="1:18">
      <c r="A27" s="233" t="s">
        <v>52</v>
      </c>
      <c r="B27" s="33">
        <f>IF(ISERROR(TER_horeca_ele_kWh/1000),0,TER_horeca_ele_kWh/1000)</f>
        <v>1238.03889745022</v>
      </c>
      <c r="C27" s="39">
        <f>IF(ISERROR(B27*3.6/1000000/'E Balans VL '!Z9*100),0,B27*3.6/1000000/'E Balans VL '!Z9*100)</f>
        <v>9.6265064030573319E-2</v>
      </c>
      <c r="D27" s="239" t="s">
        <v>689</v>
      </c>
      <c r="F27" s="6"/>
    </row>
    <row r="28" spans="1:18">
      <c r="A28" s="173" t="s">
        <v>51</v>
      </c>
      <c r="B28" s="33">
        <f>IF(ISERROR(TER_handel_ele_kWh/1000),0,TER_handel_ele_kWh/1000)</f>
        <v>2979.8492941832797</v>
      </c>
      <c r="C28" s="39">
        <f>IF(ISERROR(B28*3.6/1000000/'E Balans VL '!Z13*100),0,B28*3.6/1000000/'E Balans VL '!Z13*100)</f>
        <v>8.5256995238386687E-2</v>
      </c>
      <c r="D28" s="239" t="s">
        <v>689</v>
      </c>
      <c r="F28" s="6"/>
    </row>
    <row r="29" spans="1:18">
      <c r="A29" s="233" t="s">
        <v>50</v>
      </c>
      <c r="B29" s="33">
        <f>IF(ISERROR(TER_gezond_ele_kWh/1000),0,TER_gezond_ele_kWh/1000)</f>
        <v>254.68922915840301</v>
      </c>
      <c r="C29" s="39">
        <f>IF(ISERROR(B29*3.6/1000000/'E Balans VL '!Z10*100),0,B29*3.6/1000000/'E Balans VL '!Z10*100)</f>
        <v>2.7767044246162897E-2</v>
      </c>
      <c r="D29" s="239" t="s">
        <v>689</v>
      </c>
      <c r="F29" s="6"/>
    </row>
    <row r="30" spans="1:18">
      <c r="A30" s="233" t="s">
        <v>49</v>
      </c>
      <c r="B30" s="33">
        <f>IF(ISERROR(TER_ander_ele_kWh/1000),0,TER_ander_ele_kWh/1000)</f>
        <v>2048.4188290521602</v>
      </c>
      <c r="C30" s="39">
        <f>IF(ISERROR(B30*3.6/1000000/'E Balans VL '!Z14*100),0,B30*3.6/1000000/'E Balans VL '!Z14*100)</f>
        <v>0.14989864318207613</v>
      </c>
      <c r="D30" s="239" t="s">
        <v>689</v>
      </c>
      <c r="F30" s="6"/>
    </row>
    <row r="31" spans="1:18">
      <c r="A31" s="233" t="s">
        <v>54</v>
      </c>
      <c r="B31" s="33">
        <f>IF(ISERROR(TER_onderwijs_ele_kWh/1000),0,TER_onderwijs_ele_kWh/1000)</f>
        <v>0</v>
      </c>
      <c r="C31" s="39">
        <f>IF(ISERROR(B31*3.6/1000000/'E Balans VL '!Z11*100),0,B31*3.6/1000000/'E Balans VL '!Z11*100)</f>
        <v>0</v>
      </c>
      <c r="D31" s="239" t="s">
        <v>689</v>
      </c>
    </row>
    <row r="32" spans="1:18">
      <c r="A32" s="233" t="s">
        <v>259</v>
      </c>
      <c r="B32" s="33">
        <f>IF(ISERROR(TER_rest_ele_kWh/1000),0,TER_rest_ele_kWh/1000)</f>
        <v>34214.652898158434</v>
      </c>
      <c r="C32" s="39">
        <f>IF(ISERROR(B32*3.6/1000000/'E Balans VL '!Z8*100),0,B32*3.6/1000000/'E Balans VL '!Z8*100)</f>
        <v>0.27882865730214018</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4</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3</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18721.107794482152</v>
      </c>
      <c r="C5" s="17">
        <f>IF(ISERROR('Eigen informatie GS &amp; warmtenet'!B59),0,'Eigen informatie GS &amp; warmtenet'!B59)</f>
        <v>0</v>
      </c>
      <c r="D5" s="30">
        <f>SUM(D6:D15)</f>
        <v>8639.373748227943</v>
      </c>
      <c r="E5" s="17">
        <f>SUM(E6:E15)</f>
        <v>2234.6042670395095</v>
      </c>
      <c r="F5" s="17">
        <f>SUM(F6:F15)</f>
        <v>7500.7589666225822</v>
      </c>
      <c r="G5" s="18"/>
      <c r="H5" s="17"/>
      <c r="I5" s="17"/>
      <c r="J5" s="17">
        <f>SUM(J6:J15)</f>
        <v>13.45128980074152</v>
      </c>
      <c r="K5" s="17"/>
      <c r="L5" s="17"/>
      <c r="M5" s="17"/>
      <c r="N5" s="17">
        <f>SUM(N6:N15)</f>
        <v>1284.9496276517252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5131.3150800266703</v>
      </c>
      <c r="C8" s="33"/>
      <c r="D8" s="37">
        <f>IF( ISERROR(IND_metaal_Gas_kWH/1000),0,IND_metaal_Gas_kWH/1000)*0.902</f>
        <v>4001.5489805402785</v>
      </c>
      <c r="E8" s="33">
        <f>C30*'E Balans VL '!I18/100/3.6*1000000</f>
        <v>147.39062969231449</v>
      </c>
      <c r="F8" s="33">
        <f>C30*'E Balans VL '!L18/100/3.6*1000000+C30*'E Balans VL '!N18/100/3.6*1000000</f>
        <v>1316.0836286550757</v>
      </c>
      <c r="G8" s="34"/>
      <c r="H8" s="33"/>
      <c r="I8" s="33"/>
      <c r="J8" s="40">
        <f>C30*'E Balans VL '!D18/100/3.6*1000000+C30*'E Balans VL '!E18/100/3.6*1000000</f>
        <v>0</v>
      </c>
      <c r="K8" s="33"/>
      <c r="L8" s="33"/>
      <c r="M8" s="33"/>
      <c r="N8" s="33">
        <f>C30*'E Balans VL '!Y18/100/3.6*1000000</f>
        <v>139.32567892080544</v>
      </c>
      <c r="O8" s="33"/>
      <c r="P8" s="33"/>
      <c r="R8" s="32"/>
    </row>
    <row r="9" spans="1:18">
      <c r="A9" s="6" t="s">
        <v>32</v>
      </c>
      <c r="B9" s="37">
        <f t="shared" si="0"/>
        <v>6465.7235104238298</v>
      </c>
      <c r="C9" s="33"/>
      <c r="D9" s="37">
        <f>IF( ISERROR(IND_andere_gas_kWh/1000),0,IND_andere_gas_kWh/1000)*0.902</f>
        <v>1397.0860731076164</v>
      </c>
      <c r="E9" s="33">
        <f>C31*'E Balans VL '!I19/100/3.6*1000000</f>
        <v>1750.1123812662684</v>
      </c>
      <c r="F9" s="33">
        <f>C31*'E Balans VL '!L19/100/3.6*1000000+C31*'E Balans VL '!N19/100/3.6*1000000</f>
        <v>4306.8560744158231</v>
      </c>
      <c r="G9" s="34"/>
      <c r="H9" s="33"/>
      <c r="I9" s="33"/>
      <c r="J9" s="40">
        <f>C31*'E Balans VL '!D19/100/3.6*1000000+C31*'E Balans VL '!E19/100/3.6*1000000</f>
        <v>0</v>
      </c>
      <c r="K9" s="33"/>
      <c r="L9" s="33"/>
      <c r="M9" s="33"/>
      <c r="N9" s="33">
        <f>C31*'E Balans VL '!Y19/100/3.6*1000000</f>
        <v>546.63409227905777</v>
      </c>
      <c r="O9" s="33"/>
      <c r="P9" s="33"/>
      <c r="R9" s="32"/>
    </row>
    <row r="10" spans="1:18">
      <c r="A10" s="6" t="s">
        <v>40</v>
      </c>
      <c r="B10" s="37">
        <f t="shared" si="0"/>
        <v>363.62719240007101</v>
      </c>
      <c r="C10" s="33"/>
      <c r="D10" s="37">
        <f>IF( ISERROR(IND_voed_gas_kWh/1000),0,IND_voed_gas_kWh/1000)*0.902</f>
        <v>401.61645015628091</v>
      </c>
      <c r="E10" s="33">
        <f>C32*'E Balans VL '!I20/100/3.6*1000000</f>
        <v>29.658269223885789</v>
      </c>
      <c r="F10" s="33">
        <f>C32*'E Balans VL '!L20/100/3.6*1000000+C32*'E Balans VL '!N20/100/3.6*1000000</f>
        <v>542.20113501812762</v>
      </c>
      <c r="G10" s="34"/>
      <c r="H10" s="33"/>
      <c r="I10" s="33"/>
      <c r="J10" s="40">
        <f>C32*'E Balans VL '!D20/100/3.6*1000000+C32*'E Balans VL '!E20/100/3.6*1000000</f>
        <v>4.8103463712533268E-3</v>
      </c>
      <c r="K10" s="33"/>
      <c r="L10" s="33"/>
      <c r="M10" s="33"/>
      <c r="N10" s="33">
        <f>C32*'E Balans VL '!Y20/100/3.6*1000000</f>
        <v>106.82083810706253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156.12059239780575</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1322.90713696696</v>
      </c>
      <c r="C13" s="33"/>
      <c r="D13" s="37">
        <f>IF( ISERROR(IND_papier_gas_kWh/1000),0,IND_papier_gas_kWh/1000)*0.902</f>
        <v>0</v>
      </c>
      <c r="E13" s="33">
        <f>C35*'E Balans VL '!I23/100/3.6*1000000</f>
        <v>13.859862302410239</v>
      </c>
      <c r="F13" s="33">
        <f>C35*'E Balans VL '!L23/100/3.6*1000000+C35*'E Balans VL '!N23/100/3.6*1000000</f>
        <v>98.715565040516609</v>
      </c>
      <c r="G13" s="34"/>
      <c r="H13" s="33"/>
      <c r="I13" s="33"/>
      <c r="J13" s="40">
        <f>C35*'E Balans VL '!D23/100/3.6*1000000+C35*'E Balans VL '!E23/100/3.6*1000000</f>
        <v>0</v>
      </c>
      <c r="K13" s="33"/>
      <c r="L13" s="33"/>
      <c r="M13" s="33"/>
      <c r="N13" s="33">
        <f>C35*'E Balans VL '!Y23/100/3.6*1000000</f>
        <v>244.04776223536527</v>
      </c>
      <c r="O13" s="33"/>
      <c r="P13" s="33"/>
      <c r="R13" s="32"/>
    </row>
    <row r="14" spans="1:18">
      <c r="A14" s="6" t="s">
        <v>33</v>
      </c>
      <c r="B14" s="37">
        <f t="shared" si="0"/>
        <v>191.28066583526203</v>
      </c>
      <c r="C14" s="33"/>
      <c r="D14" s="37">
        <f>IF( ISERROR(IND_chemie_gas_kWh/1000),0,IND_chemie_gas_kWh/1000)*0.902</f>
        <v>0</v>
      </c>
      <c r="E14" s="33">
        <f>C36*'E Balans VL '!I24/100/3.6*1000000</f>
        <v>0.90422862588574082</v>
      </c>
      <c r="F14" s="33">
        <f>C36*'E Balans VL '!L24/100/3.6*1000000+C36*'E Balans VL '!N24/100/3.6*1000000</f>
        <v>3.6151019122745836</v>
      </c>
      <c r="G14" s="34"/>
      <c r="H14" s="33"/>
      <c r="I14" s="33"/>
      <c r="J14" s="40">
        <f>C36*'E Balans VL '!D24/100/3.6*1000000+C36*'E Balans VL '!E24/100/3.6*1000000</f>
        <v>0</v>
      </c>
      <c r="K14" s="33"/>
      <c r="L14" s="33"/>
      <c r="M14" s="33"/>
      <c r="N14" s="33">
        <f>C36*'E Balans VL '!Y24/100/3.6*1000000</f>
        <v>4.6436474580281244</v>
      </c>
      <c r="O14" s="33"/>
      <c r="P14" s="33"/>
      <c r="R14" s="32"/>
    </row>
    <row r="15" spans="1:18">
      <c r="A15" s="6" t="s">
        <v>269</v>
      </c>
      <c r="B15" s="37">
        <f t="shared" si="0"/>
        <v>5246.2542088293603</v>
      </c>
      <c r="C15" s="33"/>
      <c r="D15" s="37">
        <f>IF( ISERROR(IND_rest_gas_kWh/1000),0,IND_rest_gas_kWh/1000)*0.902</f>
        <v>2683.0016520259614</v>
      </c>
      <c r="E15" s="33">
        <f>C37*'E Balans VL '!I15/100/3.6*1000000</f>
        <v>292.67889592874513</v>
      </c>
      <c r="F15" s="33">
        <f>C37*'E Balans VL '!L15/100/3.6*1000000+C37*'E Balans VL '!N15/100/3.6*1000000</f>
        <v>1233.2874615807648</v>
      </c>
      <c r="G15" s="34"/>
      <c r="H15" s="33"/>
      <c r="I15" s="33"/>
      <c r="J15" s="40">
        <f>C37*'E Balans VL '!D15/100/3.6*1000000+C37*'E Balans VL '!E15/100/3.6*1000000</f>
        <v>13.446479454370268</v>
      </c>
      <c r="K15" s="33"/>
      <c r="L15" s="33"/>
      <c r="M15" s="33"/>
      <c r="N15" s="33">
        <f>C37*'E Balans VL '!Y15/100/3.6*1000000</f>
        <v>243.47760865140586</v>
      </c>
      <c r="O15" s="33"/>
      <c r="P15" s="33"/>
      <c r="R15" s="32"/>
    </row>
    <row r="16" spans="1:18">
      <c r="A16" s="16" t="s">
        <v>496</v>
      </c>
      <c r="B16" s="249">
        <f>'lokale energieproductie'!N38+'lokale energieproductie'!N31</f>
        <v>0</v>
      </c>
      <c r="C16" s="249">
        <f>'lokale energieproductie'!O38+'lokale energieproductie'!O31</f>
        <v>0</v>
      </c>
      <c r="D16" s="310">
        <f>('lokale energieproductie'!P31+'lokale energieproductie'!P38)*(-1)</f>
        <v>0</v>
      </c>
      <c r="E16" s="250"/>
      <c r="F16" s="310">
        <f>('lokale energieproductie'!S31+'lokale energieproductie'!S38)*(-1)</f>
        <v>0</v>
      </c>
      <c r="G16" s="251"/>
      <c r="H16" s="250"/>
      <c r="I16" s="250"/>
      <c r="J16" s="250"/>
      <c r="K16" s="250"/>
      <c r="L16" s="310">
        <f>('lokale energieproductie'!T31+'lokale energieproductie'!U31+'lokale energieproductie'!T38+'lokale energieproductie'!U38)*(-1)</f>
        <v>0</v>
      </c>
      <c r="M16" s="250"/>
      <c r="N16" s="310">
        <f>('lokale energieproductie'!Q31+'lokale energieproductie'!R31+'lokale energieproductie'!V31+'lokale energieproductie'!Q38+'lokale energieproductie'!R38+'lokale energieproductie'!V38)*(-1)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18721.107794482152</v>
      </c>
      <c r="C18" s="21">
        <f>C5+C16</f>
        <v>0</v>
      </c>
      <c r="D18" s="21">
        <f>MAX((D5+D16),0)</f>
        <v>8639.373748227943</v>
      </c>
      <c r="E18" s="21">
        <f>MAX((E5+E16),0)</f>
        <v>2234.6042670395095</v>
      </c>
      <c r="F18" s="21">
        <f>MAX((F5+F16),0)</f>
        <v>7500.7589666225822</v>
      </c>
      <c r="G18" s="21"/>
      <c r="H18" s="21"/>
      <c r="I18" s="21"/>
      <c r="J18" s="21">
        <f>MAX((J5+J16),0)</f>
        <v>13.45128980074152</v>
      </c>
      <c r="K18" s="21"/>
      <c r="L18" s="21">
        <f>MAX((L5+L16),0)</f>
        <v>0</v>
      </c>
      <c r="M18" s="21"/>
      <c r="N18" s="21">
        <f>MAX((N5+N16),0)</f>
        <v>1284.9496276517252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9.4697299328304438E-2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1772.8383485715297</v>
      </c>
      <c r="C22" s="23">
        <f ca="1">C18*C20</f>
        <v>0</v>
      </c>
      <c r="D22" s="23">
        <f>D18*D20</f>
        <v>1745.1534971420447</v>
      </c>
      <c r="E22" s="23">
        <f>E18*E20</f>
        <v>507.25516861796865</v>
      </c>
      <c r="F22" s="23">
        <f>F18*F20</f>
        <v>2002.7026440882296</v>
      </c>
      <c r="G22" s="23"/>
      <c r="H22" s="23"/>
      <c r="I22" s="23"/>
      <c r="J22" s="23">
        <f>J18*J20</f>
        <v>4.7617565894624976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5131.3150800266703</v>
      </c>
      <c r="C30" s="39">
        <f>IF(ISERROR(B30*3.6/1000000/'E Balans VL '!Z18*100),0,B30*3.6/1000000/'E Balans VL '!Z18*100)</f>
        <v>0.50490830502258099</v>
      </c>
      <c r="D30" s="239" t="s">
        <v>689</v>
      </c>
    </row>
    <row r="31" spans="1:18">
      <c r="A31" s="6" t="s">
        <v>32</v>
      </c>
      <c r="B31" s="37">
        <f>IF( ISERROR(IND_ander_ele_kWh/1000),0,IND_ander_ele_kWh/1000)</f>
        <v>6465.7235104238298</v>
      </c>
      <c r="C31" s="39">
        <f>IF(ISERROR(B31*3.6/1000000/'E Balans VL '!Z19*100),0,B31*3.6/1000000/'E Balans VL '!Z19*100)</f>
        <v>0.28157710122211976</v>
      </c>
      <c r="D31" s="239" t="s">
        <v>689</v>
      </c>
    </row>
    <row r="32" spans="1:18">
      <c r="A32" s="173" t="s">
        <v>40</v>
      </c>
      <c r="B32" s="37">
        <f>IF( ISERROR(IND_voed_ele_kWh/1000),0,IND_voed_ele_kWh/1000)</f>
        <v>363.62719240007101</v>
      </c>
      <c r="C32" s="39">
        <f>IF(ISERROR(B32*3.6/1000000/'E Balans VL '!Z20*100),0,B32*3.6/1000000/'E Balans VL '!Z20*100)</f>
        <v>6.8993015683311926E-2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1322.90713696696</v>
      </c>
      <c r="C35" s="39">
        <f>IF(ISERROR(B35*3.6/1000000/'E Balans VL '!Z22*100),0,B35*3.6/1000000/'E Balans VL '!Z22*100)</f>
        <v>0.18601402767695976</v>
      </c>
      <c r="D35" s="239" t="s">
        <v>689</v>
      </c>
    </row>
    <row r="36" spans="1:5">
      <c r="A36" s="173" t="s">
        <v>33</v>
      </c>
      <c r="B36" s="37">
        <f>IF( ISERROR(IND_chemie_ele_kWh/1000),0,IND_chemie_ele_kWh/1000)</f>
        <v>191.28066583526203</v>
      </c>
      <c r="C36" s="39">
        <f>IF(ISERROR(B36*3.6/1000000/'E Balans VL '!Z24*100),0,B36*3.6/1000000/'E Balans VL '!Z24*100)</f>
        <v>5.5744838257957095E-3</v>
      </c>
      <c r="D36" s="239" t="s">
        <v>689</v>
      </c>
    </row>
    <row r="37" spans="1:5">
      <c r="A37" s="173" t="s">
        <v>269</v>
      </c>
      <c r="B37" s="37">
        <f>IF( ISERROR(IND_rest_ele_kWh/1000),0,IND_rest_ele_kWh/1000)</f>
        <v>5246.2542088293603</v>
      </c>
      <c r="C37" s="39">
        <f>IF(ISERROR(B37*3.6/1000000/'E Balans VL '!Z15*100),0,B37*3.6/1000000/'E Balans VL '!Z15*100)</f>
        <v>4.0428832407435035E-2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5065.7607416036126</v>
      </c>
      <c r="C5" s="17">
        <f>'Eigen informatie GS &amp; warmtenet'!B60</f>
        <v>0</v>
      </c>
      <c r="D5" s="30">
        <f>IF(ISERROR(SUM(LB_lb_gas_kWh,LB_rest_gas_kWh)/1000),0,SUM(LB_lb_gas_kWh,LB_rest_gas_kWh)/1000)*0.902</f>
        <v>2068.6131228628756</v>
      </c>
      <c r="E5" s="17">
        <f>B17*'E Balans VL '!I25/3.6*1000000/100</f>
        <v>63.835111370916231</v>
      </c>
      <c r="F5" s="17">
        <f>B17*('E Balans VL '!L25/3.6*1000000+'E Balans VL '!N25/3.6*1000000)/100</f>
        <v>17478.14360742702</v>
      </c>
      <c r="G5" s="18"/>
      <c r="H5" s="17"/>
      <c r="I5" s="17"/>
      <c r="J5" s="17">
        <f>('E Balans VL '!D25+'E Balans VL '!E25)/3.6*1000000*landbouw!B17/100</f>
        <v>761.83283000145559</v>
      </c>
      <c r="K5" s="17"/>
      <c r="L5" s="17">
        <f>L6*(-1)</f>
        <v>0</v>
      </c>
      <c r="M5" s="17"/>
      <c r="N5" s="17">
        <f>N6*(-1)</f>
        <v>53944.285714285717</v>
      </c>
      <c r="O5" s="17"/>
      <c r="P5" s="17"/>
      <c r="R5" s="32"/>
    </row>
    <row r="6" spans="1:18">
      <c r="A6" s="16" t="s">
        <v>496</v>
      </c>
      <c r="B6" s="17" t="s">
        <v>210</v>
      </c>
      <c r="C6" s="17">
        <f>'lokale energieproductie'!O40+'lokale energieproductie'!O33</f>
        <v>26972.142857142855</v>
      </c>
      <c r="D6" s="310">
        <f>('lokale energieproductie'!P33+'lokale energieproductie'!P40)*(-1)</f>
        <v>0</v>
      </c>
      <c r="E6" s="250"/>
      <c r="F6" s="310">
        <f>('lokale energieproductie'!S33+'lokale energieproductie'!S40)*(-1)</f>
        <v>0</v>
      </c>
      <c r="G6" s="251"/>
      <c r="H6" s="250"/>
      <c r="I6" s="250"/>
      <c r="J6" s="250"/>
      <c r="K6" s="250"/>
      <c r="L6" s="310">
        <f>('lokale energieproductie'!T33+'lokale energieproductie'!U33+'lokale energieproductie'!T40+'lokale energieproductie'!U40)*(-1)</f>
        <v>0</v>
      </c>
      <c r="M6" s="250"/>
      <c r="N6" s="1030">
        <f>('lokale energieproductie'!V33+'lokale energieproductie'!R33+'lokale energieproductie'!Q33+'lokale energieproductie'!Q40+'lokale energieproductie'!R40+'lokale energieproductie'!V40)*(-1)</f>
        <v>-53944.285714285717</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5065.7607416036126</v>
      </c>
      <c r="C8" s="21">
        <f>C5+C6</f>
        <v>26972.142857142855</v>
      </c>
      <c r="D8" s="21">
        <f>MAX((D5+D6),0)</f>
        <v>2068.6131228628756</v>
      </c>
      <c r="E8" s="21">
        <f>MAX((E5+E6),0)</f>
        <v>63.835111370916231</v>
      </c>
      <c r="F8" s="21">
        <f>MAX((F5+F6),0)</f>
        <v>17478.14360742702</v>
      </c>
      <c r="G8" s="21"/>
      <c r="H8" s="21"/>
      <c r="I8" s="21"/>
      <c r="J8" s="21">
        <f>MAX((J5+J6),0)</f>
        <v>761.83283000145559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9.4697299328304438E-2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479.7138612732108</v>
      </c>
      <c r="C12" s="23">
        <f ca="1">C8*C10</f>
        <v>0</v>
      </c>
      <c r="D12" s="23">
        <f>D8*D10</f>
        <v>417.85985081830091</v>
      </c>
      <c r="E12" s="23">
        <f>E8*E10</f>
        <v>14.490570281197984</v>
      </c>
      <c r="F12" s="23">
        <f>F8*F10</f>
        <v>4666.6643431830144</v>
      </c>
      <c r="G12" s="23"/>
      <c r="H12" s="23"/>
      <c r="I12" s="23"/>
      <c r="J12" s="23">
        <f>J8*J10</f>
        <v>269.68882182051527</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0.70651395994300481</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370.87492848084082</v>
      </c>
      <c r="C26" s="249">
        <f>B26*'GWP N2O_CH4'!B5</f>
        <v>7788.3734980976569</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264.01001250589707</v>
      </c>
      <c r="C27" s="249">
        <f>B27*'GWP N2O_CH4'!B5</f>
        <v>5544.2102626238384</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8.7627321679614667</v>
      </c>
      <c r="C28" s="249">
        <f>B28*'GWP N2O_CH4'!B4</f>
        <v>2716.4469720680545</v>
      </c>
      <c r="D28" s="50"/>
    </row>
    <row r="29" spans="1:4">
      <c r="A29" s="41" t="s">
        <v>276</v>
      </c>
      <c r="B29" s="249">
        <f>B34*'ha_N2O bodem landbouw'!B4</f>
        <v>14.46268344998737</v>
      </c>
      <c r="C29" s="249">
        <f>B29*'GWP N2O_CH4'!B4</f>
        <v>4483.4318694960848</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3.6111875422953649E-3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1.15496340914563E-5</v>
      </c>
      <c r="C5" s="444" t="s">
        <v>210</v>
      </c>
      <c r="D5" s="429">
        <f>SUM(D6:D11)</f>
        <v>1.8965667753519958E-5</v>
      </c>
      <c r="E5" s="429">
        <f>SUM(E6:E11)</f>
        <v>7.3356960207256617E-4</v>
      </c>
      <c r="F5" s="442" t="s">
        <v>210</v>
      </c>
      <c r="G5" s="429">
        <f>SUM(G6:G11)</f>
        <v>0.27355408226975436</v>
      </c>
      <c r="H5" s="429">
        <f>SUM(H6:H11)</f>
        <v>3.5223438231972659E-2</v>
      </c>
      <c r="I5" s="444" t="s">
        <v>210</v>
      </c>
      <c r="J5" s="444" t="s">
        <v>210</v>
      </c>
      <c r="K5" s="444" t="s">
        <v>210</v>
      </c>
      <c r="L5" s="444" t="s">
        <v>210</v>
      </c>
      <c r="M5" s="429">
        <f>SUM(M6:M11)</f>
        <v>1.3956856774725857E-2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4.9495671713174998E-6</v>
      </c>
      <c r="C6" s="883"/>
      <c r="D6" s="883">
        <f>vkm_GW_PW*SUMIFS(TableVerdeelsleutelVkm[CNG],TableVerdeelsleutelVkm[Voertuigtype],"Lichte voertuigen")*SUMIFS(TableECFTransport[EnergieConsumptieFactor (PJ per km)],TableECFTransport[Index],CONCATENATE($A6,"_CNG_CNG"))</f>
        <v>7.3351111219462843E-6</v>
      </c>
      <c r="E6" s="883">
        <f>vkm_GW_PW*SUMIFS(TableVerdeelsleutelVkm[LPG],TableVerdeelsleutelVkm[Voertuigtype],"Lichte voertuigen")*SUMIFS(TableECFTransport[EnergieConsumptieFactor (PJ per km)],TableECFTransport[Index],CONCATENATE($A6,"_LPG_LPG"))</f>
        <v>2.6271687761373101E-4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5.2872561945157603E-2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1.3507051680501012E-2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3.0029770391280268E-3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1.5686945904582975E-2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3.6447591705209359E-7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7.0829009288691884E-4</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1.8029600907972499E-6</v>
      </c>
      <c r="C8" s="883"/>
      <c r="D8" s="432">
        <f>vkm_NGW_PW*SUMIFS(TableVerdeelsleutelVkm[CNG],TableVerdeelsleutelVkm[Voertuigtype],"Lichte voertuigen")*SUMIFS(TableECFTransport[EnergieConsumptieFactor (PJ per km)],TableECFTransport[Index],CONCATENATE($A8,"_CNG_CNG"))</f>
        <v>4.5343377248867783E-6</v>
      </c>
      <c r="E8" s="432">
        <f>vkm_NGW_PW*SUMIFS(TableVerdeelsleutelVkm[LPG],TableVerdeelsleutelVkm[Voertuigtype],"Lichte voertuigen")*SUMIFS(TableECFTransport[EnergieConsumptieFactor (PJ per km)],TableECFTransport[Index],CONCATENATE($A8,"_LPG_LPG"))</f>
        <v>1.5356270641934814E-4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2.935720681787448E-2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8.0232636246328256E-3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1.6912541107485988E-3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5.8058372352558082E-3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1.5635536898833669E-7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2.6214359166835965E-4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4.7971068293415502E-6</v>
      </c>
      <c r="C10" s="883"/>
      <c r="D10" s="432">
        <f>vkm_SW_PW*SUMIFS(TableVerdeelsleutelVkm[CNG],TableVerdeelsleutelVkm[Voertuigtype],"Lichte voertuigen")*SUMIFS(TableECFTransport[EnergieConsumptieFactor (PJ per km)],TableECFTransport[Index],CONCATENATE($A10,"_CNG_CNG"))</f>
        <v>7.0962189066868943E-6</v>
      </c>
      <c r="E10" s="432">
        <f>vkm_SW_PW*SUMIFS(TableVerdeelsleutelVkm[LPG],TableVerdeelsleutelVkm[Voertuigtype],"Lichte voertuigen")*SUMIFS(TableECFTransport[EnergieConsumptieFactor (PJ per km)],TableECFTransport[Index],CONCATENATE($A10,"_LPG_LPG"))</f>
        <v>3.1729001803948708E-4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5.788710770007513E-2</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1.3689827719158242E-2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3.2377186202607062E-3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0.11194442266680837</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2.7743763945406122E-6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5.0544733200332467E-3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3.2082316920711946</v>
      </c>
      <c r="C14" s="21"/>
      <c r="D14" s="21">
        <f t="shared" ref="D14:M14" si="0">((D5)*10^9/3600)+D12</f>
        <v>5.2682410426444326</v>
      </c>
      <c r="E14" s="21">
        <f t="shared" si="0"/>
        <v>203.76933390904617</v>
      </c>
      <c r="F14" s="21"/>
      <c r="G14" s="21">
        <f t="shared" si="0"/>
        <v>75987.245074931765</v>
      </c>
      <c r="H14" s="21">
        <f t="shared" si="0"/>
        <v>9784.2883977701822</v>
      </c>
      <c r="I14" s="21"/>
      <c r="J14" s="21"/>
      <c r="K14" s="21"/>
      <c r="L14" s="21"/>
      <c r="M14" s="21">
        <f t="shared" si="0"/>
        <v>3876.9046596460712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9.4697299328304438E-2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0.30381087685861857</v>
      </c>
      <c r="C18" s="23"/>
      <c r="D18" s="23">
        <f t="shared" ref="D18:M18" si="1">D14*D16</f>
        <v>1.0641846906141754</v>
      </c>
      <c r="E18" s="23">
        <f t="shared" si="1"/>
        <v>46.255638797353484</v>
      </c>
      <c r="F18" s="23"/>
      <c r="G18" s="23">
        <f t="shared" si="1"/>
        <v>20288.594435006784</v>
      </c>
      <c r="H18" s="23">
        <f t="shared" si="1"/>
        <v>2436.2878110447755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2.7291356932254069E-3</v>
      </c>
      <c r="H50" s="321">
        <f t="shared" si="2"/>
        <v>0</v>
      </c>
      <c r="I50" s="321">
        <f t="shared" si="2"/>
        <v>0</v>
      </c>
      <c r="J50" s="321">
        <f t="shared" si="2"/>
        <v>0</v>
      </c>
      <c r="K50" s="321">
        <f t="shared" si="2"/>
        <v>0</v>
      </c>
      <c r="L50" s="321">
        <f t="shared" si="2"/>
        <v>0</v>
      </c>
      <c r="M50" s="321">
        <f t="shared" si="2"/>
        <v>1.2147608749809102E-4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2.7291356932254069E-3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1.2147608749809102E-4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758.09324811816862</v>
      </c>
      <c r="H54" s="21">
        <f t="shared" si="3"/>
        <v>0</v>
      </c>
      <c r="I54" s="21">
        <f t="shared" si="3"/>
        <v>0</v>
      </c>
      <c r="J54" s="21">
        <f t="shared" si="3"/>
        <v>0</v>
      </c>
      <c r="K54" s="21">
        <f t="shared" si="3"/>
        <v>0</v>
      </c>
      <c r="L54" s="21">
        <f t="shared" si="3"/>
        <v>0</v>
      </c>
      <c r="M54" s="21">
        <f t="shared" si="3"/>
        <v>33.743357638358617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9.4697299328304438E-2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202.41089724755102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44034.555045247333</v>
      </c>
      <c r="D10" s="686">
        <f ca="1">tertiair!C16</f>
        <v>0</v>
      </c>
      <c r="E10" s="686">
        <f ca="1">tertiair!D16</f>
        <v>15058.828074899473</v>
      </c>
      <c r="F10" s="686">
        <f>tertiair!E16</f>
        <v>547.07423830713583</v>
      </c>
      <c r="G10" s="686">
        <f ca="1">tertiair!F16</f>
        <v>8679.7902590587437</v>
      </c>
      <c r="H10" s="686">
        <f>tertiair!G16</f>
        <v>0</v>
      </c>
      <c r="I10" s="686">
        <f>tertiair!H16</f>
        <v>0</v>
      </c>
      <c r="J10" s="686">
        <f>tertiair!I16</f>
        <v>0</v>
      </c>
      <c r="K10" s="686">
        <f>tertiair!J16</f>
        <v>0</v>
      </c>
      <c r="L10" s="686">
        <f>tertiair!K16</f>
        <v>0</v>
      </c>
      <c r="M10" s="686">
        <f ca="1">tertiair!L16</f>
        <v>0</v>
      </c>
      <c r="N10" s="686">
        <f>tertiair!M16</f>
        <v>0</v>
      </c>
      <c r="O10" s="686">
        <f ca="1">tertiair!N16</f>
        <v>4155.0677277076666</v>
      </c>
      <c r="P10" s="686">
        <f>tertiair!O16</f>
        <v>6.2533333333333339</v>
      </c>
      <c r="Q10" s="687">
        <f>tertiair!P16</f>
        <v>57.2</v>
      </c>
      <c r="R10" s="689">
        <f ca="1">SUM(C10:Q10)</f>
        <v>72538.768678553664</v>
      </c>
      <c r="S10" s="67"/>
    </row>
    <row r="11" spans="1:19" s="454" customFormat="1">
      <c r="A11" s="801" t="s">
        <v>224</v>
      </c>
      <c r="B11" s="806"/>
      <c r="C11" s="686">
        <f>huishoudens!B8</f>
        <v>21934.470713544797</v>
      </c>
      <c r="D11" s="686">
        <f>huishoudens!C8</f>
        <v>0</v>
      </c>
      <c r="E11" s="686">
        <f>huishoudens!D8</f>
        <v>66104.271473030371</v>
      </c>
      <c r="F11" s="686">
        <f>huishoudens!E8</f>
        <v>5031.7919562216357</v>
      </c>
      <c r="G11" s="686">
        <f>huishoudens!F8</f>
        <v>10938.847600654995</v>
      </c>
      <c r="H11" s="686">
        <f>huishoudens!G8</f>
        <v>0</v>
      </c>
      <c r="I11" s="686">
        <f>huishoudens!H8</f>
        <v>0</v>
      </c>
      <c r="J11" s="686">
        <f>huishoudens!I8</f>
        <v>0</v>
      </c>
      <c r="K11" s="686">
        <f>huishoudens!J8</f>
        <v>0</v>
      </c>
      <c r="L11" s="686">
        <f>huishoudens!K8</f>
        <v>0</v>
      </c>
      <c r="M11" s="686">
        <f>huishoudens!L8</f>
        <v>0</v>
      </c>
      <c r="N11" s="686">
        <f>huishoudens!M8</f>
        <v>0</v>
      </c>
      <c r="O11" s="686">
        <f>huishoudens!N8</f>
        <v>29368.618071899185</v>
      </c>
      <c r="P11" s="686">
        <f>huishoudens!O8</f>
        <v>229.81</v>
      </c>
      <c r="Q11" s="687">
        <f>huishoudens!P8</f>
        <v>610.13333333333333</v>
      </c>
      <c r="R11" s="689">
        <f>SUM(C11:Q11)</f>
        <v>134217.94314868431</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18721.107794482152</v>
      </c>
      <c r="D13" s="686">
        <f>industrie!C18</f>
        <v>0</v>
      </c>
      <c r="E13" s="686">
        <f>industrie!D18</f>
        <v>8639.373748227943</v>
      </c>
      <c r="F13" s="686">
        <f>industrie!E18</f>
        <v>2234.6042670395095</v>
      </c>
      <c r="G13" s="686">
        <f>industrie!F18</f>
        <v>7500.7589666225822</v>
      </c>
      <c r="H13" s="686">
        <f>industrie!G18</f>
        <v>0</v>
      </c>
      <c r="I13" s="686">
        <f>industrie!H18</f>
        <v>0</v>
      </c>
      <c r="J13" s="686">
        <f>industrie!I18</f>
        <v>0</v>
      </c>
      <c r="K13" s="686">
        <f>industrie!J18</f>
        <v>13.45128980074152</v>
      </c>
      <c r="L13" s="686">
        <f>industrie!K18</f>
        <v>0</v>
      </c>
      <c r="M13" s="686">
        <f>industrie!L18</f>
        <v>0</v>
      </c>
      <c r="N13" s="686">
        <f>industrie!M18</f>
        <v>0</v>
      </c>
      <c r="O13" s="686">
        <f>industrie!N18</f>
        <v>1284.9496276517252</v>
      </c>
      <c r="P13" s="686">
        <f>industrie!O18</f>
        <v>0</v>
      </c>
      <c r="Q13" s="687">
        <f>industrie!P18</f>
        <v>0</v>
      </c>
      <c r="R13" s="689">
        <f>SUM(C13:Q13)</f>
        <v>38394.245693824654</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84690.133553274267</v>
      </c>
      <c r="D16" s="721">
        <f t="shared" ref="D16:R16" ca="1" si="0">SUM(D9:D15)</f>
        <v>0</v>
      </c>
      <c r="E16" s="721">
        <f t="shared" ca="1" si="0"/>
        <v>89802.473296157783</v>
      </c>
      <c r="F16" s="721">
        <f t="shared" si="0"/>
        <v>7813.4704615682804</v>
      </c>
      <c r="G16" s="721">
        <f t="shared" ca="1" si="0"/>
        <v>27119.39682633632</v>
      </c>
      <c r="H16" s="721">
        <f t="shared" si="0"/>
        <v>0</v>
      </c>
      <c r="I16" s="721">
        <f t="shared" si="0"/>
        <v>0</v>
      </c>
      <c r="J16" s="721">
        <f t="shared" si="0"/>
        <v>0</v>
      </c>
      <c r="K16" s="721">
        <f t="shared" si="0"/>
        <v>13.45128980074152</v>
      </c>
      <c r="L16" s="721">
        <f t="shared" si="0"/>
        <v>0</v>
      </c>
      <c r="M16" s="721">
        <f t="shared" ca="1" si="0"/>
        <v>0</v>
      </c>
      <c r="N16" s="721">
        <f t="shared" si="0"/>
        <v>0</v>
      </c>
      <c r="O16" s="721">
        <f t="shared" ca="1" si="0"/>
        <v>34808.635427258574</v>
      </c>
      <c r="P16" s="721">
        <f t="shared" si="0"/>
        <v>236.06333333333333</v>
      </c>
      <c r="Q16" s="721">
        <f t="shared" si="0"/>
        <v>667.33333333333337</v>
      </c>
      <c r="R16" s="721">
        <f t="shared" ca="1" si="0"/>
        <v>245150.95752106264</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758.09324811816862</v>
      </c>
      <c r="I19" s="686">
        <f>transport!H54</f>
        <v>0</v>
      </c>
      <c r="J19" s="686">
        <f>transport!I54</f>
        <v>0</v>
      </c>
      <c r="K19" s="686">
        <f>transport!J54</f>
        <v>0</v>
      </c>
      <c r="L19" s="686">
        <f>transport!K54</f>
        <v>0</v>
      </c>
      <c r="M19" s="686">
        <f>transport!L54</f>
        <v>0</v>
      </c>
      <c r="N19" s="686">
        <f>transport!M54</f>
        <v>33.743357638358617</v>
      </c>
      <c r="O19" s="686">
        <f>transport!N54</f>
        <v>0</v>
      </c>
      <c r="P19" s="686">
        <f>transport!O54</f>
        <v>0</v>
      </c>
      <c r="Q19" s="687">
        <f>transport!P54</f>
        <v>0</v>
      </c>
      <c r="R19" s="689">
        <f>SUM(C19:Q19)</f>
        <v>791.83660575652721</v>
      </c>
      <c r="S19" s="67"/>
    </row>
    <row r="20" spans="1:19" s="454" customFormat="1">
      <c r="A20" s="801" t="s">
        <v>306</v>
      </c>
      <c r="B20" s="806"/>
      <c r="C20" s="686">
        <f>transport!B14</f>
        <v>3.2082316920711946</v>
      </c>
      <c r="D20" s="686">
        <f>transport!C14</f>
        <v>0</v>
      </c>
      <c r="E20" s="686">
        <f>transport!D14</f>
        <v>5.2682410426444326</v>
      </c>
      <c r="F20" s="686">
        <f>transport!E14</f>
        <v>203.76933390904617</v>
      </c>
      <c r="G20" s="686">
        <f>transport!F14</f>
        <v>0</v>
      </c>
      <c r="H20" s="686">
        <f>transport!G14</f>
        <v>75987.245074931765</v>
      </c>
      <c r="I20" s="686">
        <f>transport!H14</f>
        <v>9784.2883977701822</v>
      </c>
      <c r="J20" s="686">
        <f>transport!I14</f>
        <v>0</v>
      </c>
      <c r="K20" s="686">
        <f>transport!J14</f>
        <v>0</v>
      </c>
      <c r="L20" s="686">
        <f>transport!K14</f>
        <v>0</v>
      </c>
      <c r="M20" s="686">
        <f>transport!L14</f>
        <v>0</v>
      </c>
      <c r="N20" s="686">
        <f>transport!M14</f>
        <v>3876.9046596460712</v>
      </c>
      <c r="O20" s="686">
        <f>transport!N14</f>
        <v>0</v>
      </c>
      <c r="P20" s="686">
        <f>transport!O14</f>
        <v>0</v>
      </c>
      <c r="Q20" s="687">
        <f>transport!P14</f>
        <v>0</v>
      </c>
      <c r="R20" s="689">
        <f>SUM(C20:Q20)</f>
        <v>89860.683938991788</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3.2082316920711946</v>
      </c>
      <c r="D22" s="804">
        <f t="shared" ref="D22:R22" si="1">SUM(D18:D21)</f>
        <v>0</v>
      </c>
      <c r="E22" s="804">
        <f t="shared" si="1"/>
        <v>5.2682410426444326</v>
      </c>
      <c r="F22" s="804">
        <f t="shared" si="1"/>
        <v>203.76933390904617</v>
      </c>
      <c r="G22" s="804">
        <f t="shared" si="1"/>
        <v>0</v>
      </c>
      <c r="H22" s="804">
        <f t="shared" si="1"/>
        <v>76745.338323049931</v>
      </c>
      <c r="I22" s="804">
        <f t="shared" si="1"/>
        <v>9784.2883977701822</v>
      </c>
      <c r="J22" s="804">
        <f t="shared" si="1"/>
        <v>0</v>
      </c>
      <c r="K22" s="804">
        <f t="shared" si="1"/>
        <v>0</v>
      </c>
      <c r="L22" s="804">
        <f t="shared" si="1"/>
        <v>0</v>
      </c>
      <c r="M22" s="804">
        <f t="shared" si="1"/>
        <v>0</v>
      </c>
      <c r="N22" s="804">
        <f t="shared" si="1"/>
        <v>3910.6480172844299</v>
      </c>
      <c r="O22" s="804">
        <f t="shared" si="1"/>
        <v>0</v>
      </c>
      <c r="P22" s="804">
        <f t="shared" si="1"/>
        <v>0</v>
      </c>
      <c r="Q22" s="804">
        <f t="shared" si="1"/>
        <v>0</v>
      </c>
      <c r="R22" s="804">
        <f t="shared" si="1"/>
        <v>90652.520544748317</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5065.7607416036126</v>
      </c>
      <c r="D24" s="686">
        <f>+landbouw!C8</f>
        <v>26972.142857142855</v>
      </c>
      <c r="E24" s="686">
        <f>+landbouw!D8</f>
        <v>2068.6131228628756</v>
      </c>
      <c r="F24" s="686">
        <f>+landbouw!E8</f>
        <v>63.835111370916231</v>
      </c>
      <c r="G24" s="686">
        <f>+landbouw!F8</f>
        <v>17478.14360742702</v>
      </c>
      <c r="H24" s="686">
        <f>+landbouw!G8</f>
        <v>0</v>
      </c>
      <c r="I24" s="686">
        <f>+landbouw!H8</f>
        <v>0</v>
      </c>
      <c r="J24" s="686">
        <f>+landbouw!I8</f>
        <v>0</v>
      </c>
      <c r="K24" s="686">
        <f>+landbouw!J8</f>
        <v>761.83283000145559</v>
      </c>
      <c r="L24" s="686">
        <f>+landbouw!K8</f>
        <v>0</v>
      </c>
      <c r="M24" s="686">
        <f>+landbouw!L8</f>
        <v>0</v>
      </c>
      <c r="N24" s="686">
        <f>+landbouw!M8</f>
        <v>0</v>
      </c>
      <c r="O24" s="686">
        <f>+landbouw!N8</f>
        <v>0</v>
      </c>
      <c r="P24" s="686">
        <f>+landbouw!O8</f>
        <v>0</v>
      </c>
      <c r="Q24" s="687">
        <f>+landbouw!P8</f>
        <v>0</v>
      </c>
      <c r="R24" s="689">
        <f>SUM(C24:Q24)</f>
        <v>52410.328270408732</v>
      </c>
      <c r="S24" s="67"/>
    </row>
    <row r="25" spans="1:19" s="454" customFormat="1" ht="15" thickBot="1">
      <c r="A25" s="823" t="s">
        <v>856</v>
      </c>
      <c r="B25" s="991"/>
      <c r="C25" s="992">
        <f>IF(Onbekend_ele_kWh="---",0,Onbekend_ele_kWh)/1000+IF(REST_rest_ele_kWh="---",0,REST_rest_ele_kWh)/1000</f>
        <v>780.17919175347197</v>
      </c>
      <c r="D25" s="992"/>
      <c r="E25" s="992">
        <f>IF(onbekend_gas_kWh="---",0,onbekend_gas_kWh)/1000+IF(REST_rest_gas_kWh="---",0,REST_rest_gas_kWh)/1000</f>
        <v>2900.67557830533</v>
      </c>
      <c r="F25" s="992"/>
      <c r="G25" s="992"/>
      <c r="H25" s="992"/>
      <c r="I25" s="992"/>
      <c r="J25" s="992"/>
      <c r="K25" s="992"/>
      <c r="L25" s="992"/>
      <c r="M25" s="992"/>
      <c r="N25" s="992"/>
      <c r="O25" s="992"/>
      <c r="P25" s="992"/>
      <c r="Q25" s="993"/>
      <c r="R25" s="689">
        <f>SUM(C25:Q25)</f>
        <v>3680.8547700588019</v>
      </c>
      <c r="S25" s="67"/>
    </row>
    <row r="26" spans="1:19" s="454" customFormat="1" ht="15.75" thickBot="1">
      <c r="A26" s="694" t="s">
        <v>857</v>
      </c>
      <c r="B26" s="809"/>
      <c r="C26" s="804">
        <f>SUM(C24:C25)</f>
        <v>5845.9399333570846</v>
      </c>
      <c r="D26" s="804">
        <f t="shared" ref="D26:R26" si="2">SUM(D24:D25)</f>
        <v>26972.142857142855</v>
      </c>
      <c r="E26" s="804">
        <f t="shared" si="2"/>
        <v>4969.2887011682051</v>
      </c>
      <c r="F26" s="804">
        <f t="shared" si="2"/>
        <v>63.835111370916231</v>
      </c>
      <c r="G26" s="804">
        <f t="shared" si="2"/>
        <v>17478.14360742702</v>
      </c>
      <c r="H26" s="804">
        <f t="shared" si="2"/>
        <v>0</v>
      </c>
      <c r="I26" s="804">
        <f t="shared" si="2"/>
        <v>0</v>
      </c>
      <c r="J26" s="804">
        <f t="shared" si="2"/>
        <v>0</v>
      </c>
      <c r="K26" s="804">
        <f t="shared" si="2"/>
        <v>761.83283000145559</v>
      </c>
      <c r="L26" s="804">
        <f t="shared" si="2"/>
        <v>0</v>
      </c>
      <c r="M26" s="804">
        <f t="shared" si="2"/>
        <v>0</v>
      </c>
      <c r="N26" s="804">
        <f t="shared" si="2"/>
        <v>0</v>
      </c>
      <c r="O26" s="804">
        <f t="shared" si="2"/>
        <v>0</v>
      </c>
      <c r="P26" s="804">
        <f t="shared" si="2"/>
        <v>0</v>
      </c>
      <c r="Q26" s="804">
        <f t="shared" si="2"/>
        <v>0</v>
      </c>
      <c r="R26" s="804">
        <f t="shared" si="2"/>
        <v>56091.183040467535</v>
      </c>
      <c r="S26" s="67"/>
    </row>
    <row r="27" spans="1:19" s="454" customFormat="1" ht="17.25" thickTop="1" thickBot="1">
      <c r="A27" s="695" t="s">
        <v>115</v>
      </c>
      <c r="B27" s="796"/>
      <c r="C27" s="696">
        <f ca="1">C22+C16+C26</f>
        <v>90539.281718323429</v>
      </c>
      <c r="D27" s="696">
        <f t="shared" ref="D27:R27" ca="1" si="3">D22+D16+D26</f>
        <v>26972.142857142855</v>
      </c>
      <c r="E27" s="696">
        <f t="shared" ca="1" si="3"/>
        <v>94777.030238368636</v>
      </c>
      <c r="F27" s="696">
        <f t="shared" si="3"/>
        <v>8081.0749068482428</v>
      </c>
      <c r="G27" s="696">
        <f t="shared" ca="1" si="3"/>
        <v>44597.540433763337</v>
      </c>
      <c r="H27" s="696">
        <f t="shared" si="3"/>
        <v>76745.338323049931</v>
      </c>
      <c r="I27" s="696">
        <f t="shared" si="3"/>
        <v>9784.2883977701822</v>
      </c>
      <c r="J27" s="696">
        <f t="shared" si="3"/>
        <v>0</v>
      </c>
      <c r="K27" s="696">
        <f t="shared" si="3"/>
        <v>775.2841198021971</v>
      </c>
      <c r="L27" s="696">
        <f t="shared" si="3"/>
        <v>0</v>
      </c>
      <c r="M27" s="696">
        <f t="shared" ca="1" si="3"/>
        <v>0</v>
      </c>
      <c r="N27" s="696">
        <f t="shared" si="3"/>
        <v>3910.6480172844299</v>
      </c>
      <c r="O27" s="696">
        <f t="shared" ca="1" si="3"/>
        <v>34808.635427258574</v>
      </c>
      <c r="P27" s="696">
        <f t="shared" si="3"/>
        <v>236.06333333333333</v>
      </c>
      <c r="Q27" s="696">
        <f t="shared" si="3"/>
        <v>667.33333333333337</v>
      </c>
      <c r="R27" s="696">
        <f t="shared" ca="1" si="3"/>
        <v>391894.66110627854</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4169.9534399084851</v>
      </c>
      <c r="D40" s="686">
        <f ca="1">tertiair!C20</f>
        <v>0</v>
      </c>
      <c r="E40" s="686">
        <f ca="1">tertiair!D20</f>
        <v>3041.8832711296936</v>
      </c>
      <c r="F40" s="686">
        <f>tertiair!E20</f>
        <v>124.18585209571984</v>
      </c>
      <c r="G40" s="686">
        <f ca="1">tertiair!F20</f>
        <v>2317.5039991686849</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9653.5265623025825</v>
      </c>
    </row>
    <row r="41" spans="1:18">
      <c r="A41" s="814" t="s">
        <v>224</v>
      </c>
      <c r="B41" s="821"/>
      <c r="C41" s="686">
        <f ca="1">huishoudens!B12</f>
        <v>2077.135138768479</v>
      </c>
      <c r="D41" s="686">
        <f ca="1">huishoudens!C12</f>
        <v>0</v>
      </c>
      <c r="E41" s="686">
        <f>huishoudens!D12</f>
        <v>13353.062837552136</v>
      </c>
      <c r="F41" s="686">
        <f>huishoudens!E12</f>
        <v>1142.2167740623113</v>
      </c>
      <c r="G41" s="686">
        <f>huishoudens!F12</f>
        <v>2920.6723093748838</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19493.08705975781</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1772.8383485715297</v>
      </c>
      <c r="D43" s="686">
        <f ca="1">industrie!C22</f>
        <v>0</v>
      </c>
      <c r="E43" s="686">
        <f>industrie!D22</f>
        <v>1745.1534971420447</v>
      </c>
      <c r="F43" s="686">
        <f>industrie!E22</f>
        <v>507.25516861796865</v>
      </c>
      <c r="G43" s="686">
        <f>industrie!F22</f>
        <v>2002.7026440882296</v>
      </c>
      <c r="H43" s="686">
        <f>industrie!G22</f>
        <v>0</v>
      </c>
      <c r="I43" s="686">
        <f>industrie!H22</f>
        <v>0</v>
      </c>
      <c r="J43" s="686">
        <f>industrie!I22</f>
        <v>0</v>
      </c>
      <c r="K43" s="686">
        <f>industrie!J22</f>
        <v>4.7617565894624976</v>
      </c>
      <c r="L43" s="686">
        <f>industrie!K22</f>
        <v>0</v>
      </c>
      <c r="M43" s="686">
        <f>industrie!L22</f>
        <v>0</v>
      </c>
      <c r="N43" s="686">
        <f>industrie!M22</f>
        <v>0</v>
      </c>
      <c r="O43" s="686">
        <f>industrie!N22</f>
        <v>0</v>
      </c>
      <c r="P43" s="686">
        <f>industrie!O22</f>
        <v>0</v>
      </c>
      <c r="Q43" s="763">
        <f>industrie!P22</f>
        <v>0</v>
      </c>
      <c r="R43" s="841">
        <f t="shared" ca="1" si="4"/>
        <v>6032.7114150092357</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8019.9269272484935</v>
      </c>
      <c r="D46" s="721">
        <f t="shared" ref="D46:Q46" ca="1" si="5">SUM(D39:D45)</f>
        <v>0</v>
      </c>
      <c r="E46" s="721">
        <f t="shared" ca="1" si="5"/>
        <v>18140.099605823874</v>
      </c>
      <c r="F46" s="721">
        <f t="shared" si="5"/>
        <v>1773.6577947759997</v>
      </c>
      <c r="G46" s="721">
        <f t="shared" ca="1" si="5"/>
        <v>7240.8789526317978</v>
      </c>
      <c r="H46" s="721">
        <f t="shared" si="5"/>
        <v>0</v>
      </c>
      <c r="I46" s="721">
        <f t="shared" si="5"/>
        <v>0</v>
      </c>
      <c r="J46" s="721">
        <f t="shared" si="5"/>
        <v>0</v>
      </c>
      <c r="K46" s="721">
        <f t="shared" si="5"/>
        <v>4.7617565894624976</v>
      </c>
      <c r="L46" s="721">
        <f t="shared" si="5"/>
        <v>0</v>
      </c>
      <c r="M46" s="721">
        <f t="shared" ca="1" si="5"/>
        <v>0</v>
      </c>
      <c r="N46" s="721">
        <f t="shared" si="5"/>
        <v>0</v>
      </c>
      <c r="O46" s="721">
        <f t="shared" ca="1" si="5"/>
        <v>0</v>
      </c>
      <c r="P46" s="721">
        <f t="shared" si="5"/>
        <v>0</v>
      </c>
      <c r="Q46" s="721">
        <f t="shared" si="5"/>
        <v>0</v>
      </c>
      <c r="R46" s="721">
        <f ca="1">SUM(R39:R45)</f>
        <v>35179.325037069633</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202.41089724755102</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202.41089724755102</v>
      </c>
    </row>
    <row r="50" spans="1:18">
      <c r="A50" s="817" t="s">
        <v>306</v>
      </c>
      <c r="B50" s="827"/>
      <c r="C50" s="692">
        <f ca="1">transport!B18</f>
        <v>0.30381087685861857</v>
      </c>
      <c r="D50" s="692">
        <f>transport!C18</f>
        <v>0</v>
      </c>
      <c r="E50" s="692">
        <f>transport!D18</f>
        <v>1.0641846906141754</v>
      </c>
      <c r="F50" s="692">
        <f>transport!E18</f>
        <v>46.255638797353484</v>
      </c>
      <c r="G50" s="692">
        <f>transport!F18</f>
        <v>0</v>
      </c>
      <c r="H50" s="692">
        <f>transport!G18</f>
        <v>20288.594435006784</v>
      </c>
      <c r="I50" s="692">
        <f>transport!H18</f>
        <v>2436.2878110447755</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22772.505880416385</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0.30381087685861857</v>
      </c>
      <c r="D52" s="721">
        <f t="shared" ref="D52:Q52" ca="1" si="6">SUM(D48:D51)</f>
        <v>0</v>
      </c>
      <c r="E52" s="721">
        <f t="shared" si="6"/>
        <v>1.0641846906141754</v>
      </c>
      <c r="F52" s="721">
        <f t="shared" si="6"/>
        <v>46.255638797353484</v>
      </c>
      <c r="G52" s="721">
        <f t="shared" si="6"/>
        <v>0</v>
      </c>
      <c r="H52" s="721">
        <f t="shared" si="6"/>
        <v>20491.005332254335</v>
      </c>
      <c r="I52" s="721">
        <f t="shared" si="6"/>
        <v>2436.2878110447755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22974.916777663937</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479.7138612732108</v>
      </c>
      <c r="D54" s="692">
        <f ca="1">+landbouw!C12</f>
        <v>0</v>
      </c>
      <c r="E54" s="692">
        <f>+landbouw!D12</f>
        <v>417.85985081830091</v>
      </c>
      <c r="F54" s="692">
        <f>+landbouw!E12</f>
        <v>14.490570281197984</v>
      </c>
      <c r="G54" s="692">
        <f>+landbouw!F12</f>
        <v>4666.6643431830144</v>
      </c>
      <c r="H54" s="692">
        <f>+landbouw!G12</f>
        <v>0</v>
      </c>
      <c r="I54" s="692">
        <f>+landbouw!H12</f>
        <v>0</v>
      </c>
      <c r="J54" s="692">
        <f>+landbouw!I12</f>
        <v>0</v>
      </c>
      <c r="K54" s="692">
        <f>+landbouw!J12</f>
        <v>269.68882182051527</v>
      </c>
      <c r="L54" s="692">
        <f>+landbouw!K12</f>
        <v>0</v>
      </c>
      <c r="M54" s="692">
        <f>+landbouw!L12</f>
        <v>0</v>
      </c>
      <c r="N54" s="692">
        <f>+landbouw!M12</f>
        <v>0</v>
      </c>
      <c r="O54" s="692">
        <f>+landbouw!N12</f>
        <v>0</v>
      </c>
      <c r="P54" s="692">
        <f>+landbouw!O12</f>
        <v>0</v>
      </c>
      <c r="Q54" s="693">
        <f>+landbouw!P12</f>
        <v>0</v>
      </c>
      <c r="R54" s="720">
        <f ca="1">SUM(C54:Q54)</f>
        <v>5848.4174473762387</v>
      </c>
    </row>
    <row r="55" spans="1:18" ht="15" thickBot="1">
      <c r="A55" s="817" t="s">
        <v>856</v>
      </c>
      <c r="B55" s="827"/>
      <c r="C55" s="692">
        <f ca="1">C25*'EF ele_warmte'!B12</f>
        <v>73.880862451193167</v>
      </c>
      <c r="D55" s="692"/>
      <c r="E55" s="692">
        <f>E25*EF_CO2_aardgas</f>
        <v>585.93646681767666</v>
      </c>
      <c r="F55" s="692"/>
      <c r="G55" s="692"/>
      <c r="H55" s="692"/>
      <c r="I55" s="692"/>
      <c r="J55" s="692"/>
      <c r="K55" s="692"/>
      <c r="L55" s="692"/>
      <c r="M55" s="692"/>
      <c r="N55" s="692"/>
      <c r="O55" s="692"/>
      <c r="P55" s="692"/>
      <c r="Q55" s="693"/>
      <c r="R55" s="720">
        <f ca="1">SUM(C55:Q55)</f>
        <v>659.8173292688698</v>
      </c>
    </row>
    <row r="56" spans="1:18" ht="15.75" thickBot="1">
      <c r="A56" s="815" t="s">
        <v>857</v>
      </c>
      <c r="B56" s="828"/>
      <c r="C56" s="721">
        <f ca="1">SUM(C54:C55)</f>
        <v>553.59472372440393</v>
      </c>
      <c r="D56" s="721">
        <f t="shared" ref="D56:Q56" ca="1" si="7">SUM(D54:D55)</f>
        <v>0</v>
      </c>
      <c r="E56" s="721">
        <f t="shared" si="7"/>
        <v>1003.7963176359776</v>
      </c>
      <c r="F56" s="721">
        <f t="shared" si="7"/>
        <v>14.490570281197984</v>
      </c>
      <c r="G56" s="721">
        <f t="shared" si="7"/>
        <v>4666.6643431830144</v>
      </c>
      <c r="H56" s="721">
        <f t="shared" si="7"/>
        <v>0</v>
      </c>
      <c r="I56" s="721">
        <f t="shared" si="7"/>
        <v>0</v>
      </c>
      <c r="J56" s="721">
        <f t="shared" si="7"/>
        <v>0</v>
      </c>
      <c r="K56" s="721">
        <f t="shared" si="7"/>
        <v>269.68882182051527</v>
      </c>
      <c r="L56" s="721">
        <f t="shared" si="7"/>
        <v>0</v>
      </c>
      <c r="M56" s="721">
        <f t="shared" si="7"/>
        <v>0</v>
      </c>
      <c r="N56" s="721">
        <f t="shared" si="7"/>
        <v>0</v>
      </c>
      <c r="O56" s="721">
        <f t="shared" si="7"/>
        <v>0</v>
      </c>
      <c r="P56" s="721">
        <f t="shared" si="7"/>
        <v>0</v>
      </c>
      <c r="Q56" s="722">
        <f t="shared" si="7"/>
        <v>0</v>
      </c>
      <c r="R56" s="723">
        <f ca="1">SUM(R54:R55)</f>
        <v>6508.2347766451085</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8573.8254618497558</v>
      </c>
      <c r="D61" s="729">
        <f t="shared" ref="D61:Q61" ca="1" si="8">D46+D52+D56</f>
        <v>0</v>
      </c>
      <c r="E61" s="729">
        <f t="shared" ca="1" si="8"/>
        <v>19144.960108150466</v>
      </c>
      <c r="F61" s="729">
        <f t="shared" si="8"/>
        <v>1834.4040038545511</v>
      </c>
      <c r="G61" s="729">
        <f t="shared" ca="1" si="8"/>
        <v>11907.543295814812</v>
      </c>
      <c r="H61" s="729">
        <f t="shared" si="8"/>
        <v>20491.005332254335</v>
      </c>
      <c r="I61" s="729">
        <f t="shared" si="8"/>
        <v>2436.2878110447755</v>
      </c>
      <c r="J61" s="729">
        <f t="shared" si="8"/>
        <v>0</v>
      </c>
      <c r="K61" s="729">
        <f t="shared" si="8"/>
        <v>274.45057840997777</v>
      </c>
      <c r="L61" s="729">
        <f t="shared" si="8"/>
        <v>0</v>
      </c>
      <c r="M61" s="729">
        <f t="shared" ca="1" si="8"/>
        <v>0</v>
      </c>
      <c r="N61" s="729">
        <f t="shared" si="8"/>
        <v>0</v>
      </c>
      <c r="O61" s="729">
        <f t="shared" ca="1" si="8"/>
        <v>0</v>
      </c>
      <c r="P61" s="729">
        <f t="shared" si="8"/>
        <v>0</v>
      </c>
      <c r="Q61" s="729">
        <f t="shared" si="8"/>
        <v>0</v>
      </c>
      <c r="R61" s="729">
        <f ca="1">R46+R52+R56</f>
        <v>64662.476591378676</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9.4697299328304438E-2</v>
      </c>
      <c r="D63" s="772">
        <f t="shared" ca="1" si="9"/>
        <v>0</v>
      </c>
      <c r="E63" s="998">
        <f t="shared" ca="1" si="9"/>
        <v>0.20200000000000001</v>
      </c>
      <c r="F63" s="772">
        <f t="shared" si="9"/>
        <v>0.22700000000000001</v>
      </c>
      <c r="G63" s="772">
        <f t="shared" ca="1" si="9"/>
        <v>0.26700000000000002</v>
      </c>
      <c r="H63" s="772">
        <f t="shared" si="9"/>
        <v>0.26700000000000007</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25394.132829999999</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7469.0585632114135</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18880.5</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22212.352941176472</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51743.691393211411</v>
      </c>
      <c r="C78" s="744">
        <f>SUM(C72:C77)</f>
        <v>0</v>
      </c>
      <c r="D78" s="745">
        <f t="shared" ref="D78:H78" si="10">SUM(D76:D77)</f>
        <v>0</v>
      </c>
      <c r="E78" s="745">
        <f t="shared" si="10"/>
        <v>0</v>
      </c>
      <c r="F78" s="745">
        <f t="shared" si="10"/>
        <v>0</v>
      </c>
      <c r="G78" s="745">
        <f t="shared" si="10"/>
        <v>0</v>
      </c>
      <c r="H78" s="745">
        <f t="shared" si="10"/>
        <v>0</v>
      </c>
      <c r="I78" s="745">
        <f>SUM(I76:I77)</f>
        <v>0</v>
      </c>
      <c r="J78" s="745">
        <f>SUM(J76:J77)</f>
        <v>22212.352941176472</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26972.142857142855</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31731.932773109245</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26972.142857142855</v>
      </c>
      <c r="C90" s="744">
        <f>SUM(C87:C89)</f>
        <v>0</v>
      </c>
      <c r="D90" s="744">
        <f t="shared" ref="D90:H90" si="12">SUM(D87:D89)</f>
        <v>0</v>
      </c>
      <c r="E90" s="744">
        <f t="shared" si="12"/>
        <v>0</v>
      </c>
      <c r="F90" s="744">
        <f t="shared" si="12"/>
        <v>0</v>
      </c>
      <c r="G90" s="744">
        <f t="shared" si="12"/>
        <v>0</v>
      </c>
      <c r="H90" s="744">
        <f t="shared" si="12"/>
        <v>0</v>
      </c>
      <c r="I90" s="744">
        <f>SUM(I87:I89)</f>
        <v>0</v>
      </c>
      <c r="J90" s="744">
        <f>SUM(J87:J89)</f>
        <v>31731.932773109245</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67" zoomScale="65" zoomScaleNormal="65" workbookViewId="0">
      <selection activeCell="M29" sqref="M2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25394.132829999999</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7469.0585632114135</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N30</f>
        <v>18880.5</v>
      </c>
      <c r="C8" s="556">
        <f>B49</f>
        <v>0</v>
      </c>
      <c r="D8" s="1015"/>
      <c r="E8" s="1015">
        <f>E49</f>
        <v>0</v>
      </c>
      <c r="F8" s="1016"/>
      <c r="G8" s="557"/>
      <c r="H8" s="1015">
        <f>I49</f>
        <v>0</v>
      </c>
      <c r="I8" s="1015">
        <f>G49+F49</f>
        <v>0</v>
      </c>
      <c r="J8" s="1015">
        <f>H49+D49+C49</f>
        <v>22212.352941176472</v>
      </c>
      <c r="K8" s="1015"/>
      <c r="L8" s="1015"/>
      <c r="M8" s="1015"/>
      <c r="N8" s="558"/>
      <c r="O8" s="559">
        <f>C8*$C$12+D8*$D$12+E8*$E$12+F8*$F$12+G8*$G$12+H8*$H$12+I8*$I$12+J8*$J$12</f>
        <v>0</v>
      </c>
      <c r="P8" s="1254"/>
      <c r="Q8" s="1255"/>
      <c r="S8" s="1027"/>
      <c r="T8" s="1275"/>
      <c r="U8" s="1275"/>
    </row>
    <row r="9" spans="1:21" s="544" customFormat="1" ht="17.45" customHeight="1" thickBot="1">
      <c r="A9" s="560" t="s">
        <v>247</v>
      </c>
      <c r="B9" s="561">
        <f>N37+'Eigen informatie GS &amp; warmtenet'!B12</f>
        <v>0</v>
      </c>
      <c r="C9" s="562">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51743.691393211411</v>
      </c>
      <c r="C10" s="569">
        <f t="shared" ref="C10:L10" si="0">SUM(C8:C9)</f>
        <v>0</v>
      </c>
      <c r="D10" s="569">
        <f t="shared" si="0"/>
        <v>0</v>
      </c>
      <c r="E10" s="569">
        <f t="shared" si="0"/>
        <v>0</v>
      </c>
      <c r="F10" s="569">
        <f t="shared" si="0"/>
        <v>0</v>
      </c>
      <c r="G10" s="569">
        <f t="shared" si="0"/>
        <v>0</v>
      </c>
      <c r="H10" s="569">
        <f t="shared" si="0"/>
        <v>0</v>
      </c>
      <c r="I10" s="569">
        <f t="shared" si="0"/>
        <v>0</v>
      </c>
      <c r="J10" s="569">
        <f t="shared" si="0"/>
        <v>22212.352941176472</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O30</f>
        <v>26972.142857142855</v>
      </c>
      <c r="C17" s="581">
        <f>B50</f>
        <v>0</v>
      </c>
      <c r="D17" s="582"/>
      <c r="E17" s="582">
        <f>E50</f>
        <v>0</v>
      </c>
      <c r="F17" s="1021"/>
      <c r="G17" s="583"/>
      <c r="H17" s="581">
        <f>I50</f>
        <v>0</v>
      </c>
      <c r="I17" s="582">
        <f>G50+F50</f>
        <v>0</v>
      </c>
      <c r="J17" s="582">
        <f>H50+D50+C50</f>
        <v>31731.932773109245</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26972.142857142855</v>
      </c>
      <c r="C20" s="568">
        <f>SUM(C17:C19)</f>
        <v>0</v>
      </c>
      <c r="D20" s="568">
        <f t="shared" ref="D20:L20" si="1">SUM(D17:D19)</f>
        <v>0</v>
      </c>
      <c r="E20" s="568">
        <f t="shared" si="1"/>
        <v>0</v>
      </c>
      <c r="F20" s="568">
        <f t="shared" si="1"/>
        <v>0</v>
      </c>
      <c r="G20" s="568">
        <f t="shared" si="1"/>
        <v>0</v>
      </c>
      <c r="H20" s="568">
        <f t="shared" si="1"/>
        <v>0</v>
      </c>
      <c r="I20" s="568">
        <f t="shared" si="1"/>
        <v>0</v>
      </c>
      <c r="J20" s="568">
        <f t="shared" si="1"/>
        <v>31731.932773109245</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13001</v>
      </c>
      <c r="C28" s="787">
        <v>2370</v>
      </c>
      <c r="D28" s="640" t="s">
        <v>920</v>
      </c>
      <c r="E28" s="639" t="s">
        <v>921</v>
      </c>
      <c r="F28" s="639" t="s">
        <v>922</v>
      </c>
      <c r="G28" s="639" t="s">
        <v>923</v>
      </c>
      <c r="H28" s="639" t="s">
        <v>924</v>
      </c>
      <c r="I28" s="639" t="s">
        <v>921</v>
      </c>
      <c r="J28" s="786">
        <v>40813</v>
      </c>
      <c r="K28" s="786">
        <v>40150</v>
      </c>
      <c r="L28" s="639" t="s">
        <v>925</v>
      </c>
      <c r="M28" s="639">
        <v>2214</v>
      </c>
      <c r="N28" s="639">
        <v>9963</v>
      </c>
      <c r="O28" s="639">
        <v>14232.857142857143</v>
      </c>
      <c r="P28" s="639">
        <v>0</v>
      </c>
      <c r="Q28" s="639">
        <v>28465.714285714286</v>
      </c>
      <c r="R28" s="639">
        <v>0</v>
      </c>
      <c r="S28" s="639">
        <v>0</v>
      </c>
      <c r="T28" s="639">
        <v>0</v>
      </c>
      <c r="U28" s="639">
        <v>0</v>
      </c>
      <c r="V28" s="639">
        <v>0</v>
      </c>
      <c r="W28" s="639">
        <v>0</v>
      </c>
      <c r="X28" s="639">
        <v>10</v>
      </c>
      <c r="Y28" s="639" t="s">
        <v>111</v>
      </c>
      <c r="Z28" s="641" t="s">
        <v>111</v>
      </c>
    </row>
    <row r="29" spans="1:26" s="593" customFormat="1" ht="25.5">
      <c r="A29" s="592"/>
      <c r="B29" s="787">
        <v>13001</v>
      </c>
      <c r="C29" s="787">
        <v>2370</v>
      </c>
      <c r="D29" s="640" t="s">
        <v>926</v>
      </c>
      <c r="E29" s="639" t="s">
        <v>927</v>
      </c>
      <c r="F29" s="639" t="s">
        <v>928</v>
      </c>
      <c r="G29" s="639" t="s">
        <v>923</v>
      </c>
      <c r="H29" s="639" t="s">
        <v>924</v>
      </c>
      <c r="I29" s="639" t="s">
        <v>927</v>
      </c>
      <c r="J29" s="786">
        <v>41313</v>
      </c>
      <c r="K29" s="786">
        <v>41313</v>
      </c>
      <c r="L29" s="639" t="s">
        <v>925</v>
      </c>
      <c r="M29" s="639">
        <v>2378</v>
      </c>
      <c r="N29" s="639">
        <v>8917.5</v>
      </c>
      <c r="O29" s="639">
        <v>12739.285714285714</v>
      </c>
      <c r="P29" s="639">
        <v>0</v>
      </c>
      <c r="Q29" s="639">
        <v>25478.571428571431</v>
      </c>
      <c r="R29" s="639">
        <v>0</v>
      </c>
      <c r="S29" s="639">
        <v>0</v>
      </c>
      <c r="T29" s="639">
        <v>0</v>
      </c>
      <c r="U29" s="639">
        <v>0</v>
      </c>
      <c r="V29" s="639">
        <v>0</v>
      </c>
      <c r="W29" s="639">
        <v>0</v>
      </c>
      <c r="X29" s="639">
        <v>10</v>
      </c>
      <c r="Y29" s="639" t="s">
        <v>111</v>
      </c>
      <c r="Z29" s="641" t="s">
        <v>111</v>
      </c>
    </row>
    <row r="30" spans="1:26" s="576" customFormat="1">
      <c r="A30" s="595" t="s">
        <v>279</v>
      </c>
      <c r="B30" s="596"/>
      <c r="C30" s="596"/>
      <c r="D30" s="596"/>
      <c r="E30" s="596"/>
      <c r="F30" s="596"/>
      <c r="G30" s="596"/>
      <c r="H30" s="596"/>
      <c r="I30" s="596"/>
      <c r="J30" s="596"/>
      <c r="K30" s="596"/>
      <c r="L30" s="597"/>
      <c r="M30" s="597">
        <f>SUM(M28:M29)</f>
        <v>4592</v>
      </c>
      <c r="N30" s="597">
        <f>SUM(N28:N29)</f>
        <v>18880.5</v>
      </c>
      <c r="O30" s="597">
        <f>SUM(O28:O29)</f>
        <v>26972.142857142855</v>
      </c>
      <c r="P30" s="597">
        <f>SUM(P28:P29)</f>
        <v>0</v>
      </c>
      <c r="Q30" s="597">
        <f>SUM(Q28:Q29)</f>
        <v>53944.285714285717</v>
      </c>
      <c r="R30" s="597">
        <f>SUM(R28:R29)</f>
        <v>0</v>
      </c>
      <c r="S30" s="597">
        <f>SUM(S28:S29)</f>
        <v>0</v>
      </c>
      <c r="T30" s="597">
        <f>SUM(T28:T29)</f>
        <v>0</v>
      </c>
      <c r="U30" s="597">
        <f>SUM(U28:U29)</f>
        <v>0</v>
      </c>
      <c r="V30" s="597">
        <f>SUM(V28:V29)</f>
        <v>0</v>
      </c>
      <c r="W30" s="597">
        <f>SUM(W28:W29)</f>
        <v>0</v>
      </c>
      <c r="X30" s="598"/>
      <c r="Y30" s="598"/>
      <c r="Z30" s="599"/>
    </row>
    <row r="31" spans="1:26" s="576" customFormat="1">
      <c r="A31" s="595" t="s">
        <v>286</v>
      </c>
      <c r="B31" s="596"/>
      <c r="C31" s="596"/>
      <c r="D31" s="596"/>
      <c r="E31" s="596"/>
      <c r="F31" s="596"/>
      <c r="G31" s="596"/>
      <c r="H31" s="596"/>
      <c r="I31" s="596"/>
      <c r="J31" s="596"/>
      <c r="K31" s="596"/>
      <c r="L31" s="597"/>
      <c r="M31" s="597">
        <f>SUMIF($Z$28:$Z$29,"industrie",M28:M29)</f>
        <v>0</v>
      </c>
      <c r="N31" s="597">
        <f>SUMIF($Z$28:$Z$29,"industrie",N28:N29)</f>
        <v>0</v>
      </c>
      <c r="O31" s="597">
        <f>SUMIF($Z$28:$Z$29,"industrie",O28:O29)</f>
        <v>0</v>
      </c>
      <c r="P31" s="597">
        <f>SUMIF($Z$28:$Z$29,"industrie",P28:P29)</f>
        <v>0</v>
      </c>
      <c r="Q31" s="597">
        <f>SUMIF($Z$28:$Z$29,"industrie",Q28:Q29)</f>
        <v>0</v>
      </c>
      <c r="R31" s="597">
        <f>SUMIF($Z$28:$Z$29,"industrie",R28:R29)</f>
        <v>0</v>
      </c>
      <c r="S31" s="597">
        <f>SUMIF($Z$28:$Z$29,"industrie",S28:S29)</f>
        <v>0</v>
      </c>
      <c r="T31" s="597">
        <f>SUMIF($Z$28:$Z$29,"industrie",T28:T29)</f>
        <v>0</v>
      </c>
      <c r="U31" s="597">
        <f>SUMIF($Z$28:$Z$29,"industrie",U28:U29)</f>
        <v>0</v>
      </c>
      <c r="V31" s="597">
        <f>SUMIF($Z$28:$Z$29,"industrie",V28:V29)</f>
        <v>0</v>
      </c>
      <c r="W31" s="597">
        <f>SUMIF($Z$28:$Z$29,"industrie",W28:W29)</f>
        <v>0</v>
      </c>
      <c r="X31" s="598"/>
      <c r="Y31" s="598"/>
      <c r="Z31" s="599"/>
    </row>
    <row r="32" spans="1:26" s="576" customFormat="1">
      <c r="A32" s="595" t="s">
        <v>287</v>
      </c>
      <c r="B32" s="596"/>
      <c r="C32" s="596"/>
      <c r="D32" s="596"/>
      <c r="E32" s="596"/>
      <c r="F32" s="596"/>
      <c r="G32" s="596"/>
      <c r="H32" s="596"/>
      <c r="I32" s="596"/>
      <c r="J32" s="596"/>
      <c r="K32" s="596"/>
      <c r="L32" s="597"/>
      <c r="M32" s="597">
        <f ca="1">SUMIF($Z$28:AC29,"tertiair",M28:M29)</f>
        <v>0</v>
      </c>
      <c r="N32" s="597">
        <f ca="1">SUMIF($Z$28:AD29,"tertiair",N28:N29)</f>
        <v>0</v>
      </c>
      <c r="O32" s="597">
        <f ca="1">SUMIF($Z$28:AE29,"tertiair",O28:O29)</f>
        <v>0</v>
      </c>
      <c r="P32" s="597">
        <f ca="1">SUMIF($Z$28:AF29,"tertiair",P28:P29)</f>
        <v>0</v>
      </c>
      <c r="Q32" s="597">
        <f ca="1">SUMIF($Z$28:AG29,"tertiair",Q28:Q29)</f>
        <v>0</v>
      </c>
      <c r="R32" s="597">
        <f ca="1">SUMIF($Z$28:AH29,"tertiair",R28:R29)</f>
        <v>0</v>
      </c>
      <c r="S32" s="597">
        <f ca="1">SUMIF($Z$28:AI29,"tertiair",S28:S29)</f>
        <v>0</v>
      </c>
      <c r="T32" s="597">
        <f ca="1">SUMIF($Z$28:AJ29,"tertiair",T28:T29)</f>
        <v>0</v>
      </c>
      <c r="U32" s="597">
        <f ca="1">SUMIF($Z$28:AK29,"tertiair",U28:U29)</f>
        <v>0</v>
      </c>
      <c r="V32" s="597">
        <f ca="1">SUMIF($Z$28:AL29,"tertiair",V28:V29)</f>
        <v>0</v>
      </c>
      <c r="W32" s="597">
        <f ca="1">SUMIF($Z$28:AM29,"tertiair",W28:W29)</f>
        <v>0</v>
      </c>
      <c r="X32" s="598"/>
      <c r="Y32" s="598"/>
      <c r="Z32" s="599"/>
    </row>
    <row r="33" spans="1:27" s="576" customFormat="1" ht="15.75" thickBot="1">
      <c r="A33" s="600" t="s">
        <v>288</v>
      </c>
      <c r="B33" s="601"/>
      <c r="C33" s="601"/>
      <c r="D33" s="601"/>
      <c r="E33" s="601"/>
      <c r="F33" s="601"/>
      <c r="G33" s="601"/>
      <c r="H33" s="601"/>
      <c r="I33" s="601"/>
      <c r="J33" s="601"/>
      <c r="K33" s="601"/>
      <c r="L33" s="602"/>
      <c r="M33" s="602">
        <f>SUMIF($Z$28:$Z$29,"landbouw",M28:M29)</f>
        <v>4592</v>
      </c>
      <c r="N33" s="602">
        <f>SUMIF($Z$28:$Z$29,"landbouw",N28:N29)</f>
        <v>18880.5</v>
      </c>
      <c r="O33" s="602">
        <f>SUMIF($Z$28:$Z$29,"landbouw",O28:O29)</f>
        <v>26972.142857142855</v>
      </c>
      <c r="P33" s="602">
        <f>SUMIF($Z$28:$Z$29,"landbouw",P28:P29)</f>
        <v>0</v>
      </c>
      <c r="Q33" s="602">
        <f>SUMIF($Z$28:$Z$29,"landbouw",Q28:Q29)</f>
        <v>53944.285714285717</v>
      </c>
      <c r="R33" s="602">
        <f>SUMIF($Z$28:$Z$29,"landbouw",R28:R29)</f>
        <v>0</v>
      </c>
      <c r="S33" s="602">
        <f>SUMIF($Z$28:$Z$29,"landbouw",S28:S29)</f>
        <v>0</v>
      </c>
      <c r="T33" s="602">
        <f>SUMIF($Z$28:$Z$29,"landbouw",T28:T29)</f>
        <v>0</v>
      </c>
      <c r="U33" s="602">
        <f>SUMIF($Z$28:$Z$29,"landbouw",U28:U29)</f>
        <v>0</v>
      </c>
      <c r="V33" s="602">
        <f>SUMIF($Z$28:$Z$29,"landbouw",V28:V29)</f>
        <v>0</v>
      </c>
      <c r="W33" s="602">
        <f>SUMIF($Z$28:$Z$29,"landbouw",W28:W29)</f>
        <v>0</v>
      </c>
      <c r="X33" s="603"/>
      <c r="Y33" s="603"/>
      <c r="Z33" s="604"/>
    </row>
    <row r="34" spans="1:27" s="544" customFormat="1" ht="15.75" thickBot="1">
      <c r="A34" s="605"/>
      <c r="B34" s="606"/>
      <c r="C34" s="606"/>
      <c r="D34" s="606"/>
      <c r="E34" s="606"/>
      <c r="F34" s="606"/>
      <c r="G34" s="606"/>
      <c r="H34" s="606"/>
      <c r="I34" s="606"/>
      <c r="J34" s="606"/>
      <c r="K34" s="606"/>
      <c r="L34" s="589"/>
      <c r="M34" s="589"/>
      <c r="N34" s="589"/>
      <c r="O34" s="590"/>
      <c r="P34" s="590"/>
    </row>
    <row r="35" spans="1:27" s="544" customFormat="1" ht="45">
      <c r="A35" s="607" t="s">
        <v>280</v>
      </c>
      <c r="B35" s="636" t="s">
        <v>89</v>
      </c>
      <c r="C35" s="636" t="s">
        <v>90</v>
      </c>
      <c r="D35" s="636" t="s">
        <v>91</v>
      </c>
      <c r="E35" s="636" t="s">
        <v>92</v>
      </c>
      <c r="F35" s="636" t="s">
        <v>93</v>
      </c>
      <c r="G35" s="636" t="s">
        <v>94</v>
      </c>
      <c r="H35" s="636" t="s">
        <v>95</v>
      </c>
      <c r="I35" s="636" t="s">
        <v>96</v>
      </c>
      <c r="J35" s="636" t="s">
        <v>97</v>
      </c>
      <c r="K35" s="636" t="s">
        <v>98</v>
      </c>
      <c r="L35" s="636" t="s">
        <v>99</v>
      </c>
      <c r="M35" s="637" t="s">
        <v>297</v>
      </c>
      <c r="N35" s="637" t="s">
        <v>100</v>
      </c>
      <c r="O35" s="637" t="s">
        <v>101</v>
      </c>
      <c r="P35" s="637" t="s">
        <v>546</v>
      </c>
      <c r="Q35" s="637" t="s">
        <v>102</v>
      </c>
      <c r="R35" s="637" t="s">
        <v>103</v>
      </c>
      <c r="S35" s="637" t="s">
        <v>104</v>
      </c>
      <c r="T35" s="637" t="s">
        <v>105</v>
      </c>
      <c r="U35" s="637" t="s">
        <v>106</v>
      </c>
      <c r="V35" s="637" t="s">
        <v>107</v>
      </c>
      <c r="W35" s="636" t="s">
        <v>108</v>
      </c>
      <c r="X35" s="636" t="s">
        <v>298</v>
      </c>
      <c r="Y35" s="636" t="s">
        <v>109</v>
      </c>
      <c r="Z35" s="638" t="s">
        <v>299</v>
      </c>
    </row>
    <row r="36" spans="1:27" s="608" customFormat="1" ht="12.75">
      <c r="A36" s="594"/>
      <c r="B36" s="787"/>
      <c r="C36" s="787"/>
      <c r="D36" s="642"/>
      <c r="E36" s="642"/>
      <c r="F36" s="642"/>
      <c r="G36" s="642"/>
      <c r="H36" s="642"/>
      <c r="I36" s="642"/>
      <c r="J36" s="786"/>
      <c r="K36" s="786"/>
      <c r="L36" s="642"/>
      <c r="M36" s="642"/>
      <c r="N36" s="642"/>
      <c r="O36" s="642"/>
      <c r="P36" s="642"/>
      <c r="Q36" s="642"/>
      <c r="R36" s="642"/>
      <c r="S36" s="642"/>
      <c r="T36" s="642"/>
      <c r="U36" s="642"/>
      <c r="V36" s="642"/>
      <c r="W36" s="642"/>
      <c r="X36" s="642"/>
      <c r="Y36" s="642"/>
      <c r="Z36" s="643"/>
    </row>
    <row r="37" spans="1:27" s="576" customFormat="1">
      <c r="A37" s="595" t="s">
        <v>279</v>
      </c>
      <c r="B37" s="596"/>
      <c r="C37" s="596"/>
      <c r="D37" s="596"/>
      <c r="E37" s="596"/>
      <c r="F37" s="596"/>
      <c r="G37" s="596"/>
      <c r="H37" s="596"/>
      <c r="I37" s="596"/>
      <c r="J37" s="596"/>
      <c r="K37" s="596"/>
      <c r="L37" s="597"/>
      <c r="M37" s="597">
        <f>SUM(M36:M36)</f>
        <v>0</v>
      </c>
      <c r="N37" s="597">
        <f>SUM(N36:N36)</f>
        <v>0</v>
      </c>
      <c r="O37" s="597">
        <f>SUM(O36:O36)</f>
        <v>0</v>
      </c>
      <c r="P37" s="597">
        <f>SUM(P36:P36)</f>
        <v>0</v>
      </c>
      <c r="Q37" s="597">
        <f>SUM(Q36:Q36)</f>
        <v>0</v>
      </c>
      <c r="R37" s="597">
        <f>SUM(R36:R36)</f>
        <v>0</v>
      </c>
      <c r="S37" s="597">
        <f>SUM(S36:S36)</f>
        <v>0</v>
      </c>
      <c r="T37" s="597">
        <f>SUM(T36:T36)</f>
        <v>0</v>
      </c>
      <c r="U37" s="597">
        <f>SUM(U36:U36)</f>
        <v>0</v>
      </c>
      <c r="V37" s="597">
        <f>SUM(V36:V36)</f>
        <v>0</v>
      </c>
      <c r="W37" s="597">
        <f>SUM(W36:W36)</f>
        <v>0</v>
      </c>
      <c r="X37" s="598"/>
      <c r="Y37" s="598"/>
      <c r="Z37" s="599"/>
    </row>
    <row r="38" spans="1:27" s="576" customFormat="1">
      <c r="A38" s="595" t="s">
        <v>286</v>
      </c>
      <c r="B38" s="596"/>
      <c r="C38" s="596"/>
      <c r="D38" s="596"/>
      <c r="E38" s="596"/>
      <c r="F38" s="596"/>
      <c r="G38" s="596"/>
      <c r="H38" s="596"/>
      <c r="I38" s="596"/>
      <c r="J38" s="596"/>
      <c r="K38" s="596"/>
      <c r="L38" s="597"/>
      <c r="M38" s="597">
        <f>SUMIF($Z$36:$Z$36,"industrie",M36:M36)</f>
        <v>0</v>
      </c>
      <c r="N38" s="597">
        <f>SUMIF($Z$36:$Z$36,"industrie",N36:N36)</f>
        <v>0</v>
      </c>
      <c r="O38" s="597">
        <f>SUMIF($Z$36:$Z$36,"industrie",O36:O36)</f>
        <v>0</v>
      </c>
      <c r="P38" s="597">
        <f>SUMIF($Z$36:$Z$36,"industrie",P36:P36)</f>
        <v>0</v>
      </c>
      <c r="Q38" s="597">
        <f>SUMIF($Z$36:$Z$36,"industrie",Q36:Q36)</f>
        <v>0</v>
      </c>
      <c r="R38" s="597">
        <f>SUMIF($Z$36:$Z$36,"industrie",R36:R36)</f>
        <v>0</v>
      </c>
      <c r="S38" s="597">
        <f>SUMIF($Z$36:$Z$36,"industrie",S36:S36)</f>
        <v>0</v>
      </c>
      <c r="T38" s="597">
        <f>SUMIF($Z$36:$Z$36,"industrie",T36:T36)</f>
        <v>0</v>
      </c>
      <c r="U38" s="597">
        <f>SUMIF($Z$36:$Z$36,"industrie",U36:U36)</f>
        <v>0</v>
      </c>
      <c r="V38" s="597">
        <f>SUMIF($Z$36:$Z$36,"industrie",V36:V36)</f>
        <v>0</v>
      </c>
      <c r="W38" s="597">
        <f>SUMIF($Z$36:$Z$36,"industrie",W36:W36)</f>
        <v>0</v>
      </c>
      <c r="X38" s="598"/>
      <c r="Y38" s="598"/>
      <c r="Z38" s="599"/>
    </row>
    <row r="39" spans="1:27" s="576" customFormat="1">
      <c r="A39" s="595" t="s">
        <v>287</v>
      </c>
      <c r="B39" s="596"/>
      <c r="C39" s="596"/>
      <c r="D39" s="596"/>
      <c r="E39" s="596"/>
      <c r="F39" s="596"/>
      <c r="G39" s="596"/>
      <c r="H39" s="596"/>
      <c r="I39" s="596"/>
      <c r="J39" s="596"/>
      <c r="K39" s="596"/>
      <c r="L39" s="597"/>
      <c r="M39" s="597">
        <f>SUMIF($Z$36:$Z$37,"tertiair",M36:M37)</f>
        <v>0</v>
      </c>
      <c r="N39" s="597">
        <f>SUMIF($Z$36:$Z$37,"tertiair",N36:N37)</f>
        <v>0</v>
      </c>
      <c r="O39" s="597">
        <f>SUMIF($Z$36:$Z$37,"tertiair",O36:O37)</f>
        <v>0</v>
      </c>
      <c r="P39" s="597">
        <f>SUMIF($Z$36:$Z$37,"tertiair",P36:P37)</f>
        <v>0</v>
      </c>
      <c r="Q39" s="597">
        <f>SUMIF($Z$36:$Z$37,"tertiair",Q36:Q37)</f>
        <v>0</v>
      </c>
      <c r="R39" s="597">
        <f>SUMIF($Z$36:$Z$37,"tertiair",R36:R37)</f>
        <v>0</v>
      </c>
      <c r="S39" s="597">
        <f>SUMIF($Z$36:$Z$37,"tertiair",S36:S37)</f>
        <v>0</v>
      </c>
      <c r="T39" s="597">
        <f>SUMIF($Z$36:$Z$37,"tertiair",T36:T37)</f>
        <v>0</v>
      </c>
      <c r="U39" s="597">
        <f>SUMIF($Z$36:$Z$37,"tertiair",U36:U37)</f>
        <v>0</v>
      </c>
      <c r="V39" s="597">
        <f>SUMIF($Z$36:$Z$37,"tertiair",V36:V37)</f>
        <v>0</v>
      </c>
      <c r="W39" s="597">
        <f>SUMIF($Z$36:$Z$37,"tertiair",W36:W37)</f>
        <v>0</v>
      </c>
      <c r="X39" s="598"/>
      <c r="Y39" s="598"/>
      <c r="Z39" s="599"/>
    </row>
    <row r="40" spans="1:27" s="576" customFormat="1" ht="15.75" thickBot="1">
      <c r="A40" s="600" t="s">
        <v>288</v>
      </c>
      <c r="B40" s="601"/>
      <c r="C40" s="601"/>
      <c r="D40" s="601"/>
      <c r="E40" s="601"/>
      <c r="F40" s="601"/>
      <c r="G40" s="601"/>
      <c r="H40" s="601"/>
      <c r="I40" s="601"/>
      <c r="J40" s="601"/>
      <c r="K40" s="601"/>
      <c r="L40" s="602"/>
      <c r="M40" s="602">
        <f>SUMIF($Z$36:$Z$38,"landbouw",M36:M38)</f>
        <v>0</v>
      </c>
      <c r="N40" s="602">
        <f>SUMIF($Z$36:$Z$38,"landbouw",N36:N38)</f>
        <v>0</v>
      </c>
      <c r="O40" s="602">
        <f>SUMIF($Z$36:$Z$38,"landbouw",O36:O38)</f>
        <v>0</v>
      </c>
      <c r="P40" s="602">
        <f>SUMIF($Z$36:$Z$38,"landbouw",P36:P38)</f>
        <v>0</v>
      </c>
      <c r="Q40" s="602">
        <f>SUMIF($Z$36:$Z$38,"landbouw",Q36:Q38)</f>
        <v>0</v>
      </c>
      <c r="R40" s="602">
        <f>SUMIF($Z$36:$Z$38,"landbouw",R36:R38)</f>
        <v>0</v>
      </c>
      <c r="S40" s="602">
        <f>SUMIF($Z$36:$Z$38,"landbouw",S36:S38)</f>
        <v>0</v>
      </c>
      <c r="T40" s="602">
        <f>SUMIF($Z$36:$Z$38,"landbouw",T36:T38)</f>
        <v>0</v>
      </c>
      <c r="U40" s="602">
        <f>SUMIF($Z$36:$Z$38,"landbouw",U36:U38)</f>
        <v>0</v>
      </c>
      <c r="V40" s="602">
        <f>SUMIF($Z$36:$Z$38,"landbouw",V36:V38)</f>
        <v>0</v>
      </c>
      <c r="W40" s="602">
        <f>SUMIF($Z$36:$Z$38,"landbouw",W36:W38)</f>
        <v>0</v>
      </c>
      <c r="X40" s="603"/>
      <c r="Y40" s="603"/>
      <c r="Z40" s="604"/>
    </row>
    <row r="41" spans="1:27" s="609" customForma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row>
    <row r="42" spans="1:27" s="609" customFormat="1" ht="15.75" thickBo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c r="Z42" s="589"/>
      <c r="AA42" s="589"/>
    </row>
    <row r="43" spans="1:27">
      <c r="A43" s="610" t="s">
        <v>281</v>
      </c>
      <c r="B43" s="611"/>
      <c r="C43" s="611"/>
      <c r="D43" s="611"/>
      <c r="E43" s="611"/>
      <c r="F43" s="611"/>
      <c r="G43" s="611"/>
      <c r="H43" s="611"/>
      <c r="I43" s="612"/>
      <c r="J43" s="613"/>
      <c r="K43" s="613"/>
      <c r="L43" s="614"/>
      <c r="M43" s="614"/>
      <c r="N43" s="614"/>
      <c r="O43" s="614"/>
      <c r="P43" s="614"/>
    </row>
    <row r="44" spans="1:27">
      <c r="A44" s="616"/>
      <c r="B44" s="606"/>
      <c r="C44" s="606"/>
      <c r="D44" s="606"/>
      <c r="E44" s="606"/>
      <c r="F44" s="606"/>
      <c r="G44" s="606"/>
      <c r="H44" s="606"/>
      <c r="I44" s="617"/>
      <c r="J44" s="606"/>
      <c r="K44" s="606"/>
      <c r="L44" s="614"/>
      <c r="M44" s="614"/>
      <c r="N44" s="614"/>
      <c r="O44" s="614"/>
      <c r="P44" s="614"/>
    </row>
    <row r="45" spans="1:27">
      <c r="A45" s="618"/>
      <c r="B45" s="619" t="s">
        <v>282</v>
      </c>
      <c r="C45" s="619" t="s">
        <v>283</v>
      </c>
      <c r="D45" s="619"/>
      <c r="E45" s="619"/>
      <c r="F45" s="619"/>
      <c r="G45" s="619"/>
      <c r="H45" s="619"/>
      <c r="I45" s="620"/>
      <c r="J45" s="619"/>
      <c r="K45" s="619"/>
      <c r="L45" s="619"/>
      <c r="M45" s="619"/>
      <c r="N45" s="619"/>
      <c r="O45" s="619"/>
      <c r="P45" s="614"/>
    </row>
    <row r="46" spans="1:27">
      <c r="A46" s="616" t="s">
        <v>279</v>
      </c>
      <c r="B46" s="621">
        <f>IF(ISERROR(O30/(O30+N30)),0,O30/(O30+N30))</f>
        <v>0.58823529411764708</v>
      </c>
      <c r="C46" s="622">
        <f>IF(ISERROR(N30/(O30+N30)),0,N30/(N30+O30))</f>
        <v>0.41176470588235298</v>
      </c>
      <c r="D46" s="589"/>
      <c r="E46" s="589"/>
      <c r="F46" s="589"/>
      <c r="G46" s="589"/>
      <c r="H46" s="589"/>
      <c r="I46" s="623"/>
      <c r="J46" s="589"/>
      <c r="K46" s="589"/>
      <c r="L46" s="624"/>
      <c r="M46" s="624"/>
      <c r="N46" s="624"/>
      <c r="O46" s="624"/>
      <c r="P46" s="614"/>
    </row>
    <row r="47" spans="1:27">
      <c r="A47" s="616"/>
      <c r="B47" s="625"/>
      <c r="C47" s="625"/>
      <c r="D47" s="625"/>
      <c r="E47" s="625"/>
      <c r="F47" s="625"/>
      <c r="G47" s="625"/>
      <c r="H47" s="625"/>
      <c r="I47" s="626"/>
      <c r="J47" s="625"/>
      <c r="K47" s="625"/>
      <c r="L47" s="627"/>
      <c r="M47" s="627"/>
      <c r="N47" s="627"/>
      <c r="O47" s="627"/>
      <c r="P47" s="614"/>
    </row>
    <row r="48" spans="1:27" ht="30">
      <c r="A48" s="628"/>
      <c r="B48" s="629" t="s">
        <v>546</v>
      </c>
      <c r="C48" s="629" t="s">
        <v>102</v>
      </c>
      <c r="D48" s="629" t="s">
        <v>103</v>
      </c>
      <c r="E48" s="629" t="s">
        <v>104</v>
      </c>
      <c r="F48" s="629" t="s">
        <v>105</v>
      </c>
      <c r="G48" s="629" t="s">
        <v>106</v>
      </c>
      <c r="H48" s="629" t="s">
        <v>107</v>
      </c>
      <c r="I48" s="630" t="s">
        <v>108</v>
      </c>
      <c r="J48" s="619"/>
      <c r="K48" s="619"/>
      <c r="L48" s="627"/>
      <c r="M48" s="627"/>
      <c r="N48" s="627"/>
      <c r="O48" s="614"/>
      <c r="P48" s="614"/>
    </row>
    <row r="49" spans="1:16">
      <c r="A49" s="618" t="s">
        <v>284</v>
      </c>
      <c r="B49" s="631">
        <f t="shared" ref="B49:I49" si="2">$C$46*P30</f>
        <v>0</v>
      </c>
      <c r="C49" s="631">
        <f t="shared" si="2"/>
        <v>22212.352941176472</v>
      </c>
      <c r="D49" s="631">
        <f t="shared" si="2"/>
        <v>0</v>
      </c>
      <c r="E49" s="631">
        <f t="shared" si="2"/>
        <v>0</v>
      </c>
      <c r="F49" s="631">
        <f t="shared" si="2"/>
        <v>0</v>
      </c>
      <c r="G49" s="631">
        <f t="shared" si="2"/>
        <v>0</v>
      </c>
      <c r="H49" s="631">
        <f t="shared" si="2"/>
        <v>0</v>
      </c>
      <c r="I49" s="632">
        <f t="shared" si="2"/>
        <v>0</v>
      </c>
      <c r="J49" s="589"/>
      <c r="K49" s="589"/>
      <c r="L49" s="627"/>
      <c r="M49" s="627"/>
      <c r="N49" s="627"/>
      <c r="O49" s="614"/>
      <c r="P49" s="614"/>
    </row>
    <row r="50" spans="1:16" ht="15.75" thickBot="1">
      <c r="A50" s="633" t="s">
        <v>285</v>
      </c>
      <c r="B50" s="634">
        <f t="shared" ref="B50:I50" si="3">$B$46*P30</f>
        <v>0</v>
      </c>
      <c r="C50" s="634">
        <f t="shared" si="3"/>
        <v>31731.932773109245</v>
      </c>
      <c r="D50" s="634">
        <f t="shared" si="3"/>
        <v>0</v>
      </c>
      <c r="E50" s="634">
        <f t="shared" si="3"/>
        <v>0</v>
      </c>
      <c r="F50" s="634">
        <f t="shared" si="3"/>
        <v>0</v>
      </c>
      <c r="G50" s="634">
        <f t="shared" si="3"/>
        <v>0</v>
      </c>
      <c r="H50" s="634">
        <f t="shared" si="3"/>
        <v>0</v>
      </c>
      <c r="I50" s="635">
        <f t="shared" si="3"/>
        <v>0</v>
      </c>
      <c r="J50" s="589"/>
      <c r="K50" s="589"/>
      <c r="L50" s="627"/>
      <c r="M50" s="627"/>
      <c r="N50" s="627"/>
      <c r="O50" s="614"/>
      <c r="P50" s="614"/>
    </row>
    <row r="51" spans="1:16">
      <c r="J51" s="574"/>
      <c r="K51" s="574"/>
      <c r="L51" s="574"/>
      <c r="M51" s="574"/>
      <c r="N51" s="574"/>
    </row>
    <row r="52" spans="1:16">
      <c r="J52" s="574"/>
      <c r="K52" s="574"/>
      <c r="L52" s="574"/>
      <c r="M52" s="574"/>
      <c r="N52"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21934.470713544797</v>
      </c>
      <c r="C4" s="458">
        <f>huishoudens!C8</f>
        <v>0</v>
      </c>
      <c r="D4" s="458">
        <f>huishoudens!D8</f>
        <v>66104.271473030371</v>
      </c>
      <c r="E4" s="458">
        <f>huishoudens!E8</f>
        <v>5031.7919562216357</v>
      </c>
      <c r="F4" s="458">
        <f>huishoudens!F8</f>
        <v>10938.847600654995</v>
      </c>
      <c r="G4" s="458">
        <f>huishoudens!G8</f>
        <v>0</v>
      </c>
      <c r="H4" s="458">
        <f>huishoudens!H8</f>
        <v>0</v>
      </c>
      <c r="I4" s="458">
        <f>huishoudens!I8</f>
        <v>0</v>
      </c>
      <c r="J4" s="458">
        <f>huishoudens!J8</f>
        <v>0</v>
      </c>
      <c r="K4" s="458">
        <f>huishoudens!K8</f>
        <v>0</v>
      </c>
      <c r="L4" s="458">
        <f>huishoudens!L8</f>
        <v>0</v>
      </c>
      <c r="M4" s="458">
        <f>huishoudens!M8</f>
        <v>0</v>
      </c>
      <c r="N4" s="458">
        <f>huishoudens!N8</f>
        <v>29368.618071899185</v>
      </c>
      <c r="O4" s="458">
        <f>huishoudens!O8</f>
        <v>229.81</v>
      </c>
      <c r="P4" s="459">
        <f>huishoudens!P8</f>
        <v>610.13333333333333</v>
      </c>
      <c r="Q4" s="460">
        <f>SUM(B4:P4)</f>
        <v>134217.94314868431</v>
      </c>
    </row>
    <row r="5" spans="1:17">
      <c r="A5" s="457" t="s">
        <v>155</v>
      </c>
      <c r="B5" s="458">
        <f ca="1">tertiair!B16</f>
        <v>43228.761045247331</v>
      </c>
      <c r="C5" s="458">
        <f ca="1">tertiair!C16</f>
        <v>0</v>
      </c>
      <c r="D5" s="458">
        <f ca="1">tertiair!D16</f>
        <v>15058.828074899473</v>
      </c>
      <c r="E5" s="458">
        <f>tertiair!E16</f>
        <v>547.07423830713583</v>
      </c>
      <c r="F5" s="458">
        <f ca="1">tertiair!F16</f>
        <v>8679.7902590587437</v>
      </c>
      <c r="G5" s="458">
        <f>tertiair!G16</f>
        <v>0</v>
      </c>
      <c r="H5" s="458">
        <f>tertiair!H16</f>
        <v>0</v>
      </c>
      <c r="I5" s="458">
        <f>tertiair!I16</f>
        <v>0</v>
      </c>
      <c r="J5" s="458">
        <f>tertiair!J16</f>
        <v>0</v>
      </c>
      <c r="K5" s="458">
        <f>tertiair!K16</f>
        <v>0</v>
      </c>
      <c r="L5" s="458">
        <f ca="1">tertiair!L16</f>
        <v>0</v>
      </c>
      <c r="M5" s="458">
        <f>tertiair!M16</f>
        <v>0</v>
      </c>
      <c r="N5" s="458">
        <f ca="1">tertiair!N16</f>
        <v>4155.0677277076666</v>
      </c>
      <c r="O5" s="458">
        <f>tertiair!O16</f>
        <v>6.2533333333333339</v>
      </c>
      <c r="P5" s="459">
        <f>tertiair!P16</f>
        <v>57.2</v>
      </c>
      <c r="Q5" s="457">
        <f t="shared" ref="Q5:Q14" ca="1" si="0">SUM(B5:P5)</f>
        <v>71732.97467855367</v>
      </c>
    </row>
    <row r="6" spans="1:17">
      <c r="A6" s="457" t="s">
        <v>193</v>
      </c>
      <c r="B6" s="458">
        <f>'openbare verlichting'!B8</f>
        <v>805.79399999999998</v>
      </c>
      <c r="C6" s="458"/>
      <c r="D6" s="458"/>
      <c r="E6" s="458"/>
      <c r="F6" s="458"/>
      <c r="G6" s="458"/>
      <c r="H6" s="458"/>
      <c r="I6" s="458"/>
      <c r="J6" s="458"/>
      <c r="K6" s="458"/>
      <c r="L6" s="458"/>
      <c r="M6" s="458"/>
      <c r="N6" s="458"/>
      <c r="O6" s="458"/>
      <c r="P6" s="459"/>
      <c r="Q6" s="457">
        <f t="shared" si="0"/>
        <v>805.79399999999998</v>
      </c>
    </row>
    <row r="7" spans="1:17">
      <c r="A7" s="457" t="s">
        <v>111</v>
      </c>
      <c r="B7" s="458">
        <f>landbouw!B8</f>
        <v>5065.7607416036126</v>
      </c>
      <c r="C7" s="458">
        <f>landbouw!C8</f>
        <v>26972.142857142855</v>
      </c>
      <c r="D7" s="458">
        <f>landbouw!D8</f>
        <v>2068.6131228628756</v>
      </c>
      <c r="E7" s="458">
        <f>landbouw!E8</f>
        <v>63.835111370916231</v>
      </c>
      <c r="F7" s="458">
        <f>landbouw!F8</f>
        <v>17478.14360742702</v>
      </c>
      <c r="G7" s="458">
        <f>landbouw!G8</f>
        <v>0</v>
      </c>
      <c r="H7" s="458">
        <f>landbouw!H8</f>
        <v>0</v>
      </c>
      <c r="I7" s="458">
        <f>landbouw!I8</f>
        <v>0</v>
      </c>
      <c r="J7" s="458">
        <f>landbouw!J8</f>
        <v>761.83283000145559</v>
      </c>
      <c r="K7" s="458">
        <f>landbouw!K8</f>
        <v>0</v>
      </c>
      <c r="L7" s="458">
        <f>landbouw!L8</f>
        <v>0</v>
      </c>
      <c r="M7" s="458">
        <f>landbouw!M8</f>
        <v>0</v>
      </c>
      <c r="N7" s="458">
        <f>landbouw!N8</f>
        <v>0</v>
      </c>
      <c r="O7" s="458">
        <f>landbouw!O8</f>
        <v>0</v>
      </c>
      <c r="P7" s="459">
        <f>landbouw!P8</f>
        <v>0</v>
      </c>
      <c r="Q7" s="457">
        <f t="shared" si="0"/>
        <v>52410.328270408732</v>
      </c>
    </row>
    <row r="8" spans="1:17">
      <c r="A8" s="457" t="s">
        <v>655</v>
      </c>
      <c r="B8" s="458">
        <f>industrie!B18</f>
        <v>18721.107794482152</v>
      </c>
      <c r="C8" s="458">
        <f>industrie!C18</f>
        <v>0</v>
      </c>
      <c r="D8" s="458">
        <f>industrie!D18</f>
        <v>8639.373748227943</v>
      </c>
      <c r="E8" s="458">
        <f>industrie!E18</f>
        <v>2234.6042670395095</v>
      </c>
      <c r="F8" s="458">
        <f>industrie!F18</f>
        <v>7500.7589666225822</v>
      </c>
      <c r="G8" s="458">
        <f>industrie!G18</f>
        <v>0</v>
      </c>
      <c r="H8" s="458">
        <f>industrie!H18</f>
        <v>0</v>
      </c>
      <c r="I8" s="458">
        <f>industrie!I18</f>
        <v>0</v>
      </c>
      <c r="J8" s="458">
        <f>industrie!J18</f>
        <v>13.45128980074152</v>
      </c>
      <c r="K8" s="458">
        <f>industrie!K18</f>
        <v>0</v>
      </c>
      <c r="L8" s="458">
        <f>industrie!L18</f>
        <v>0</v>
      </c>
      <c r="M8" s="458">
        <f>industrie!M18</f>
        <v>0</v>
      </c>
      <c r="N8" s="458">
        <f>industrie!N18</f>
        <v>1284.9496276517252</v>
      </c>
      <c r="O8" s="458">
        <f>industrie!O18</f>
        <v>0</v>
      </c>
      <c r="P8" s="459">
        <f>industrie!P18</f>
        <v>0</v>
      </c>
      <c r="Q8" s="457">
        <f t="shared" si="0"/>
        <v>38394.245693824654</v>
      </c>
    </row>
    <row r="9" spans="1:17" s="463" customFormat="1">
      <c r="A9" s="461" t="s">
        <v>573</v>
      </c>
      <c r="B9" s="462">
        <f>transport!B14</f>
        <v>3.2082316920711946</v>
      </c>
      <c r="C9" s="462">
        <f>transport!C14</f>
        <v>0</v>
      </c>
      <c r="D9" s="462">
        <f>transport!D14</f>
        <v>5.2682410426444326</v>
      </c>
      <c r="E9" s="462">
        <f>transport!E14</f>
        <v>203.76933390904617</v>
      </c>
      <c r="F9" s="462">
        <f>transport!F14</f>
        <v>0</v>
      </c>
      <c r="G9" s="462">
        <f>transport!G14</f>
        <v>75987.245074931765</v>
      </c>
      <c r="H9" s="462">
        <f>transport!H14</f>
        <v>9784.2883977701822</v>
      </c>
      <c r="I9" s="462">
        <f>transport!I14</f>
        <v>0</v>
      </c>
      <c r="J9" s="462">
        <f>transport!J14</f>
        <v>0</v>
      </c>
      <c r="K9" s="462">
        <f>transport!K14</f>
        <v>0</v>
      </c>
      <c r="L9" s="462">
        <f>transport!L14</f>
        <v>0</v>
      </c>
      <c r="M9" s="462">
        <f>transport!M14</f>
        <v>3876.9046596460712</v>
      </c>
      <c r="N9" s="462">
        <f>transport!N14</f>
        <v>0</v>
      </c>
      <c r="O9" s="462">
        <f>transport!O14</f>
        <v>0</v>
      </c>
      <c r="P9" s="462">
        <f>transport!P14</f>
        <v>0</v>
      </c>
      <c r="Q9" s="461">
        <f>SUM(B9:P9)</f>
        <v>89860.683938991788</v>
      </c>
    </row>
    <row r="10" spans="1:17">
      <c r="A10" s="457" t="s">
        <v>563</v>
      </c>
      <c r="B10" s="458">
        <f>transport!B54</f>
        <v>0</v>
      </c>
      <c r="C10" s="458">
        <f>transport!C54</f>
        <v>0</v>
      </c>
      <c r="D10" s="458">
        <f>transport!D54</f>
        <v>0</v>
      </c>
      <c r="E10" s="458">
        <f>transport!E54</f>
        <v>0</v>
      </c>
      <c r="F10" s="458">
        <f>transport!F54</f>
        <v>0</v>
      </c>
      <c r="G10" s="458">
        <f>transport!G54</f>
        <v>758.09324811816862</v>
      </c>
      <c r="H10" s="458">
        <f>transport!H54</f>
        <v>0</v>
      </c>
      <c r="I10" s="458">
        <f>transport!I54</f>
        <v>0</v>
      </c>
      <c r="J10" s="458">
        <f>transport!J54</f>
        <v>0</v>
      </c>
      <c r="K10" s="458">
        <f>transport!K54</f>
        <v>0</v>
      </c>
      <c r="L10" s="458">
        <f>transport!L54</f>
        <v>0</v>
      </c>
      <c r="M10" s="458">
        <f>transport!M54</f>
        <v>33.743357638358617</v>
      </c>
      <c r="N10" s="458">
        <f>transport!N54</f>
        <v>0</v>
      </c>
      <c r="O10" s="458">
        <f>transport!O54</f>
        <v>0</v>
      </c>
      <c r="P10" s="459">
        <f>transport!P54</f>
        <v>0</v>
      </c>
      <c r="Q10" s="457">
        <f t="shared" si="0"/>
        <v>791.83660575652721</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780.17919175347197</v>
      </c>
      <c r="C14" s="465"/>
      <c r="D14" s="465">
        <f>'SEAP template'!E25</f>
        <v>2900.67557830533</v>
      </c>
      <c r="E14" s="465"/>
      <c r="F14" s="465"/>
      <c r="G14" s="465"/>
      <c r="H14" s="465"/>
      <c r="I14" s="465"/>
      <c r="J14" s="465"/>
      <c r="K14" s="465"/>
      <c r="L14" s="465"/>
      <c r="M14" s="465"/>
      <c r="N14" s="465"/>
      <c r="O14" s="465"/>
      <c r="P14" s="466"/>
      <c r="Q14" s="457">
        <f t="shared" si="0"/>
        <v>3680.8547700588019</v>
      </c>
    </row>
    <row r="15" spans="1:17" s="470" customFormat="1">
      <c r="A15" s="467" t="s">
        <v>567</v>
      </c>
      <c r="B15" s="468">
        <f ca="1">SUM(B4:B14)</f>
        <v>90539.281718323429</v>
      </c>
      <c r="C15" s="468">
        <f t="shared" ref="C15:Q15" ca="1" si="1">SUM(C4:C14)</f>
        <v>26972.142857142855</v>
      </c>
      <c r="D15" s="468">
        <f t="shared" ca="1" si="1"/>
        <v>94777.030238368636</v>
      </c>
      <c r="E15" s="468">
        <f t="shared" si="1"/>
        <v>8081.0749068482428</v>
      </c>
      <c r="F15" s="468">
        <f t="shared" ca="1" si="1"/>
        <v>44597.540433763337</v>
      </c>
      <c r="G15" s="468">
        <f t="shared" si="1"/>
        <v>76745.338323049931</v>
      </c>
      <c r="H15" s="468">
        <f t="shared" si="1"/>
        <v>9784.2883977701822</v>
      </c>
      <c r="I15" s="468">
        <f t="shared" si="1"/>
        <v>0</v>
      </c>
      <c r="J15" s="468">
        <f t="shared" si="1"/>
        <v>775.2841198021971</v>
      </c>
      <c r="K15" s="468">
        <f t="shared" si="1"/>
        <v>0</v>
      </c>
      <c r="L15" s="468">
        <f t="shared" ca="1" si="1"/>
        <v>0</v>
      </c>
      <c r="M15" s="468">
        <f t="shared" si="1"/>
        <v>3910.6480172844299</v>
      </c>
      <c r="N15" s="468">
        <f t="shared" ca="1" si="1"/>
        <v>34808.635427258574</v>
      </c>
      <c r="O15" s="468">
        <f t="shared" si="1"/>
        <v>236.06333333333333</v>
      </c>
      <c r="P15" s="468">
        <f t="shared" si="1"/>
        <v>667.33333333333337</v>
      </c>
      <c r="Q15" s="468">
        <f t="shared" ca="1" si="1"/>
        <v>391894.66110627854</v>
      </c>
    </row>
    <row r="17" spans="1:17">
      <c r="A17" s="471" t="s">
        <v>568</v>
      </c>
      <c r="B17" s="777">
        <f ca="1">huishoudens!B10</f>
        <v>9.4697299328304438E-2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2077.135138768479</v>
      </c>
      <c r="C22" s="458">
        <f t="shared" ref="C22:C32" ca="1" si="3">C4*$C$17</f>
        <v>0</v>
      </c>
      <c r="D22" s="458">
        <f t="shared" ref="D22:D32" si="4">D4*$D$17</f>
        <v>13353.062837552136</v>
      </c>
      <c r="E22" s="458">
        <f t="shared" ref="E22:E32" si="5">E4*$E$17</f>
        <v>1142.2167740623113</v>
      </c>
      <c r="F22" s="458">
        <f t="shared" ref="F22:F32" si="6">F4*$F$17</f>
        <v>2920.6723093748838</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19493.08705975781</v>
      </c>
    </row>
    <row r="23" spans="1:17">
      <c r="A23" s="457" t="s">
        <v>155</v>
      </c>
      <c r="B23" s="458">
        <f t="shared" ca="1" si="2"/>
        <v>4093.6469242935332</v>
      </c>
      <c r="C23" s="458">
        <f t="shared" ca="1" si="3"/>
        <v>0</v>
      </c>
      <c r="D23" s="458">
        <f t="shared" ca="1" si="4"/>
        <v>3041.8832711296936</v>
      </c>
      <c r="E23" s="458">
        <f t="shared" si="5"/>
        <v>124.18585209571984</v>
      </c>
      <c r="F23" s="458">
        <f t="shared" ca="1" si="6"/>
        <v>2317.5039991686849</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9577.2200466876311</v>
      </c>
    </row>
    <row r="24" spans="1:17">
      <c r="A24" s="457" t="s">
        <v>193</v>
      </c>
      <c r="B24" s="458">
        <f t="shared" ca="1" si="2"/>
        <v>76.306515614951749</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76.306515614951749</v>
      </c>
    </row>
    <row r="25" spans="1:17">
      <c r="A25" s="457" t="s">
        <v>111</v>
      </c>
      <c r="B25" s="458">
        <f t="shared" ca="1" si="2"/>
        <v>479.7138612732108</v>
      </c>
      <c r="C25" s="458">
        <f t="shared" ca="1" si="3"/>
        <v>0</v>
      </c>
      <c r="D25" s="458">
        <f t="shared" si="4"/>
        <v>417.85985081830091</v>
      </c>
      <c r="E25" s="458">
        <f t="shared" si="5"/>
        <v>14.490570281197984</v>
      </c>
      <c r="F25" s="458">
        <f t="shared" si="6"/>
        <v>4666.6643431830144</v>
      </c>
      <c r="G25" s="458">
        <f t="shared" si="7"/>
        <v>0</v>
      </c>
      <c r="H25" s="458">
        <f t="shared" si="8"/>
        <v>0</v>
      </c>
      <c r="I25" s="458">
        <f t="shared" si="9"/>
        <v>0</v>
      </c>
      <c r="J25" s="458">
        <f t="shared" si="10"/>
        <v>269.68882182051527</v>
      </c>
      <c r="K25" s="458">
        <f t="shared" si="11"/>
        <v>0</v>
      </c>
      <c r="L25" s="458">
        <f t="shared" si="12"/>
        <v>0</v>
      </c>
      <c r="M25" s="458">
        <f t="shared" si="13"/>
        <v>0</v>
      </c>
      <c r="N25" s="458">
        <f t="shared" si="14"/>
        <v>0</v>
      </c>
      <c r="O25" s="458">
        <f t="shared" si="15"/>
        <v>0</v>
      </c>
      <c r="P25" s="459">
        <f t="shared" si="16"/>
        <v>0</v>
      </c>
      <c r="Q25" s="457">
        <f t="shared" ca="1" si="17"/>
        <v>5848.4174473762387</v>
      </c>
    </row>
    <row r="26" spans="1:17">
      <c r="A26" s="457" t="s">
        <v>655</v>
      </c>
      <c r="B26" s="458">
        <f t="shared" ca="1" si="2"/>
        <v>1772.8383485715297</v>
      </c>
      <c r="C26" s="458">
        <f t="shared" ca="1" si="3"/>
        <v>0</v>
      </c>
      <c r="D26" s="458">
        <f t="shared" si="4"/>
        <v>1745.1534971420447</v>
      </c>
      <c r="E26" s="458">
        <f t="shared" si="5"/>
        <v>507.25516861796865</v>
      </c>
      <c r="F26" s="458">
        <f t="shared" si="6"/>
        <v>2002.7026440882296</v>
      </c>
      <c r="G26" s="458">
        <f t="shared" si="7"/>
        <v>0</v>
      </c>
      <c r="H26" s="458">
        <f t="shared" si="8"/>
        <v>0</v>
      </c>
      <c r="I26" s="458">
        <f t="shared" si="9"/>
        <v>0</v>
      </c>
      <c r="J26" s="458">
        <f t="shared" si="10"/>
        <v>4.7617565894624976</v>
      </c>
      <c r="K26" s="458">
        <f t="shared" si="11"/>
        <v>0</v>
      </c>
      <c r="L26" s="458">
        <f t="shared" si="12"/>
        <v>0</v>
      </c>
      <c r="M26" s="458">
        <f t="shared" si="13"/>
        <v>0</v>
      </c>
      <c r="N26" s="458">
        <f t="shared" si="14"/>
        <v>0</v>
      </c>
      <c r="O26" s="458">
        <f t="shared" si="15"/>
        <v>0</v>
      </c>
      <c r="P26" s="459">
        <f t="shared" si="16"/>
        <v>0</v>
      </c>
      <c r="Q26" s="457">
        <f t="shared" ca="1" si="17"/>
        <v>6032.7114150092357</v>
      </c>
    </row>
    <row r="27" spans="1:17" s="463" customFormat="1">
      <c r="A27" s="461" t="s">
        <v>573</v>
      </c>
      <c r="B27" s="771">
        <f t="shared" ca="1" si="2"/>
        <v>0.30381087685861857</v>
      </c>
      <c r="C27" s="462">
        <f t="shared" ca="1" si="3"/>
        <v>0</v>
      </c>
      <c r="D27" s="462">
        <f t="shared" si="4"/>
        <v>1.0641846906141754</v>
      </c>
      <c r="E27" s="462">
        <f t="shared" si="5"/>
        <v>46.255638797353484</v>
      </c>
      <c r="F27" s="462">
        <f t="shared" si="6"/>
        <v>0</v>
      </c>
      <c r="G27" s="462">
        <f t="shared" si="7"/>
        <v>20288.594435006784</v>
      </c>
      <c r="H27" s="462">
        <f t="shared" si="8"/>
        <v>2436.2878110447755</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22772.505880416385</v>
      </c>
    </row>
    <row r="28" spans="1:17">
      <c r="A28" s="457" t="s">
        <v>563</v>
      </c>
      <c r="B28" s="458">
        <f t="shared" ca="1" si="2"/>
        <v>0</v>
      </c>
      <c r="C28" s="458">
        <f t="shared" ca="1" si="3"/>
        <v>0</v>
      </c>
      <c r="D28" s="458">
        <f t="shared" si="4"/>
        <v>0</v>
      </c>
      <c r="E28" s="458">
        <f t="shared" si="5"/>
        <v>0</v>
      </c>
      <c r="F28" s="458">
        <f t="shared" si="6"/>
        <v>0</v>
      </c>
      <c r="G28" s="458">
        <f t="shared" si="7"/>
        <v>202.41089724755102</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202.41089724755102</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73.880862451193167</v>
      </c>
      <c r="C32" s="458">
        <f t="shared" ca="1" si="3"/>
        <v>0</v>
      </c>
      <c r="D32" s="458">
        <f t="shared" si="4"/>
        <v>585.93646681767666</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659.8173292688698</v>
      </c>
    </row>
    <row r="33" spans="1:17" s="470" customFormat="1">
      <c r="A33" s="467" t="s">
        <v>567</v>
      </c>
      <c r="B33" s="468">
        <f ca="1">SUM(B22:B32)</f>
        <v>8573.825461849754</v>
      </c>
      <c r="C33" s="468">
        <f t="shared" ref="C33:Q33" ca="1" si="18">SUM(C22:C32)</f>
        <v>0</v>
      </c>
      <c r="D33" s="468">
        <f t="shared" ca="1" si="18"/>
        <v>19144.960108150466</v>
      </c>
      <c r="E33" s="468">
        <f t="shared" si="18"/>
        <v>1834.4040038545511</v>
      </c>
      <c r="F33" s="468">
        <f t="shared" ca="1" si="18"/>
        <v>11907.543295814812</v>
      </c>
      <c r="G33" s="468">
        <f t="shared" si="18"/>
        <v>20491.005332254335</v>
      </c>
      <c r="H33" s="468">
        <f t="shared" si="18"/>
        <v>2436.2878110447755</v>
      </c>
      <c r="I33" s="468">
        <f t="shared" si="18"/>
        <v>0</v>
      </c>
      <c r="J33" s="468">
        <f t="shared" si="18"/>
        <v>274.45057840997777</v>
      </c>
      <c r="K33" s="468">
        <f t="shared" si="18"/>
        <v>0</v>
      </c>
      <c r="L33" s="468">
        <f t="shared" ca="1" si="18"/>
        <v>0</v>
      </c>
      <c r="M33" s="468">
        <f t="shared" si="18"/>
        <v>0</v>
      </c>
      <c r="N33" s="468">
        <f t="shared" ca="1" si="18"/>
        <v>0</v>
      </c>
      <c r="O33" s="468">
        <f t="shared" si="18"/>
        <v>0</v>
      </c>
      <c r="P33" s="468">
        <f t="shared" si="18"/>
        <v>0</v>
      </c>
      <c r="Q33" s="468">
        <f t="shared" ca="1" si="18"/>
        <v>64662.476591378683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25394.132829999999</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7469.0585632114135</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18880.5</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22212.352941176472</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51743.691393211411</v>
      </c>
      <c r="C10" s="1038">
        <f>SUM(C4:C9)</f>
        <v>0</v>
      </c>
      <c r="D10" s="1038">
        <f t="shared" ref="D10:H10" si="0">SUM(D8:D9)</f>
        <v>0</v>
      </c>
      <c r="E10" s="1038">
        <f t="shared" si="0"/>
        <v>0</v>
      </c>
      <c r="F10" s="1038">
        <f t="shared" si="0"/>
        <v>0</v>
      </c>
      <c r="G10" s="1038">
        <f t="shared" si="0"/>
        <v>0</v>
      </c>
      <c r="H10" s="1038">
        <f t="shared" si="0"/>
        <v>0</v>
      </c>
      <c r="I10" s="1038">
        <f>SUM(I8:I9)</f>
        <v>0</v>
      </c>
      <c r="J10" s="1038">
        <f>SUM(J8:J9)</f>
        <v>22212.352941176472</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9.4697299328304438E-2</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26972.142857142855</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31731.932773109245</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26972.142857142855</v>
      </c>
      <c r="C20" s="1038">
        <f>SUM(C17:C19)</f>
        <v>0</v>
      </c>
      <c r="D20" s="1038">
        <f t="shared" ref="D20:H20" si="2">SUM(D17:D19)</f>
        <v>0</v>
      </c>
      <c r="E20" s="1038">
        <f t="shared" si="2"/>
        <v>0</v>
      </c>
      <c r="F20" s="1038">
        <f t="shared" si="2"/>
        <v>0</v>
      </c>
      <c r="G20" s="1038">
        <f t="shared" si="2"/>
        <v>0</v>
      </c>
      <c r="H20" s="1038">
        <f t="shared" si="2"/>
        <v>0</v>
      </c>
      <c r="I20" s="1038">
        <f>SUM(I17:I19)</f>
        <v>0</v>
      </c>
      <c r="J20" s="1038">
        <f>SUM(J17:J19)</f>
        <v>31731.932773109245</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9.4697299328304438E-2</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2020-06-20T16:14:40Z</dcterms:modified>
</cp:coreProperties>
</file>