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D20" i="18"/>
  <c r="B17" i="18"/>
  <c r="G12" i="18"/>
  <c r="F12" i="18"/>
  <c r="E12" i="18"/>
  <c r="D12" i="18"/>
  <c r="C12" i="18"/>
  <c r="L10" i="18"/>
  <c r="K10" i="18"/>
  <c r="G10" i="18"/>
  <c r="D10" i="18"/>
  <c r="B6" i="18"/>
  <c r="B5" i="18"/>
  <c r="B4" i="18"/>
  <c r="I48" i="18" l="1"/>
  <c r="H8" i="18" s="1"/>
  <c r="H10" i="18" s="1"/>
  <c r="G48" i="18"/>
  <c r="F48" i="18"/>
  <c r="D48" i="18"/>
  <c r="C48" i="18"/>
  <c r="B48" i="18"/>
  <c r="C8" i="18" s="1"/>
  <c r="C10" i="18" s="1"/>
  <c r="H48" i="18"/>
  <c r="J8" i="18" s="1"/>
  <c r="J10" i="18" s="1"/>
  <c r="B20" i="18"/>
  <c r="B49" i="18"/>
  <c r="C17" i="18" s="1"/>
  <c r="F49" i="18"/>
  <c r="B8" i="18"/>
  <c r="G49" i="18"/>
  <c r="I17" i="18" s="1"/>
  <c r="F20" i="18"/>
  <c r="C49" i="18"/>
  <c r="O18" i="18"/>
  <c r="H20" i="18"/>
  <c r="G20" i="18"/>
  <c r="K20" i="18"/>
  <c r="B10" i="18"/>
  <c r="O19" i="18"/>
  <c r="O9" i="18"/>
  <c r="I20" i="18"/>
  <c r="C20" i="18"/>
  <c r="D49" i="18"/>
  <c r="H49" i="18"/>
  <c r="E48" i="18"/>
  <c r="E8" i="18" s="1"/>
  <c r="E10" i="18" s="1"/>
  <c r="E49"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P4" i="48"/>
  <c r="P22" i="48" s="1"/>
  <c r="Q11" i="14"/>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E33" i="48" s="1"/>
  <c r="E15" i="48"/>
  <c r="J33" i="48"/>
  <c r="H63" i="14"/>
  <c r="E8" i="48"/>
  <c r="E26" i="48" s="1"/>
  <c r="F13" i="14"/>
  <c r="F16" i="14" s="1"/>
  <c r="F27" i="14" s="1"/>
  <c r="F63" i="14" s="1"/>
  <c r="J22" i="16"/>
  <c r="K43" i="14" s="1"/>
  <c r="K46" i="14" s="1"/>
  <c r="K61" i="14" s="1"/>
  <c r="K63" i="14" s="1"/>
  <c r="K13" i="14"/>
  <c r="K16" i="14" s="1"/>
  <c r="K27" i="14" s="1"/>
  <c r="J8" i="48"/>
  <c r="J26"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<sst xmlns="http://schemas.openxmlformats.org/spreadsheetml/2006/main" count="2447" uniqueCount="920">
  <si>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</si>
  <si>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</si>
  <si>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</si>
  <si>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</si>
  <si>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</si>
  <si>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</si>
  <si>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</si>
  <si>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</si>
  <si>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</si>
  <si>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</si>
  <si>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</si>
  <si>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</si>
  <si>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</si>
  <si>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</si>
  <si>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</si>
  <si>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</si>
  <si>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</si>
  <si>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</si>
  <si>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</si>
  <si>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</si>
  <si>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</si>
  <si>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</si>
  <si>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</si>
  <si>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</si>
  <si>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</si>
  <si>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</si>
  <si>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</si>
  <si>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</si>
  <si>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</si>
  <si>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</si>
  <si>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</si>
  <si>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</si>
  <si>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</si>
  <si>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</si>
  <si>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</si>
  <si>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</si>
  <si>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</si>
  <si>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</si>
  <si>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</si>
  <si>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</si>
  <si>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</si>
  <si>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</si>
  <si>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</si>
  <si>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</si>
  <si>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</si>
  <si>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</si>
  <si>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</si>
  <si>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</si>
  <si>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</si>
  <si>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</si>
  <si>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</si>
  <si>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</si>
  <si>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</si>
  <si>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</si>
  <si>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</si>
  <si>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</si>
  <si>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</si>
  <si>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</si>
  <si>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</si>
  <si>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</si>
  <si>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</si>
  <si>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</si>
  <si>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</si>
  <si>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</si>
  <si>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</si>
  <si>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</si>
  <si>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</si>
  <si>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</si>
  <si>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</si>
  <si>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</si>
  <si>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</si>
  <si>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</si>
  <si>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</si>
  <si>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</si>
  <si>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</si>
  <si>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</si>
  <si>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</si>
  <si>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</si>
  <si>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</si>
  <si>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</si>
  <si>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</si>
  <si>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</si>
  <si>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</si>
  <si>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</si>
  <si>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</si>
  <si>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</si>
  <si>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</si>
  <si>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</si>
  <si>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</si>
  <si>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</si>
  <si>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</si>
  <si>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</si>
  <si>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</si>
  <si>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</si>
  <si>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</si>
  <si>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</si>
  <si>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</si>
  <si>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</si>
  <si>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</si>
  <si>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</si>
  <si>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</si>
  <si>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</si>
  <si>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</si>
  <si>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</si>
  <si>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</si>
  <si>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</si>
  <si>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</si>
  <si>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</si>
  <si>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</si>
  <si>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</si>
  <si>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</si>
  <si>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</si>
  <si>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</si>
  <si>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</si>
  <si>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</si>
  <si>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</si>
  <si>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</si>
  <si>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</si>
  <si>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</si>
  <si>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</si>
  <si>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</si>
  <si>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</si>
  <si>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</si>
  <si>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</si>
  <si>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</si>
  <si>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</si>
  <si>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</si>
  <si>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</si>
  <si>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</si>
  <si>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</si>
  <si>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</si>
  <si>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</si>
  <si>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</si>
  <si>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</si>
  <si>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</si>
  <si>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</si>
  <si>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</si>
  <si>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</si>
  <si>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</si>
  <si>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</si>
  <si>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</si>
  <si>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</si>
  <si>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</si>
  <si>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</si>
  <si>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</si>
  <si>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</si>
  <si>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</si>
  <si>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</si>
  <si>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</si>
  <si>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</si>
  <si>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</si>
  <si>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</si>
  <si>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</si>
  <si>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</si>
  <si>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</si>
  <si>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</si>
  <si>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</si>
  <si>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</si>
  <si>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</si>
  <si>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</si>
  <si>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</si>
  <si>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</si>
  <si>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</si>
  <si>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</si>
  <si>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</si>
  <si>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</si>
  <si>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</si>
  <si>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</si>
  <si>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</si>
  <si>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</si>
  <si>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</si>
  <si>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</si>
  <si>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</si>
  <si>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</si>
  <si>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</si>
  <si>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</si>
  <si>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</si>
  <si>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</si>
  <si>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</si>
  <si>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</si>
  <si>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</si>
  <si>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</si>
  <si>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</si>
  <si>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</si>
  <si>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</si>
  <si>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</si>
  <si>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</si>
  <si>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</si>
  <si>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</si>
  <si>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</si>
  <si>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</si>
  <si>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</si>
  <si>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</si>
  <si>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</si>
  <si>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</si>
  <si>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</si>
  <si>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</si>
  <si>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</si>
  <si>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</si>
  <si>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</si>
  <si>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</si>
  <si>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</si>
  <si>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</si>
  <si>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</si>
  <si>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</si>
  <si>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</si>
  <si>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</si>
  <si>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</si>
  <si>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</si>
  <si>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</si>
  <si>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</si>
  <si>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</si>
  <si>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</si>
  <si>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</si>
  <si>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</si>
  <si>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</si>
  <si>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</si>
  <si>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</si>
  <si>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</si>
  <si>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</si>
  <si>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</si>
  <si>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</si>
  <si>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</si>
  <si>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</si>
  <si>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</si>
  <si>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</si>
  <si>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</si>
  <si>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</si>
  <si>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</si>
  <si>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</si>
  <si>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</si>
  <si>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</si>
  <si>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</si>
  <si>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</si>
  <si>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</si>
  <si>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</si>
  <si>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</si>
  <si>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</si>
  <si>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</si>
  <si>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</si>
  <si>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</si>
  <si>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</si>
  <si>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</si>
  <si>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</si>
  <si>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</si>
  <si>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</si>
  <si>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</si>
  <si>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</si>
  <si>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</si>
  <si>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</si>
  <si>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</si>
  <si>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</si>
  <si>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</si>
  <si>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</si>
  <si>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</si>
  <si>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</si>
  <si>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</si>
  <si>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</si>
  <si>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</si>
  <si>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</si>
  <si>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</si>
  <si>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</si>
  <si>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</si>
  <si>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</si>
  <si>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</si>
  <si>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</si>
  <si>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</si>
  <si>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</si>
  <si>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</si>
  <si>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</si>
  <si>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</si>
  <si>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</si>
  <si>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</si>
  <si>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</si>
  <si>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</si>
  <si>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</si>
  <si>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</si>
  <si>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</si>
  <si>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</si>
  <si>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</si>
  <si>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</si>
  <si>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</si>
  <si>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</si>
  <si>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</si>
  <si>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</si>
  <si>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</si>
  <si>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</si>
  <si>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</si>
  <si>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</si>
  <si>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</si>
  <si>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</si>
  <si>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</si>
  <si>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</si>
  <si>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</si>
  <si>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</si>
  <si>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</si>
  <si>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</si>
  <si>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</si>
  <si>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</si>
  <si>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</si>
  <si>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</si>
  <si>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</si>
  <si>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</si>
  <si>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</si>
  <si>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</si>
  <si>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</si>
  <si>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</si>
  <si>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</si>
  <si>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</si>
  <si>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</si>
  <si>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</si>
  <si>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</si>
  <si>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</si>
  <si>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</si>
  <si>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</si>
  <si>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</si>
  <si>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</si>
  <si>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</si>
  <si>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</si>
  <si>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</si>
  <si>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</si>
  <si>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</si>
  <si>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</si>
  <si>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</si>
  <si>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</si>
  <si>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</si>
  <si>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</si>
  <si>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</si>
  <si>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</si>
  <si>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</si>
  <si>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</si>
  <si>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</si>
  <si>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</si>
  <si>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</si>
  <si>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</si>
  <si>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</si>
  <si>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</si>
  <si>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</si>
  <si>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</si>
  <si>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</si>
  <si>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</si>
  <si>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</si>
  <si>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</si>
  <si>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</si>
  <si>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</si>
  <si>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</si>
  <si>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</si>
  <si>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</si>
  <si>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</si>
  <si>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</si>
  <si>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</si>
  <si>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</si>
  <si>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</si>
  <si>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</si>
  <si>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</si>
  <si>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</si>
  <si>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</si>
  <si>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</si>
  <si>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</si>
  <si>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</si>
  <si>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</si>
  <si>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</si>
  <si>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</si>
  <si>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</si>
  <si>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</si>
  <si>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</si>
  <si>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</si>
  <si>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</si>
  <si>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</si>
  <si>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</si>
  <si>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</si>
  <si>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</si>
  <si>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</si>
  <si>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</si>
  <si>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</si>
  <si>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</si>
  <si>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</si>
  <si>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</si>
  <si>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</si>
  <si>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</si>
  <si>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</si>
  <si>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</si>
  <si>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</si>
  <si>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</si>
  <si>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</si>
  <si>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</si>
  <si>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</si>
  <si>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</si>
  <si>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</si>
  <si>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</si>
  <si>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</si>
  <si>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</si>
  <si>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</si>
  <si>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</si>
  <si>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</si>
  <si>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</si>
  <si>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</si>
  <si>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</si>
  <si>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</si>
  <si>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</si>
  <si>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</si>
  <si>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</si>
  <si>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</si>
  <si>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</si>
  <si>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</si>
  <si>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</si>
  <si>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</si>
  <si>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</si>
  <si>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</si>
  <si>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</si>
  <si>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</si>
  <si>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</si>
  <si>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</si>
  <si>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</si>
  <si>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</si>
  <si>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</si>
  <si>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</si>
  <si>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</si>
  <si>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</si>
  <si>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</si>
  <si>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</si>
  <si>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</si>
  <si>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</si>
  <si>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</si>
  <si>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</si>
  <si>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</si>
  <si>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</si>
  <si>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</si>
  <si>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</si>
  <si>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</si>
  <si>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</si>
  <si>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</si>
  <si>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</si>
  <si>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</si>
  <si>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</si>
  <si>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</si>
  <si>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</si>
  <si>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</si>
  <si>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</si>
  <si>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</si>
  <si>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</si>
  <si>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</si>
  <si>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</si>
  <si>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</si>
  <si>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</si>
  <si>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</si>
  <si>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</si>
  <si>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</si>
  <si>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</si>
  <si>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</si>
  <si>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</si>
  <si>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</si>
  <si>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</si>
  <si>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</si>
  <si>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</si>
  <si>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</si>
  <si>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</si>
  <si>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</si>
  <si>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</si>
  <si>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</si>
  <si>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</si>
  <si>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</si>
  <si>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</si>
  <si>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</si>
  <si>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</si>
  <si>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</si>
  <si>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</si>
  <si>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</si>
  <si>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</si>
  <si>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</si>
  <si>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</si>
  <si>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</si>
  <si>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</si>
  <si>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</si>
  <si>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</si>
  <si>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</si>
  <si>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</si>
  <si>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</si>
  <si>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</si>
  <si>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</si>
  <si>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</si>
  <si>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</si>
  <si>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</si>
  <si>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</si>
  <si>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</si>
  <si>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</si>
  <si>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</si>
  <si>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</si>
  <si>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</si>
  <si>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</si>
  <si>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</si>
  <si>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</si>
  <si>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</si>
  <si>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</si>
  <si>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</si>
  <si>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</si>
  <si>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</si>
  <si>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</si>
  <si>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</si>
  <si>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</si>
  <si>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</si>
  <si>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</si>
  <si>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</si>
  <si>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</si>
  <si>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</si>
  <si>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</si>
  <si>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</si>
  <si>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</si>
  <si>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</si>
  <si>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</si>
  <si>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</si>
  <si>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</si>
  <si>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</si>
  <si>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</si>
  <si>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</si>
  <si>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</si>
  <si>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</si>
  <si>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</si>
  <si>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</si>
  <si>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</si>
  <si>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</si>
  <si>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</si>
  <si>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</si>
  <si>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</si>
  <si>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</si>
  <si>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</si>
  <si>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</si>
  <si>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</si>
  <si>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</si>
  <si>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</si>
  <si>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</si>
  <si>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</si>
  <si>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</si>
  <si>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</si>
  <si>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</si>
  <si>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</si>
  <si>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</si>
  <si>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</si>
  <si>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</si>
  <si>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</si>
  <si>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</si>
  <si>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</si>
  <si>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</si>
  <si>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</si>
  <si>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</si>
  <si>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</si>
  <si>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</si>
  <si>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</si>
  <si>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</si>
  <si>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</si>
  <si>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</si>
  <si>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</si>
  <si>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</si>
  <si>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</si>
  <si>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</si>
  <si>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</si>
  <si>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</si>
  <si>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</si>
  <si>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</si>
  <si>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</si>
  <si>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</si>
  <si>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</si>
  <si>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</si>
  <si>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</si>
  <si>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</si>
  <si>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</si>
  <si>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</si>
  <si>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</si>
  <si>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</si>
  <si>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</si>
  <si>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</si>
  <si>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</si>
  <si>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</si>
  <si>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</si>
  <si>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</si>
  <si>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</si>
  <si>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</si>
  <si>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</si>
  <si>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</si>
  <si>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</si>
  <si>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</si>
  <si>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</si>
  <si>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</si>
  <si>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</si>
  <si>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</si>
  <si>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</si>
  <si>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</si>
  <si>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</si>
  <si>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</si>
  <si>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</si>
  <si>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</si>
  <si>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</si>
  <si>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</si>
  <si>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</si>
  <si>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</si>
  <si>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</si>
  <si>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</si>
  <si>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</si>
  <si>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</si>
  <si>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</si>
  <si>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</si>
  <si>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</si>
  <si>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</si>
  <si>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</si>
  <si>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</si>
  <si>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</si>
  <si>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</si>
  <si>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</si>
  <si>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</si>
  <si>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</si>
  <si>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</si>
  <si>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</si>
  <si>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</si>
  <si>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</si>
  <si>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</si>
  <si>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</si>
  <si>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</si>
  <si>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</si>
  <si>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</si>
  <si>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</si>
  <si>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</si>
  <si>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</si>
  <si>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</si>
  <si>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</si>
  <si>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</si>
  <si>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</si>
  <si>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</si>
  <si>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</si>
  <si>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</si>
  <si>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</si>
  <si>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</si>
  <si>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</si>
  <si>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</si>
  <si>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</si>
  <si>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</si>
  <si>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</si>
  <si>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</si>
  <si>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</si>
  <si>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</si>
  <si>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</si>
  <si>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</si>
  <si>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</si>
  <si>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</si>
  <si>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</si>
  <si>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</si>
  <si>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</si>
  <si>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</si>
  <si>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</si>
  <si>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</si>
  <si>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</si>
  <si>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</si>
  <si>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</si>
  <si>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</si>
  <si>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</si>
  <si>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</si>
  <si>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</si>
  <si>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</si>
  <si>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</si>
  <si>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</si>
  <si>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</si>
  <si>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</si>
  <si>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</si>
  <si>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</si>
  <si>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</si>
  <si>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</si>
  <si>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</si>
  <si>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</si>
  <si>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</si>
  <si>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</si>
  <si>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</si>
  <si>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</si>
  <si>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</si>
  <si>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</si>
  <si>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</si>
  <si>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</si>
  <si>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</si>
  <si>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</si>
  <si>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</si>
  <si>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</si>
  <si>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</si>
  <si>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</si>
  <si>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</si>
  <si>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</si>
  <si>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</si>
  <si>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</si>
  <si>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</si>
  <si>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</si>
  <si>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</si>
  <si>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</si>
  <si>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</si>
  <si>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</si>
  <si>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</si>
  <si>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</si>
  <si>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</si>
  <si>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</si>
  <si>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</si>
  <si>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</si>
  <si>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</si>
  <si>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</si>
  <si>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</si>
  <si>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</si>
  <si>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</si>
  <si>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</si>
  <si>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</si>
  <si>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</si>
  <si>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</si>
  <si>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</si>
  <si>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</si>
  <si>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</si>
  <si>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</si>
  <si>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</si>
  <si>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</si>
  <si>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</si>
  <si>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</si>
  <si>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</si>
  <si>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</si>
  <si>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</si>
  <si>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</si>
  <si>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</si>
  <si>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</si>
  <si>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</si>
  <si>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</si>
  <si>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</si>
  <si>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</si>
  <si>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</si>
  <si>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</si>
  <si>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</si>
  <si>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</si>
  <si>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</si>
  <si>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</si>
  <si>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</si>
  <si>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</si>
  <si>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</si>
  <si>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</si>
  <si>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</si>
  <si>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</si>
  <si>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</si>
  <si>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</si>
  <si>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</si>
  <si>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</si>
  <si>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</si>
  <si>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</si>
  <si>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</si>
  <si>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</si>
  <si>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</si>
  <si>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</si>
  <si>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</si>
  <si>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</si>
  <si>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</si>
  <si>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</si>
  <si>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</si>
  <si>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</si>
  <si>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</si>
  <si>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</si>
  <si>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</si>
  <si>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</si>
  <si>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</si>
  <si>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</si>
  <si>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</si>
  <si>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</si>
  <si>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</si>
  <si>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</si>
  <si>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</si>
  <si>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</si>
  <si>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</si>
  <si>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</si>
  <si>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</si>
  <si>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</si>
  <si>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</si>
  <si>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</si>
  <si>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</si>
  <si>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</si>
  <si>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</si>
  <si>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</si>
  <si>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</si>
  <si>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</si>
  <si>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</si>
  <si>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</si>
  <si>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</si>
  <si>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</si>
  <si>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</si>
  <si>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</si>
  <si>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</si>
  <si>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</si>
  <si>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</si>
  <si>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</si>
  <si>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</si>
  <si>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</si>
  <si>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</si>
  <si>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</si>
  <si>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</si>
  <si>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</si>
  <si>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</si>
  <si>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</si>
  <si>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</si>
  <si>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</si>
  <si>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</si>
  <si>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</si>
  <si>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</si>
  <si>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</si>
  <si>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</si>
  <si>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</si>
  <si>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</si>
  <si>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</si>
  <si>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</si>
  <si>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</si>
  <si>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</si>
  <si>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</si>
  <si>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</si>
  <si>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</si>
  <si>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</si>
  <si>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</si>
  <si>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</si>
  <si>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</si>
  <si>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</si>
  <si>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</si>
  <si>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</si>
  <si>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</si>
  <si>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</si>
  <si>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</si>
  <si>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</si>
  <si>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</si>
  <si>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</si>
  <si>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</si>
  <si>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</si>
  <si>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</si>
  <si>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</si>
  <si>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</si>
  <si>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</si>
  <si>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</si>
  <si>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</si>
  <si>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</si>
  <si>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</si>
  <si>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</si>
  <si>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</si>
  <si>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</si>
  <si>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</si>
  <si>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</si>
  <si>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</si>
  <si>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</si>
  <si>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</si>
  <si>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</si>
  <si>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</si>
  <si>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</si>
  <si>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</si>
  <si>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</si>
  <si>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</si>
  <si>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</si>
  <si>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</si>
  <si>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</si>
  <si>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</si>
  <si>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</si>
  <si>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</si>
  <si>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</si>
  <si>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</si>
  <si>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</si>
  <si>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</si>
  <si>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</si>
  <si>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</si>
  <si>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</si>
  <si>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</si>
  <si>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</si>
  <si>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</si>
  <si>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</si>
  <si>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</si>
  <si>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</si>
  <si>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</si>
  <si>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</si>
  <si>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</si>
  <si>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</si>
  <si>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</si>
  <si>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</si>
  <si>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</si>
  <si>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</si>
  <si>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</si>
  <si>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</si>
  <si>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</si>
  <si>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</si>
  <si>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</si>
  <si>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</si>
  <si>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</si>
  <si>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</si>
  <si>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</si>
  <si>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</si>
  <si>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</si>
  <si>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</si>
  <si>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</si>
  <si>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</si>
  <si>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</si>
  <si>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</si>
  <si>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</si>
  <si>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</si>
  <si>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</si>
  <si>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</si>
  <si>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</si>
  <si>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</si>
  <si>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</si>
  <si>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</si>
  <si>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</si>
  <si>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</si>
  <si>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</si>
  <si>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</si>
  <si>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</si>
  <si>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</si>
  <si>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</si>
  <si>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</si>
  <si>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</si>
  <si>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</si>
  <si>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</si>
  <si>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</si>
  <si>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</si>
  <si>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</si>
  <si>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</si>
  <si>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12040</t>
  </si>
  <si>
    <t>WILLEBROEK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</si>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</sst>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192121.14261613524</c:v>
                </c:pt>
                <c:pt idx="1">
                  <c:v>123046.07466468817</c:v>
                </c:pt>
                <c:pt idx="2">
                  <c:v>1642.248</c:v>
                </c:pt>
                <c:pt idx="3">
                  <c:v>1469.6628068248451</c:v>
                </c:pt>
                <c:pt idx="4">
                  <c:v>287574.5921095176</c:v>
                </c:pt>
                <c:pt idx="5">
                  <c:v>305160.28825089277</c:v>
                </c:pt>
                <c:pt idx="6">
                  <c:v>2229.1154962442329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192121.14261613524</c:v>
                </c:pt>
                <c:pt idx="1">
                  <c:v>123046.07466468817</c:v>
                </c:pt>
                <c:pt idx="2">
                  <c:v>1642.248</c:v>
                </c:pt>
                <c:pt idx="3">
                  <c:v>1469.6628068248451</c:v>
                </c:pt>
                <c:pt idx="4">
                  <c:v>287574.5921095176</c:v>
                </c:pt>
                <c:pt idx="5">
                  <c:v>305160.28825089277</c:v>
                </c:pt>
                <c:pt idx="6">
                  <c:v>2229.1154962442329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34847.964447014252</c:v>
                </c:pt>
                <c:pt idx="2">
                  <c:v>24262.692205382333</c:v>
                </c:pt>
                <c:pt idx="3">
                  <c:v>315.56548081486329</c:v>
                </c:pt>
                <c:pt idx="4">
                  <c:v>365.71978056376923</c:v>
                </c:pt>
                <c:pt idx="5">
                  <c:v>58054.388566998219</c:v>
                </c:pt>
                <c:pt idx="6">
                  <c:v>77321.019178861694</c:v>
                </c:pt>
                <c:pt idx="7">
                  <c:v>569.81107514237431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34847.964447014252</c:v>
                </c:pt>
                <c:pt idx="2">
                  <c:v>24262.692205382333</c:v>
                </c:pt>
                <c:pt idx="3">
                  <c:v>315.56548081486329</c:v>
                </c:pt>
                <c:pt idx="4">
                  <c:v>365.71978056376923</c:v>
                </c:pt>
                <c:pt idx="5">
                  <c:v>58054.388566998219</c:v>
                </c:pt>
                <c:pt idx="6">
                  <c:v>77321.019178861694</c:v>
                </c:pt>
                <c:pt idx="7">
                  <c:v>569.81107514237431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12040</v>
      </c>
      <c r="B6" s="395"/>
      <c r="C6" s="396"/>
    </row>
    <row r="7" spans="1:7" s="393" customFormat="1" ht="15.75" customHeight="1">
      <c r="A7" s="397" t="str">
        <f>txtMunicipality</f>
        <v>WILLEBROEK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57112.306809351699</v>
      </c>
      <c r="D10" s="686">
        <f ca="1">tertiair!C16</f>
        <v>0</v>
      </c>
      <c r="E10" s="686">
        <f ca="1">tertiair!D16</f>
        <v>53261.385733458163</v>
      </c>
      <c r="F10" s="686">
        <f>tertiair!E16</f>
        <v>570.38714689751248</v>
      </c>
      <c r="G10" s="686">
        <f ca="1">tertiair!F16</f>
        <v>10170.742865580853</v>
      </c>
      <c r="H10" s="686">
        <f>tertiair!G16</f>
        <v>0</v>
      </c>
      <c r="I10" s="686">
        <f>tertiair!H16</f>
        <v>0</v>
      </c>
      <c r="J10" s="686">
        <f>tertiair!I16</f>
        <v>0</v>
      </c>
      <c r="K10" s="686">
        <f>tertiair!J16</f>
        <v>0</v>
      </c>
      <c r="L10" s="686">
        <f>tertiair!K16</f>
        <v>0</v>
      </c>
      <c r="M10" s="686">
        <f ca="1">tertiair!L16</f>
        <v>0</v>
      </c>
      <c r="N10" s="686">
        <f>tertiair!M16</f>
        <v>0</v>
      </c>
      <c r="O10" s="686">
        <f ca="1">tertiair!N16</f>
        <v>3552.870109399948</v>
      </c>
      <c r="P10" s="686">
        <f>tertiair!O16</f>
        <v>1.5633333333333335</v>
      </c>
      <c r="Q10" s="687">
        <f>tertiair!P16</f>
        <v>19.066666666666666</v>
      </c>
      <c r="R10" s="689">
        <f ca="1">SUM(C10:Q10)</f>
        <v>124688.32266468817</v>
      </c>
      <c r="S10" s="67"/>
    </row>
    <row r="11" spans="1:19" s="454" customFormat="1">
      <c r="A11" s="801" t="s">
        <v>224</v>
      </c>
      <c r="B11" s="806"/>
      <c r="C11" s="686">
        <f>huishoudens!B8</f>
        <v>37414.222308789096</v>
      </c>
      <c r="D11" s="686">
        <f>huishoudens!C8</f>
        <v>0</v>
      </c>
      <c r="E11" s="686">
        <f>huishoudens!D8</f>
        <v>134820.22702269617</v>
      </c>
      <c r="F11" s="686">
        <f>huishoudens!E8</f>
        <v>1872.0893182910345</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16613.633966358972</v>
      </c>
      <c r="P11" s="686">
        <f>huishoudens!O8</f>
        <v>123.50333333333334</v>
      </c>
      <c r="Q11" s="687">
        <f>huishoudens!P8</f>
        <v>1277.4666666666667</v>
      </c>
      <c r="R11" s="689">
        <f>SUM(C11:Q11)</f>
        <v>192121.14261613524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72920.878272194153</v>
      </c>
      <c r="D13" s="686">
        <f>industrie!C18</f>
        <v>0</v>
      </c>
      <c r="E13" s="686">
        <f>industrie!D18</f>
        <v>185776.4541447807</v>
      </c>
      <c r="F13" s="686">
        <f>industrie!E18</f>
        <v>4721.6271420781486</v>
      </c>
      <c r="G13" s="686">
        <f>industrie!F18</f>
        <v>20157.366374897494</v>
      </c>
      <c r="H13" s="686">
        <f>industrie!G18</f>
        <v>0</v>
      </c>
      <c r="I13" s="686">
        <f>industrie!H18</f>
        <v>0</v>
      </c>
      <c r="J13" s="686">
        <f>industrie!I18</f>
        <v>0</v>
      </c>
      <c r="K13" s="686">
        <f>industrie!J18</f>
        <v>174.11761885600993</v>
      </c>
      <c r="L13" s="686">
        <f>industrie!K18</f>
        <v>0</v>
      </c>
      <c r="M13" s="686">
        <f>industrie!L18</f>
        <v>0</v>
      </c>
      <c r="N13" s="686">
        <f>industrie!M18</f>
        <v>0</v>
      </c>
      <c r="O13" s="686">
        <f>industrie!N18</f>
        <v>3824.1485567110994</v>
      </c>
      <c r="P13" s="686">
        <f>industrie!O18</f>
        <v>0</v>
      </c>
      <c r="Q13" s="687">
        <f>industrie!P18</f>
        <v>0</v>
      </c>
      <c r="R13" s="689">
        <f>SUM(C13:Q13)</f>
        <v>287574.5921095176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167447.40739033493</v>
      </c>
      <c r="D16" s="721">
        <f t="shared" ref="D16:R16" ca="1" si="0">SUM(D9:D15)</f>
        <v>0</v>
      </c>
      <c r="E16" s="721">
        <f t="shared" ca="1" si="0"/>
        <v>373858.06690093502</v>
      </c>
      <c r="F16" s="721">
        <f t="shared" si="0"/>
        <v>7164.1036072666957</v>
      </c>
      <c r="G16" s="721">
        <f t="shared" ca="1" si="0"/>
        <v>30328.109240478349</v>
      </c>
      <c r="H16" s="721">
        <f t="shared" si="0"/>
        <v>0</v>
      </c>
      <c r="I16" s="721">
        <f t="shared" si="0"/>
        <v>0</v>
      </c>
      <c r="J16" s="721">
        <f t="shared" si="0"/>
        <v>0</v>
      </c>
      <c r="K16" s="721">
        <f t="shared" si="0"/>
        <v>174.11761885600993</v>
      </c>
      <c r="L16" s="721">
        <f t="shared" si="0"/>
        <v>0</v>
      </c>
      <c r="M16" s="721">
        <f t="shared" ca="1" si="0"/>
        <v>0</v>
      </c>
      <c r="N16" s="721">
        <f t="shared" si="0"/>
        <v>0</v>
      </c>
      <c r="O16" s="721">
        <f t="shared" ca="1" si="0"/>
        <v>23990.652632470017</v>
      </c>
      <c r="P16" s="721">
        <f t="shared" si="0"/>
        <v>125.06666666666668</v>
      </c>
      <c r="Q16" s="721">
        <f t="shared" si="0"/>
        <v>1296.5333333333333</v>
      </c>
      <c r="R16" s="721">
        <f t="shared" ca="1" si="0"/>
        <v>604384.05739034107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2134.1238769377314</v>
      </c>
      <c r="I19" s="686">
        <f>transport!H54</f>
        <v>0</v>
      </c>
      <c r="J19" s="686">
        <f>transport!I54</f>
        <v>0</v>
      </c>
      <c r="K19" s="686">
        <f>transport!J54</f>
        <v>0</v>
      </c>
      <c r="L19" s="686">
        <f>transport!K54</f>
        <v>0</v>
      </c>
      <c r="M19" s="686">
        <f>transport!L54</f>
        <v>0</v>
      </c>
      <c r="N19" s="686">
        <f>transport!M54</f>
        <v>94.991619306501576</v>
      </c>
      <c r="O19" s="686">
        <f>transport!N54</f>
        <v>0</v>
      </c>
      <c r="P19" s="686">
        <f>transport!O54</f>
        <v>0</v>
      </c>
      <c r="Q19" s="687">
        <f>transport!P54</f>
        <v>0</v>
      </c>
      <c r="R19" s="689">
        <f>SUM(C19:Q19)</f>
        <v>2229.1154962442329</v>
      </c>
      <c r="S19" s="67"/>
    </row>
    <row r="20" spans="1:19" s="454" customFormat="1">
      <c r="A20" s="801" t="s">
        <v>306</v>
      </c>
      <c r="B20" s="806"/>
      <c r="C20" s="686">
        <f>transport!B14</f>
        <v>11.02997349832339</v>
      </c>
      <c r="D20" s="686">
        <f>transport!C14</f>
        <v>0</v>
      </c>
      <c r="E20" s="686">
        <f>transport!D14</f>
        <v>18.497258845367405</v>
      </c>
      <c r="F20" s="686">
        <f>transport!E14</f>
        <v>683.9822065119946</v>
      </c>
      <c r="G20" s="686">
        <f>transport!F14</f>
        <v>0</v>
      </c>
      <c r="H20" s="686">
        <f>transport!G14</f>
        <v>257281.39876900759</v>
      </c>
      <c r="I20" s="686">
        <f>transport!H14</f>
        <v>33999.059600022454</v>
      </c>
      <c r="J20" s="686">
        <f>transport!I14</f>
        <v>0</v>
      </c>
      <c r="K20" s="686">
        <f>transport!J14</f>
        <v>0</v>
      </c>
      <c r="L20" s="686">
        <f>transport!K14</f>
        <v>0</v>
      </c>
      <c r="M20" s="686">
        <f>transport!L14</f>
        <v>0</v>
      </c>
      <c r="N20" s="686">
        <f>transport!M14</f>
        <v>13166.320443007073</v>
      </c>
      <c r="O20" s="686">
        <f>transport!N14</f>
        <v>0</v>
      </c>
      <c r="P20" s="686">
        <f>transport!O14</f>
        <v>0</v>
      </c>
      <c r="Q20" s="687">
        <f>transport!P14</f>
        <v>0</v>
      </c>
      <c r="R20" s="689">
        <f>SUM(C20:Q20)</f>
        <v>305160.28825089277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11.02997349832339</v>
      </c>
      <c r="D22" s="804">
        <f t="shared" ref="D22:R22" si="1">SUM(D18:D21)</f>
        <v>0</v>
      </c>
      <c r="E22" s="804">
        <f t="shared" si="1"/>
        <v>18.497258845367405</v>
      </c>
      <c r="F22" s="804">
        <f t="shared" si="1"/>
        <v>683.9822065119946</v>
      </c>
      <c r="G22" s="804">
        <f t="shared" si="1"/>
        <v>0</v>
      </c>
      <c r="H22" s="804">
        <f t="shared" si="1"/>
        <v>259415.52264594531</v>
      </c>
      <c r="I22" s="804">
        <f t="shared" si="1"/>
        <v>33999.059600022454</v>
      </c>
      <c r="J22" s="804">
        <f t="shared" si="1"/>
        <v>0</v>
      </c>
      <c r="K22" s="804">
        <f t="shared" si="1"/>
        <v>0</v>
      </c>
      <c r="L22" s="804">
        <f t="shared" si="1"/>
        <v>0</v>
      </c>
      <c r="M22" s="804">
        <f t="shared" si="1"/>
        <v>0</v>
      </c>
      <c r="N22" s="804">
        <f t="shared" si="1"/>
        <v>13261.312062313575</v>
      </c>
      <c r="O22" s="804">
        <f t="shared" si="1"/>
        <v>0</v>
      </c>
      <c r="P22" s="804">
        <f t="shared" si="1"/>
        <v>0</v>
      </c>
      <c r="Q22" s="804">
        <f t="shared" si="1"/>
        <v>0</v>
      </c>
      <c r="R22" s="804">
        <f t="shared" si="1"/>
        <v>307389.403747137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289.76999446433535</v>
      </c>
      <c r="D24" s="686">
        <f>+landbouw!C8</f>
        <v>0</v>
      </c>
      <c r="E24" s="686">
        <f>+landbouw!D8</f>
        <v>132.88415132910831</v>
      </c>
      <c r="F24" s="686">
        <f>+landbouw!E8</f>
        <v>3.6514752299029971</v>
      </c>
      <c r="G24" s="686">
        <f>+landbouw!F8</f>
        <v>999.77907262310373</v>
      </c>
      <c r="H24" s="686">
        <f>+landbouw!G8</f>
        <v>0</v>
      </c>
      <c r="I24" s="686">
        <f>+landbouw!H8</f>
        <v>0</v>
      </c>
      <c r="J24" s="686">
        <f>+landbouw!I8</f>
        <v>0</v>
      </c>
      <c r="K24" s="686">
        <f>+landbouw!J8</f>
        <v>43.578113178394666</v>
      </c>
      <c r="L24" s="686">
        <f>+landbouw!K8</f>
        <v>0</v>
      </c>
      <c r="M24" s="686">
        <f>+landbouw!L8</f>
        <v>0</v>
      </c>
      <c r="N24" s="686">
        <f>+landbouw!M8</f>
        <v>0</v>
      </c>
      <c r="O24" s="686">
        <f>+landbouw!N8</f>
        <v>0</v>
      </c>
      <c r="P24" s="686">
        <f>+landbouw!O8</f>
        <v>0</v>
      </c>
      <c r="Q24" s="687">
        <f>+landbouw!P8</f>
        <v>0</v>
      </c>
      <c r="R24" s="689">
        <f>SUM(C24:Q24)</f>
        <v>1469.6628068248451</v>
      </c>
      <c r="S24" s="67"/>
    </row>
    <row r="25" spans="1:19" s="454" customFormat="1" ht="15" thickBot="1">
      <c r="A25" s="823" t="s">
        <v>856</v>
      </c>
      <c r="B25" s="991"/>
      <c r="C25" s="992">
        <f>IF(Onbekend_ele_kWh="---",0,Onbekend_ele_kWh)/1000+IF(REST_rest_ele_kWh="---",0,REST_rest_ele_kWh)/1000</f>
        <v>1233.2430679097599</v>
      </c>
      <c r="D25" s="992"/>
      <c r="E25" s="992">
        <f>IF(onbekend_gas_kWh="---",0,onbekend_gas_kWh)/1000+IF(REST_rest_gas_kWh="---",0,REST_rest_gas_kWh)/1000</f>
        <v>6794.3961399646805</v>
      </c>
      <c r="F25" s="992"/>
      <c r="G25" s="992"/>
      <c r="H25" s="992"/>
      <c r="I25" s="992"/>
      <c r="J25" s="992"/>
      <c r="K25" s="992"/>
      <c r="L25" s="992"/>
      <c r="M25" s="992"/>
      <c r="N25" s="992"/>
      <c r="O25" s="992"/>
      <c r="P25" s="992"/>
      <c r="Q25" s="993"/>
      <c r="R25" s="689">
        <f>SUM(C25:Q25)</f>
        <v>8027.6392078744402</v>
      </c>
      <c r="S25" s="67"/>
    </row>
    <row r="26" spans="1:19" s="454" customFormat="1" ht="15.75" thickBot="1">
      <c r="A26" s="694" t="s">
        <v>857</v>
      </c>
      <c r="B26" s="809"/>
      <c r="C26" s="804">
        <f>SUM(C24:C25)</f>
        <v>1523.0130623740952</v>
      </c>
      <c r="D26" s="804">
        <f t="shared" ref="D26:R26" si="2">SUM(D24:D25)</f>
        <v>0</v>
      </c>
      <c r="E26" s="804">
        <f t="shared" si="2"/>
        <v>6927.2802912937887</v>
      </c>
      <c r="F26" s="804">
        <f t="shared" si="2"/>
        <v>3.6514752299029971</v>
      </c>
      <c r="G26" s="804">
        <f t="shared" si="2"/>
        <v>999.77907262310373</v>
      </c>
      <c r="H26" s="804">
        <f t="shared" si="2"/>
        <v>0</v>
      </c>
      <c r="I26" s="804">
        <f t="shared" si="2"/>
        <v>0</v>
      </c>
      <c r="J26" s="804">
        <f t="shared" si="2"/>
        <v>0</v>
      </c>
      <c r="K26" s="804">
        <f t="shared" si="2"/>
        <v>43.578113178394666</v>
      </c>
      <c r="L26" s="804">
        <f t="shared" si="2"/>
        <v>0</v>
      </c>
      <c r="M26" s="804">
        <f t="shared" si="2"/>
        <v>0</v>
      </c>
      <c r="N26" s="804">
        <f t="shared" si="2"/>
        <v>0</v>
      </c>
      <c r="O26" s="804">
        <f t="shared" si="2"/>
        <v>0</v>
      </c>
      <c r="P26" s="804">
        <f t="shared" si="2"/>
        <v>0</v>
      </c>
      <c r="Q26" s="804">
        <f t="shared" si="2"/>
        <v>0</v>
      </c>
      <c r="R26" s="804">
        <f t="shared" si="2"/>
        <v>9497.3020146992858</v>
      </c>
      <c r="S26" s="67"/>
    </row>
    <row r="27" spans="1:19" s="454" customFormat="1" ht="17.25" thickTop="1" thickBot="1">
      <c r="A27" s="695" t="s">
        <v>115</v>
      </c>
      <c r="B27" s="796"/>
      <c r="C27" s="696">
        <f ca="1">C22+C16+C26</f>
        <v>168981.45042620733</v>
      </c>
      <c r="D27" s="696">
        <f t="shared" ref="D27:R27" ca="1" si="3">D22+D16+D26</f>
        <v>0</v>
      </c>
      <c r="E27" s="696">
        <f t="shared" ca="1" si="3"/>
        <v>380803.8444510742</v>
      </c>
      <c r="F27" s="696">
        <f t="shared" si="3"/>
        <v>7851.7372890085926</v>
      </c>
      <c r="G27" s="696">
        <f t="shared" ca="1" si="3"/>
        <v>31327.888313101452</v>
      </c>
      <c r="H27" s="696">
        <f t="shared" si="3"/>
        <v>259415.52264594531</v>
      </c>
      <c r="I27" s="696">
        <f t="shared" si="3"/>
        <v>33999.059600022454</v>
      </c>
      <c r="J27" s="696">
        <f t="shared" si="3"/>
        <v>0</v>
      </c>
      <c r="K27" s="696">
        <f t="shared" si="3"/>
        <v>217.69573203440459</v>
      </c>
      <c r="L27" s="696">
        <f t="shared" si="3"/>
        <v>0</v>
      </c>
      <c r="M27" s="696">
        <f t="shared" ca="1" si="3"/>
        <v>0</v>
      </c>
      <c r="N27" s="696">
        <f t="shared" si="3"/>
        <v>13261.312062313575</v>
      </c>
      <c r="O27" s="696">
        <f t="shared" ca="1" si="3"/>
        <v>23990.652632470017</v>
      </c>
      <c r="P27" s="696">
        <f t="shared" si="3"/>
        <v>125.06666666666668</v>
      </c>
      <c r="Q27" s="696">
        <f t="shared" si="3"/>
        <v>1296.5333333333333</v>
      </c>
      <c r="R27" s="696">
        <f t="shared" ca="1" si="3"/>
        <v>921270.76315217733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10974.391540582823</v>
      </c>
      <c r="D40" s="686">
        <f ca="1">tertiair!C20</f>
        <v>0</v>
      </c>
      <c r="E40" s="686">
        <f ca="1">tertiair!D20</f>
        <v>10758.799918158549</v>
      </c>
      <c r="F40" s="686">
        <f>tertiair!E20</f>
        <v>129.47788234573534</v>
      </c>
      <c r="G40" s="686">
        <f ca="1">tertiair!F20</f>
        <v>2715.5883451100876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24578.257686197194</v>
      </c>
    </row>
    <row r="41" spans="1:18">
      <c r="A41" s="814" t="s">
        <v>224</v>
      </c>
      <c r="B41" s="821"/>
      <c r="C41" s="686">
        <f ca="1">huishoudens!B12</f>
        <v>7189.3143131775569</v>
      </c>
      <c r="D41" s="686">
        <f ca="1">huishoudens!C12</f>
        <v>0</v>
      </c>
      <c r="E41" s="686">
        <f>huishoudens!D12</f>
        <v>27233.685858584628</v>
      </c>
      <c r="F41" s="686">
        <f>huishoudens!E12</f>
        <v>424.96427525206485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34847.964447014252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14012.081009328107</v>
      </c>
      <c r="D43" s="686">
        <f ca="1">industrie!C22</f>
        <v>0</v>
      </c>
      <c r="E43" s="686">
        <f>industrie!D22</f>
        <v>37526.843737245705</v>
      </c>
      <c r="F43" s="686">
        <f>industrie!E22</f>
        <v>1071.8093612517398</v>
      </c>
      <c r="G43" s="686">
        <f>industrie!F22</f>
        <v>5382.0168220976311</v>
      </c>
      <c r="H43" s="686">
        <f>industrie!G22</f>
        <v>0</v>
      </c>
      <c r="I43" s="686">
        <f>industrie!H22</f>
        <v>0</v>
      </c>
      <c r="J43" s="686">
        <f>industrie!I22</f>
        <v>0</v>
      </c>
      <c r="K43" s="686">
        <f>industrie!J22</f>
        <v>61.637637075027513</v>
      </c>
      <c r="L43" s="686">
        <f>industrie!K22</f>
        <v>0</v>
      </c>
      <c r="M43" s="686">
        <f>industrie!L22</f>
        <v>0</v>
      </c>
      <c r="N43" s="686">
        <f>industrie!M22</f>
        <v>0</v>
      </c>
      <c r="O43" s="686">
        <f>industrie!N22</f>
        <v>0</v>
      </c>
      <c r="P43" s="686">
        <f>industrie!O22</f>
        <v>0</v>
      </c>
      <c r="Q43" s="763">
        <f>industrie!P22</f>
        <v>0</v>
      </c>
      <c r="R43" s="841">
        <f t="shared" ca="1" si="4"/>
        <v>58054.388566998219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32175.786863088488</v>
      </c>
      <c r="D46" s="721">
        <f t="shared" ref="D46:Q46" ca="1" si="5">SUM(D39:D45)</f>
        <v>0</v>
      </c>
      <c r="E46" s="721">
        <f t="shared" ca="1" si="5"/>
        <v>75519.32951398888</v>
      </c>
      <c r="F46" s="721">
        <f t="shared" si="5"/>
        <v>1626.2515188495399</v>
      </c>
      <c r="G46" s="721">
        <f t="shared" ca="1" si="5"/>
        <v>8097.6051672077192</v>
      </c>
      <c r="H46" s="721">
        <f t="shared" si="5"/>
        <v>0</v>
      </c>
      <c r="I46" s="721">
        <f t="shared" si="5"/>
        <v>0</v>
      </c>
      <c r="J46" s="721">
        <f t="shared" si="5"/>
        <v>0</v>
      </c>
      <c r="K46" s="721">
        <f t="shared" si="5"/>
        <v>61.637637075027513</v>
      </c>
      <c r="L46" s="721">
        <f t="shared" si="5"/>
        <v>0</v>
      </c>
      <c r="M46" s="721">
        <f t="shared" ca="1" si="5"/>
        <v>0</v>
      </c>
      <c r="N46" s="721">
        <f t="shared" si="5"/>
        <v>0</v>
      </c>
      <c r="O46" s="721">
        <f t="shared" ca="1" si="5"/>
        <v>0</v>
      </c>
      <c r="P46" s="721">
        <f t="shared" si="5"/>
        <v>0</v>
      </c>
      <c r="Q46" s="721">
        <f t="shared" si="5"/>
        <v>0</v>
      </c>
      <c r="R46" s="721">
        <f ca="1">SUM(R39:R45)</f>
        <v>117480.61070020965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569.81107514237431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569.81107514237431</v>
      </c>
    </row>
    <row r="50" spans="1:18">
      <c r="A50" s="817" t="s">
        <v>306</v>
      </c>
      <c r="B50" s="827"/>
      <c r="C50" s="692">
        <f ca="1">transport!B18</f>
        <v>2.1194599660791917</v>
      </c>
      <c r="D50" s="692">
        <f>transport!C18</f>
        <v>0</v>
      </c>
      <c r="E50" s="692">
        <f>transport!D18</f>
        <v>3.7364462867642159</v>
      </c>
      <c r="F50" s="692">
        <f>transport!E18</f>
        <v>155.26396087822278</v>
      </c>
      <c r="G50" s="692">
        <f>transport!F18</f>
        <v>0</v>
      </c>
      <c r="H50" s="692">
        <f>transport!G18</f>
        <v>68694.133471325025</v>
      </c>
      <c r="I50" s="692">
        <f>transport!H18</f>
        <v>8465.765840405591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77321.019178861694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2.1194599660791917</v>
      </c>
      <c r="D52" s="721">
        <f t="shared" ref="D52:Q52" ca="1" si="6">SUM(D48:D51)</f>
        <v>0</v>
      </c>
      <c r="E52" s="721">
        <f t="shared" si="6"/>
        <v>3.7364462867642159</v>
      </c>
      <c r="F52" s="721">
        <f t="shared" si="6"/>
        <v>155.26396087822278</v>
      </c>
      <c r="G52" s="721">
        <f t="shared" si="6"/>
        <v>0</v>
      </c>
      <c r="H52" s="721">
        <f t="shared" si="6"/>
        <v>69263.944546467406</v>
      </c>
      <c r="I52" s="721">
        <f t="shared" si="6"/>
        <v>8465.765840405591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77890.830254004075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55.680632662580962</v>
      </c>
      <c r="D54" s="692">
        <f ca="1">+landbouw!C12</f>
        <v>0</v>
      </c>
      <c r="E54" s="692">
        <f>+landbouw!D12</f>
        <v>26.842598568479879</v>
      </c>
      <c r="F54" s="692">
        <f>+landbouw!E12</f>
        <v>0.82888487718798032</v>
      </c>
      <c r="G54" s="692">
        <f>+landbouw!F12</f>
        <v>266.94101239036871</v>
      </c>
      <c r="H54" s="692">
        <f>+landbouw!G12</f>
        <v>0</v>
      </c>
      <c r="I54" s="692">
        <f>+landbouw!H12</f>
        <v>0</v>
      </c>
      <c r="J54" s="692">
        <f>+landbouw!I12</f>
        <v>0</v>
      </c>
      <c r="K54" s="692">
        <f>+landbouw!J12</f>
        <v>15.426652065151711</v>
      </c>
      <c r="L54" s="692">
        <f>+landbouw!K12</f>
        <v>0</v>
      </c>
      <c r="M54" s="692">
        <f>+landbouw!L12</f>
        <v>0</v>
      </c>
      <c r="N54" s="692">
        <f>+landbouw!M12</f>
        <v>0</v>
      </c>
      <c r="O54" s="692">
        <f>+landbouw!N12</f>
        <v>0</v>
      </c>
      <c r="P54" s="692">
        <f>+landbouw!O12</f>
        <v>0</v>
      </c>
      <c r="Q54" s="693">
        <f>+landbouw!P12</f>
        <v>0</v>
      </c>
      <c r="R54" s="720">
        <f ca="1">SUM(C54:Q54)</f>
        <v>365.71978056376923</v>
      </c>
    </row>
    <row r="55" spans="1:18" ht="15" thickBot="1">
      <c r="A55" s="817" t="s">
        <v>856</v>
      </c>
      <c r="B55" s="827"/>
      <c r="C55" s="692">
        <f ca="1">C25*'EF ele_warmte'!B12</f>
        <v>236.97330834718051</v>
      </c>
      <c r="D55" s="692"/>
      <c r="E55" s="692">
        <f>E25*EF_CO2_aardgas</f>
        <v>1372.4680202728655</v>
      </c>
      <c r="F55" s="692"/>
      <c r="G55" s="692"/>
      <c r="H55" s="692"/>
      <c r="I55" s="692"/>
      <c r="J55" s="692"/>
      <c r="K55" s="692"/>
      <c r="L55" s="692"/>
      <c r="M55" s="692"/>
      <c r="N55" s="692"/>
      <c r="O55" s="692"/>
      <c r="P55" s="692"/>
      <c r="Q55" s="693"/>
      <c r="R55" s="720">
        <f ca="1">SUM(C55:Q55)</f>
        <v>1609.4413286200461</v>
      </c>
    </row>
    <row r="56" spans="1:18" ht="15.75" thickBot="1">
      <c r="A56" s="815" t="s">
        <v>857</v>
      </c>
      <c r="B56" s="828"/>
      <c r="C56" s="721">
        <f ca="1">SUM(C54:C55)</f>
        <v>292.65394100976147</v>
      </c>
      <c r="D56" s="721">
        <f t="shared" ref="D56:Q56" ca="1" si="7">SUM(D54:D55)</f>
        <v>0</v>
      </c>
      <c r="E56" s="721">
        <f t="shared" si="7"/>
        <v>1399.3106188413453</v>
      </c>
      <c r="F56" s="721">
        <f t="shared" si="7"/>
        <v>0.82888487718798032</v>
      </c>
      <c r="G56" s="721">
        <f t="shared" si="7"/>
        <v>266.94101239036871</v>
      </c>
      <c r="H56" s="721">
        <f t="shared" si="7"/>
        <v>0</v>
      </c>
      <c r="I56" s="721">
        <f t="shared" si="7"/>
        <v>0</v>
      </c>
      <c r="J56" s="721">
        <f t="shared" si="7"/>
        <v>0</v>
      </c>
      <c r="K56" s="721">
        <f t="shared" si="7"/>
        <v>15.426652065151711</v>
      </c>
      <c r="L56" s="721">
        <f t="shared" si="7"/>
        <v>0</v>
      </c>
      <c r="M56" s="721">
        <f t="shared" si="7"/>
        <v>0</v>
      </c>
      <c r="N56" s="721">
        <f t="shared" si="7"/>
        <v>0</v>
      </c>
      <c r="O56" s="721">
        <f t="shared" si="7"/>
        <v>0</v>
      </c>
      <c r="P56" s="721">
        <f t="shared" si="7"/>
        <v>0</v>
      </c>
      <c r="Q56" s="722">
        <f t="shared" si="7"/>
        <v>0</v>
      </c>
      <c r="R56" s="723">
        <f ca="1">SUM(R54:R55)</f>
        <v>1975.1611091838154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32470.560264064326</v>
      </c>
      <c r="D61" s="729">
        <f t="shared" ref="D61:Q61" ca="1" si="8">D46+D52+D56</f>
        <v>0</v>
      </c>
      <c r="E61" s="729">
        <f t="shared" ca="1" si="8"/>
        <v>76922.376579117001</v>
      </c>
      <c r="F61" s="729">
        <f t="shared" si="8"/>
        <v>1782.3443646049507</v>
      </c>
      <c r="G61" s="729">
        <f t="shared" ca="1" si="8"/>
        <v>8364.5461795980882</v>
      </c>
      <c r="H61" s="729">
        <f t="shared" si="8"/>
        <v>69263.944546467406</v>
      </c>
      <c r="I61" s="729">
        <f t="shared" si="8"/>
        <v>8465.765840405591</v>
      </c>
      <c r="J61" s="729">
        <f t="shared" si="8"/>
        <v>0</v>
      </c>
      <c r="K61" s="729">
        <f t="shared" si="8"/>
        <v>77.064289140179227</v>
      </c>
      <c r="L61" s="729">
        <f t="shared" si="8"/>
        <v>0</v>
      </c>
      <c r="M61" s="729">
        <f t="shared" ca="1" si="8"/>
        <v>0</v>
      </c>
      <c r="N61" s="729">
        <f t="shared" si="8"/>
        <v>0</v>
      </c>
      <c r="O61" s="729">
        <f t="shared" ca="1" si="8"/>
        <v>0</v>
      </c>
      <c r="P61" s="729">
        <f t="shared" si="8"/>
        <v>0</v>
      </c>
      <c r="Q61" s="729">
        <f t="shared" si="8"/>
        <v>0</v>
      </c>
      <c r="R61" s="729">
        <f ca="1">R46+R52+R56</f>
        <v>197346.60206339756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0.19215458372600444</v>
      </c>
      <c r="D63" s="772">
        <f t="shared" ca="1" si="9"/>
        <v>0</v>
      </c>
      <c r="E63" s="998">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7360.6182120000003</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14695.220159617656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22055.838371617658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37414.222308789096</v>
      </c>
      <c r="C4" s="458">
        <f>huishoudens!C8</f>
        <v>0</v>
      </c>
      <c r="D4" s="458">
        <f>huishoudens!D8</f>
        <v>134820.22702269617</v>
      </c>
      <c r="E4" s="458">
        <f>huishoudens!E8</f>
        <v>1872.0893182910345</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16613.633966358972</v>
      </c>
      <c r="O4" s="458">
        <f>huishoudens!O8</f>
        <v>123.50333333333334</v>
      </c>
      <c r="P4" s="459">
        <f>huishoudens!P8</f>
        <v>1277.4666666666667</v>
      </c>
      <c r="Q4" s="460">
        <f>SUM(B4:P4)</f>
        <v>192121.14261613524</v>
      </c>
    </row>
    <row r="5" spans="1:17">
      <c r="A5" s="457" t="s">
        <v>155</v>
      </c>
      <c r="B5" s="458">
        <f ca="1">tertiair!B16</f>
        <v>55470.0588093517</v>
      </c>
      <c r="C5" s="458">
        <f ca="1">tertiair!C16</f>
        <v>0</v>
      </c>
      <c r="D5" s="458">
        <f ca="1">tertiair!D16</f>
        <v>53261.385733458163</v>
      </c>
      <c r="E5" s="458">
        <f>tertiair!E16</f>
        <v>570.38714689751248</v>
      </c>
      <c r="F5" s="458">
        <f ca="1">tertiair!F16</f>
        <v>10170.742865580853</v>
      </c>
      <c r="G5" s="458">
        <f>tertiair!G16</f>
        <v>0</v>
      </c>
      <c r="H5" s="458">
        <f>tertiair!H16</f>
        <v>0</v>
      </c>
      <c r="I5" s="458">
        <f>tertiair!I16</f>
        <v>0</v>
      </c>
      <c r="J5" s="458">
        <f>tertiair!J16</f>
        <v>0</v>
      </c>
      <c r="K5" s="458">
        <f>tertiair!K16</f>
        <v>0</v>
      </c>
      <c r="L5" s="458">
        <f ca="1">tertiair!L16</f>
        <v>0</v>
      </c>
      <c r="M5" s="458">
        <f>tertiair!M16</f>
        <v>0</v>
      </c>
      <c r="N5" s="458">
        <f ca="1">tertiair!N16</f>
        <v>3552.870109399948</v>
      </c>
      <c r="O5" s="458">
        <f>tertiair!O16</f>
        <v>1.5633333333333335</v>
      </c>
      <c r="P5" s="459">
        <f>tertiair!P16</f>
        <v>19.066666666666666</v>
      </c>
      <c r="Q5" s="457">
        <f t="shared" ref="Q5:Q14" ca="1" si="0">SUM(B5:P5)</f>
        <v>123046.07466468817</v>
      </c>
    </row>
    <row r="6" spans="1:17">
      <c r="A6" s="457" t="s">
        <v>193</v>
      </c>
      <c r="B6" s="458">
        <f>'openbare verlichting'!B8</f>
        <v>1642.248</v>
      </c>
      <c r="C6" s="458"/>
      <c r="D6" s="458"/>
      <c r="E6" s="458"/>
      <c r="F6" s="458"/>
      <c r="G6" s="458"/>
      <c r="H6" s="458"/>
      <c r="I6" s="458"/>
      <c r="J6" s="458"/>
      <c r="K6" s="458"/>
      <c r="L6" s="458"/>
      <c r="M6" s="458"/>
      <c r="N6" s="458"/>
      <c r="O6" s="458"/>
      <c r="P6" s="459"/>
      <c r="Q6" s="457">
        <f t="shared" si="0"/>
        <v>1642.248</v>
      </c>
    </row>
    <row r="7" spans="1:17">
      <c r="A7" s="457" t="s">
        <v>111</v>
      </c>
      <c r="B7" s="458">
        <f>landbouw!B8</f>
        <v>289.76999446433535</v>
      </c>
      <c r="C7" s="458">
        <f>landbouw!C8</f>
        <v>0</v>
      </c>
      <c r="D7" s="458">
        <f>landbouw!D8</f>
        <v>132.88415132910831</v>
      </c>
      <c r="E7" s="458">
        <f>landbouw!E8</f>
        <v>3.6514752299029971</v>
      </c>
      <c r="F7" s="458">
        <f>landbouw!F8</f>
        <v>999.77907262310373</v>
      </c>
      <c r="G7" s="458">
        <f>landbouw!G8</f>
        <v>0</v>
      </c>
      <c r="H7" s="458">
        <f>landbouw!H8</f>
        <v>0</v>
      </c>
      <c r="I7" s="458">
        <f>landbouw!I8</f>
        <v>0</v>
      </c>
      <c r="J7" s="458">
        <f>landbouw!J8</f>
        <v>43.578113178394666</v>
      </c>
      <c r="K7" s="458">
        <f>landbouw!K8</f>
        <v>0</v>
      </c>
      <c r="L7" s="458">
        <f>landbouw!L8</f>
        <v>0</v>
      </c>
      <c r="M7" s="458">
        <f>landbouw!M8</f>
        <v>0</v>
      </c>
      <c r="N7" s="458">
        <f>landbouw!N8</f>
        <v>0</v>
      </c>
      <c r="O7" s="458">
        <f>landbouw!O8</f>
        <v>0</v>
      </c>
      <c r="P7" s="459">
        <f>landbouw!P8</f>
        <v>0</v>
      </c>
      <c r="Q7" s="457">
        <f t="shared" si="0"/>
        <v>1469.6628068248451</v>
      </c>
    </row>
    <row r="8" spans="1:17">
      <c r="A8" s="457" t="s">
        <v>655</v>
      </c>
      <c r="B8" s="458">
        <f>industrie!B18</f>
        <v>72920.878272194153</v>
      </c>
      <c r="C8" s="458">
        <f>industrie!C18</f>
        <v>0</v>
      </c>
      <c r="D8" s="458">
        <f>industrie!D18</f>
        <v>185776.4541447807</v>
      </c>
      <c r="E8" s="458">
        <f>industrie!E18</f>
        <v>4721.6271420781486</v>
      </c>
      <c r="F8" s="458">
        <f>industrie!F18</f>
        <v>20157.366374897494</v>
      </c>
      <c r="G8" s="458">
        <f>industrie!G18</f>
        <v>0</v>
      </c>
      <c r="H8" s="458">
        <f>industrie!H18</f>
        <v>0</v>
      </c>
      <c r="I8" s="458">
        <f>industrie!I18</f>
        <v>0</v>
      </c>
      <c r="J8" s="458">
        <f>industrie!J18</f>
        <v>174.11761885600993</v>
      </c>
      <c r="K8" s="458">
        <f>industrie!K18</f>
        <v>0</v>
      </c>
      <c r="L8" s="458">
        <f>industrie!L18</f>
        <v>0</v>
      </c>
      <c r="M8" s="458">
        <f>industrie!M18</f>
        <v>0</v>
      </c>
      <c r="N8" s="458">
        <f>industrie!N18</f>
        <v>3824.1485567110994</v>
      </c>
      <c r="O8" s="458">
        <f>industrie!O18</f>
        <v>0</v>
      </c>
      <c r="P8" s="459">
        <f>industrie!P18</f>
        <v>0</v>
      </c>
      <c r="Q8" s="457">
        <f t="shared" si="0"/>
        <v>287574.5921095176</v>
      </c>
    </row>
    <row r="9" spans="1:17" s="463" customFormat="1">
      <c r="A9" s="461" t="s">
        <v>573</v>
      </c>
      <c r="B9" s="462">
        <f>transport!B14</f>
        <v>11.02997349832339</v>
      </c>
      <c r="C9" s="462">
        <f>transport!C14</f>
        <v>0</v>
      </c>
      <c r="D9" s="462">
        <f>transport!D14</f>
        <v>18.497258845367405</v>
      </c>
      <c r="E9" s="462">
        <f>transport!E14</f>
        <v>683.9822065119946</v>
      </c>
      <c r="F9" s="462">
        <f>transport!F14</f>
        <v>0</v>
      </c>
      <c r="G9" s="462">
        <f>transport!G14</f>
        <v>257281.39876900759</v>
      </c>
      <c r="H9" s="462">
        <f>transport!H14</f>
        <v>33999.059600022454</v>
      </c>
      <c r="I9" s="462">
        <f>transport!I14</f>
        <v>0</v>
      </c>
      <c r="J9" s="462">
        <f>transport!J14</f>
        <v>0</v>
      </c>
      <c r="K9" s="462">
        <f>transport!K14</f>
        <v>0</v>
      </c>
      <c r="L9" s="462">
        <f>transport!L14</f>
        <v>0</v>
      </c>
      <c r="M9" s="462">
        <f>transport!M14</f>
        <v>13166.320443007073</v>
      </c>
      <c r="N9" s="462">
        <f>transport!N14</f>
        <v>0</v>
      </c>
      <c r="O9" s="462">
        <f>transport!O14</f>
        <v>0</v>
      </c>
      <c r="P9" s="462">
        <f>transport!P14</f>
        <v>0</v>
      </c>
      <c r="Q9" s="461">
        <f>SUM(B9:P9)</f>
        <v>305160.28825089277</v>
      </c>
    </row>
    <row r="10" spans="1:17">
      <c r="A10" s="457" t="s">
        <v>563</v>
      </c>
      <c r="B10" s="458">
        <f>transport!B54</f>
        <v>0</v>
      </c>
      <c r="C10" s="458">
        <f>transport!C54</f>
        <v>0</v>
      </c>
      <c r="D10" s="458">
        <f>transport!D54</f>
        <v>0</v>
      </c>
      <c r="E10" s="458">
        <f>transport!E54</f>
        <v>0</v>
      </c>
      <c r="F10" s="458">
        <f>transport!F54</f>
        <v>0</v>
      </c>
      <c r="G10" s="458">
        <f>transport!G54</f>
        <v>2134.1238769377314</v>
      </c>
      <c r="H10" s="458">
        <f>transport!H54</f>
        <v>0</v>
      </c>
      <c r="I10" s="458">
        <f>transport!I54</f>
        <v>0</v>
      </c>
      <c r="J10" s="458">
        <f>transport!J54</f>
        <v>0</v>
      </c>
      <c r="K10" s="458">
        <f>transport!K54</f>
        <v>0</v>
      </c>
      <c r="L10" s="458">
        <f>transport!L54</f>
        <v>0</v>
      </c>
      <c r="M10" s="458">
        <f>transport!M54</f>
        <v>94.991619306501576</v>
      </c>
      <c r="N10" s="458">
        <f>transport!N54</f>
        <v>0</v>
      </c>
      <c r="O10" s="458">
        <f>transport!O54</f>
        <v>0</v>
      </c>
      <c r="P10" s="459">
        <f>transport!P54</f>
        <v>0</v>
      </c>
      <c r="Q10" s="457">
        <f t="shared" si="0"/>
        <v>2229.1154962442329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1233.2430679097599</v>
      </c>
      <c r="C14" s="465"/>
      <c r="D14" s="465">
        <f>'SEAP template'!E25</f>
        <v>6794.3961399646805</v>
      </c>
      <c r="E14" s="465"/>
      <c r="F14" s="465"/>
      <c r="G14" s="465"/>
      <c r="H14" s="465"/>
      <c r="I14" s="465"/>
      <c r="J14" s="465"/>
      <c r="K14" s="465"/>
      <c r="L14" s="465"/>
      <c r="M14" s="465"/>
      <c r="N14" s="465"/>
      <c r="O14" s="465"/>
      <c r="P14" s="466"/>
      <c r="Q14" s="457">
        <f t="shared" si="0"/>
        <v>8027.6392078744402</v>
      </c>
    </row>
    <row r="15" spans="1:17" s="470" customFormat="1">
      <c r="A15" s="467" t="s">
        <v>567</v>
      </c>
      <c r="B15" s="468">
        <f ca="1">SUM(B4:B14)</f>
        <v>168981.45042620736</v>
      </c>
      <c r="C15" s="468">
        <f t="shared" ref="C15:Q15" ca="1" si="1">SUM(C4:C14)</f>
        <v>0</v>
      </c>
      <c r="D15" s="468">
        <f t="shared" ca="1" si="1"/>
        <v>380803.8444510742</v>
      </c>
      <c r="E15" s="468">
        <f t="shared" si="1"/>
        <v>7851.7372890085926</v>
      </c>
      <c r="F15" s="468">
        <f t="shared" ca="1" si="1"/>
        <v>31327.888313101452</v>
      </c>
      <c r="G15" s="468">
        <f t="shared" si="1"/>
        <v>259415.52264594531</v>
      </c>
      <c r="H15" s="468">
        <f t="shared" si="1"/>
        <v>33999.059600022454</v>
      </c>
      <c r="I15" s="468">
        <f t="shared" si="1"/>
        <v>0</v>
      </c>
      <c r="J15" s="468">
        <f t="shared" si="1"/>
        <v>217.69573203440459</v>
      </c>
      <c r="K15" s="468">
        <f t="shared" si="1"/>
        <v>0</v>
      </c>
      <c r="L15" s="468">
        <f t="shared" ca="1" si="1"/>
        <v>0</v>
      </c>
      <c r="M15" s="468">
        <f t="shared" si="1"/>
        <v>13261.312062313575</v>
      </c>
      <c r="N15" s="468">
        <f t="shared" ca="1" si="1"/>
        <v>23990.652632470017</v>
      </c>
      <c r="O15" s="468">
        <f t="shared" si="1"/>
        <v>125.06666666666668</v>
      </c>
      <c r="P15" s="468">
        <f t="shared" si="1"/>
        <v>1296.5333333333333</v>
      </c>
      <c r="Q15" s="468">
        <f t="shared" ca="1" si="1"/>
        <v>921270.76315217733</v>
      </c>
    </row>
    <row r="17" spans="1:17">
      <c r="A17" s="471" t="s">
        <v>568</v>
      </c>
      <c r="B17" s="777">
        <f ca="1">huishoudens!B10</f>
        <v>0.19215458372600441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7189.3143131775569</v>
      </c>
      <c r="C22" s="458">
        <f t="shared" ref="C22:C32" ca="1" si="3">C4*$C$17</f>
        <v>0</v>
      </c>
      <c r="D22" s="458">
        <f t="shared" ref="D22:D32" si="4">D4*$D$17</f>
        <v>27233.685858584628</v>
      </c>
      <c r="E22" s="458">
        <f t="shared" ref="E22:E32" si="5">E4*$E$17</f>
        <v>424.96427525206485</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34847.964447014252</v>
      </c>
    </row>
    <row r="23" spans="1:17">
      <c r="A23" s="457" t="s">
        <v>155</v>
      </c>
      <c r="B23" s="458">
        <f t="shared" ca="1" si="2"/>
        <v>10658.82605976796</v>
      </c>
      <c r="C23" s="458">
        <f t="shared" ca="1" si="3"/>
        <v>0</v>
      </c>
      <c r="D23" s="458">
        <f t="shared" ca="1" si="4"/>
        <v>10758.799918158549</v>
      </c>
      <c r="E23" s="458">
        <f t="shared" si="5"/>
        <v>129.47788234573534</v>
      </c>
      <c r="F23" s="458">
        <f t="shared" ca="1" si="6"/>
        <v>2715.5883451100876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24262.692205382333</v>
      </c>
    </row>
    <row r="24" spans="1:17">
      <c r="A24" s="457" t="s">
        <v>193</v>
      </c>
      <c r="B24" s="458">
        <f t="shared" ca="1" si="2"/>
        <v>315.56548081486329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315.56548081486329</v>
      </c>
    </row>
    <row r="25" spans="1:17">
      <c r="A25" s="457" t="s">
        <v>111</v>
      </c>
      <c r="B25" s="458">
        <f t="shared" ca="1" si="2"/>
        <v>55.680632662580962</v>
      </c>
      <c r="C25" s="458">
        <f t="shared" ca="1" si="3"/>
        <v>0</v>
      </c>
      <c r="D25" s="458">
        <f t="shared" si="4"/>
        <v>26.842598568479879</v>
      </c>
      <c r="E25" s="458">
        <f t="shared" si="5"/>
        <v>0.82888487718798032</v>
      </c>
      <c r="F25" s="458">
        <f t="shared" si="6"/>
        <v>266.94101239036871</v>
      </c>
      <c r="G25" s="458">
        <f t="shared" si="7"/>
        <v>0</v>
      </c>
      <c r="H25" s="458">
        <f t="shared" si="8"/>
        <v>0</v>
      </c>
      <c r="I25" s="458">
        <f t="shared" si="9"/>
        <v>0</v>
      </c>
      <c r="J25" s="458">
        <f t="shared" si="10"/>
        <v>15.426652065151711</v>
      </c>
      <c r="K25" s="458">
        <f t="shared" si="11"/>
        <v>0</v>
      </c>
      <c r="L25" s="458">
        <f t="shared" si="12"/>
        <v>0</v>
      </c>
      <c r="M25" s="458">
        <f t="shared" si="13"/>
        <v>0</v>
      </c>
      <c r="N25" s="458">
        <f t="shared" si="14"/>
        <v>0</v>
      </c>
      <c r="O25" s="458">
        <f t="shared" si="15"/>
        <v>0</v>
      </c>
      <c r="P25" s="459">
        <f t="shared" si="16"/>
        <v>0</v>
      </c>
      <c r="Q25" s="457">
        <f t="shared" ca="1" si="17"/>
        <v>365.71978056376923</v>
      </c>
    </row>
    <row r="26" spans="1:17">
      <c r="A26" s="457" t="s">
        <v>655</v>
      </c>
      <c r="B26" s="458">
        <f t="shared" ca="1" si="2"/>
        <v>14012.081009328107</v>
      </c>
      <c r="C26" s="458">
        <f t="shared" ca="1" si="3"/>
        <v>0</v>
      </c>
      <c r="D26" s="458">
        <f t="shared" si="4"/>
        <v>37526.843737245705</v>
      </c>
      <c r="E26" s="458">
        <f t="shared" si="5"/>
        <v>1071.8093612517398</v>
      </c>
      <c r="F26" s="458">
        <f t="shared" si="6"/>
        <v>5382.0168220976311</v>
      </c>
      <c r="G26" s="458">
        <f t="shared" si="7"/>
        <v>0</v>
      </c>
      <c r="H26" s="458">
        <f t="shared" si="8"/>
        <v>0</v>
      </c>
      <c r="I26" s="458">
        <f t="shared" si="9"/>
        <v>0</v>
      </c>
      <c r="J26" s="458">
        <f t="shared" si="10"/>
        <v>61.637637075027513</v>
      </c>
      <c r="K26" s="458">
        <f t="shared" si="11"/>
        <v>0</v>
      </c>
      <c r="L26" s="458">
        <f t="shared" si="12"/>
        <v>0</v>
      </c>
      <c r="M26" s="458">
        <f t="shared" si="13"/>
        <v>0</v>
      </c>
      <c r="N26" s="458">
        <f t="shared" si="14"/>
        <v>0</v>
      </c>
      <c r="O26" s="458">
        <f t="shared" si="15"/>
        <v>0</v>
      </c>
      <c r="P26" s="459">
        <f t="shared" si="16"/>
        <v>0</v>
      </c>
      <c r="Q26" s="457">
        <f t="shared" ca="1" si="17"/>
        <v>58054.388566998219</v>
      </c>
    </row>
    <row r="27" spans="1:17" s="463" customFormat="1">
      <c r="A27" s="461" t="s">
        <v>573</v>
      </c>
      <c r="B27" s="771">
        <f t="shared" ca="1" si="2"/>
        <v>2.1194599660791917</v>
      </c>
      <c r="C27" s="462">
        <f t="shared" ca="1" si="3"/>
        <v>0</v>
      </c>
      <c r="D27" s="462">
        <f t="shared" si="4"/>
        <v>3.7364462867642159</v>
      </c>
      <c r="E27" s="462">
        <f t="shared" si="5"/>
        <v>155.26396087822278</v>
      </c>
      <c r="F27" s="462">
        <f t="shared" si="6"/>
        <v>0</v>
      </c>
      <c r="G27" s="462">
        <f t="shared" si="7"/>
        <v>68694.133471325025</v>
      </c>
      <c r="H27" s="462">
        <f t="shared" si="8"/>
        <v>8465.765840405591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77321.019178861694</v>
      </c>
    </row>
    <row r="28" spans="1:17">
      <c r="A28" s="457" t="s">
        <v>563</v>
      </c>
      <c r="B28" s="458">
        <f t="shared" ca="1" si="2"/>
        <v>0</v>
      </c>
      <c r="C28" s="458">
        <f t="shared" ca="1" si="3"/>
        <v>0</v>
      </c>
      <c r="D28" s="458">
        <f t="shared" si="4"/>
        <v>0</v>
      </c>
      <c r="E28" s="458">
        <f t="shared" si="5"/>
        <v>0</v>
      </c>
      <c r="F28" s="458">
        <f t="shared" si="6"/>
        <v>0</v>
      </c>
      <c r="G28" s="458">
        <f t="shared" si="7"/>
        <v>569.81107514237431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569.81107514237431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236.97330834718051</v>
      </c>
      <c r="C32" s="458">
        <f t="shared" ca="1" si="3"/>
        <v>0</v>
      </c>
      <c r="D32" s="458">
        <f t="shared" si="4"/>
        <v>1372.4680202728655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1609.4413286200461</v>
      </c>
    </row>
    <row r="33" spans="1:17" s="470" customFormat="1">
      <c r="A33" s="467" t="s">
        <v>567</v>
      </c>
      <c r="B33" s="468">
        <f ca="1">SUM(B22:B32)</f>
        <v>32470.560264064326</v>
      </c>
      <c r="C33" s="468">
        <f t="shared" ref="C33:Q33" ca="1" si="18">SUM(C22:C32)</f>
        <v>0</v>
      </c>
      <c r="D33" s="468">
        <f t="shared" ca="1" si="18"/>
        <v>76922.376579117001</v>
      </c>
      <c r="E33" s="468">
        <f t="shared" si="18"/>
        <v>1782.3443646049509</v>
      </c>
      <c r="F33" s="468">
        <f t="shared" ca="1" si="18"/>
        <v>8364.5461795980882</v>
      </c>
      <c r="G33" s="468">
        <f t="shared" si="18"/>
        <v>69263.944546467406</v>
      </c>
      <c r="H33" s="468">
        <f t="shared" si="18"/>
        <v>8465.765840405591</v>
      </c>
      <c r="I33" s="468">
        <f t="shared" si="18"/>
        <v>0</v>
      </c>
      <c r="J33" s="468">
        <f t="shared" si="18"/>
        <v>77.064289140179227</v>
      </c>
      <c r="K33" s="468">
        <f t="shared" si="18"/>
        <v>0</v>
      </c>
      <c r="L33" s="468">
        <f t="shared" ca="1" si="18"/>
        <v>0</v>
      </c>
      <c r="M33" s="468">
        <f t="shared" si="18"/>
        <v>0</v>
      </c>
      <c r="N33" s="468">
        <f t="shared" ca="1" si="18"/>
        <v>0</v>
      </c>
      <c r="O33" s="468">
        <f t="shared" si="18"/>
        <v>0</v>
      </c>
      <c r="P33" s="468">
        <f t="shared" si="18"/>
        <v>0</v>
      </c>
      <c r="Q33" s="468">
        <f t="shared" ca="1" si="18"/>
        <v>197346.60206339756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7360.6182120000003</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14695.220159617656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22055.838371617658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0.19215458372600441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0.19215458372600441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0.19215458372600441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0.19215458372600441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10246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673</v>
      </c>
      <c r="C14" s="332"/>
      <c r="D14" s="332"/>
      <c r="E14" s="332"/>
      <c r="F14" s="332"/>
    </row>
    <row r="15" spans="1:6">
      <c r="A15" s="1306" t="s">
        <v>183</v>
      </c>
      <c r="B15" s="1307">
        <v>4</v>
      </c>
      <c r="C15" s="332"/>
      <c r="D15" s="332"/>
      <c r="E15" s="332"/>
      <c r="F15" s="332"/>
    </row>
    <row r="16" spans="1:6">
      <c r="A16" s="1306" t="s">
        <v>6</v>
      </c>
      <c r="B16" s="1307">
        <v>223</v>
      </c>
      <c r="C16" s="332"/>
      <c r="D16" s="332"/>
      <c r="E16" s="332"/>
      <c r="F16" s="332"/>
    </row>
    <row r="17" spans="1:6">
      <c r="A17" s="1306" t="s">
        <v>7</v>
      </c>
      <c r="B17" s="1307">
        <v>153</v>
      </c>
      <c r="C17" s="332"/>
      <c r="D17" s="332"/>
      <c r="E17" s="332"/>
      <c r="F17" s="332"/>
    </row>
    <row r="18" spans="1:6">
      <c r="A18" s="1306" t="s">
        <v>8</v>
      </c>
      <c r="B18" s="1307">
        <v>289</v>
      </c>
      <c r="C18" s="332"/>
      <c r="D18" s="332"/>
      <c r="E18" s="332"/>
      <c r="F18" s="332"/>
    </row>
    <row r="19" spans="1:6">
      <c r="A19" s="1306" t="s">
        <v>9</v>
      </c>
      <c r="B19" s="1307">
        <v>264</v>
      </c>
      <c r="C19" s="332"/>
      <c r="D19" s="332"/>
      <c r="E19" s="332"/>
      <c r="F19" s="332"/>
    </row>
    <row r="20" spans="1:6">
      <c r="A20" s="1306" t="s">
        <v>10</v>
      </c>
      <c r="B20" s="1307">
        <v>281</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5</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2</v>
      </c>
      <c r="C29" s="338"/>
      <c r="D29" s="338"/>
      <c r="E29" s="338"/>
      <c r="F29" s="338"/>
    </row>
    <row r="30" spans="1:6">
      <c r="A30" s="1301" t="s">
        <v>917</v>
      </c>
      <c r="B30" s="1310">
        <v>16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3</v>
      </c>
      <c r="D36" s="1307">
        <v>38389.634796268903</v>
      </c>
      <c r="E36" s="1307">
        <v>9</v>
      </c>
      <c r="F36" s="1307">
        <v>17174.785174619999</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51246.670432988401</v>
      </c>
    </row>
    <row r="39" spans="1:6">
      <c r="A39" s="1306" t="s">
        <v>29</v>
      </c>
      <c r="B39" s="1306" t="s">
        <v>30</v>
      </c>
      <c r="C39" s="1307">
        <v>8646</v>
      </c>
      <c r="D39" s="1307">
        <v>149468100.91207999</v>
      </c>
      <c r="E39" s="1307">
        <v>10260</v>
      </c>
      <c r="F39" s="1307">
        <v>35036596.151155099</v>
      </c>
    </row>
    <row r="40" spans="1:6">
      <c r="A40" s="1306" t="s">
        <v>29</v>
      </c>
      <c r="B40" s="1306" t="s">
        <v>28</v>
      </c>
      <c r="C40" s="1307">
        <v>0</v>
      </c>
      <c r="D40" s="1307">
        <v>0</v>
      </c>
      <c r="E40" s="1307">
        <v>0</v>
      </c>
      <c r="F40" s="1307">
        <v>0</v>
      </c>
    </row>
    <row r="41" spans="1:6">
      <c r="A41" s="1306" t="s">
        <v>31</v>
      </c>
      <c r="B41" s="1306" t="s">
        <v>32</v>
      </c>
      <c r="C41" s="1307">
        <v>54</v>
      </c>
      <c r="D41" s="1307">
        <v>1150582.91582679</v>
      </c>
      <c r="E41" s="1307">
        <v>246</v>
      </c>
      <c r="F41" s="1307">
        <v>2959676.8334054402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6</v>
      </c>
      <c r="D44" s="1307">
        <v>8522931.6021722704</v>
      </c>
      <c r="E44" s="1307">
        <v>18</v>
      </c>
      <c r="F44" s="1307">
        <v>661236.81674885203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34</v>
      </c>
      <c r="D48" s="1307">
        <v>195270745.21657699</v>
      </c>
      <c r="E48" s="1307">
        <v>49</v>
      </c>
      <c r="F48" s="1307">
        <v>67926326.829842299</v>
      </c>
    </row>
    <row r="49" spans="1:6">
      <c r="A49" s="1306" t="s">
        <v>31</v>
      </c>
      <c r="B49" s="1306" t="s">
        <v>39</v>
      </c>
      <c r="C49" s="1307">
        <v>0</v>
      </c>
      <c r="D49" s="1307">
        <v>0</v>
      </c>
      <c r="E49" s="1307">
        <v>0</v>
      </c>
      <c r="F49" s="1307">
        <v>0</v>
      </c>
    </row>
    <row r="50" spans="1:6">
      <c r="A50" s="1306" t="s">
        <v>31</v>
      </c>
      <c r="B50" s="1306" t="s">
        <v>40</v>
      </c>
      <c r="C50" s="1307">
        <v>16</v>
      </c>
      <c r="D50" s="1307">
        <v>1016332.44367305</v>
      </c>
      <c r="E50" s="1307">
        <v>21</v>
      </c>
      <c r="F50" s="1307">
        <v>1373637.79219756</v>
      </c>
    </row>
    <row r="51" spans="1:6">
      <c r="A51" s="1306" t="s">
        <v>41</v>
      </c>
      <c r="B51" s="1306" t="s">
        <v>42</v>
      </c>
      <c r="C51" s="1307">
        <v>3</v>
      </c>
      <c r="D51" s="1307">
        <v>59903.784979619202</v>
      </c>
      <c r="E51" s="1307">
        <v>27</v>
      </c>
      <c r="F51" s="1307">
        <v>241545.19864201499</v>
      </c>
    </row>
    <row r="52" spans="1:6">
      <c r="A52" s="1306" t="s">
        <v>41</v>
      </c>
      <c r="B52" s="1306" t="s">
        <v>28</v>
      </c>
      <c r="C52" s="1307">
        <v>5</v>
      </c>
      <c r="D52" s="1307">
        <v>87417.890551542994</v>
      </c>
      <c r="E52" s="1307">
        <v>3</v>
      </c>
      <c r="F52" s="1307">
        <v>48224.795822320397</v>
      </c>
    </row>
    <row r="53" spans="1:6">
      <c r="A53" s="1306" t="s">
        <v>43</v>
      </c>
      <c r="B53" s="1306" t="s">
        <v>44</v>
      </c>
      <c r="C53" s="1307">
        <v>189</v>
      </c>
      <c r="D53" s="1307">
        <v>6794396.1399646802</v>
      </c>
      <c r="E53" s="1307">
        <v>310</v>
      </c>
      <c r="F53" s="1307">
        <v>1233243.0679097599</v>
      </c>
    </row>
    <row r="54" spans="1:6">
      <c r="A54" s="1306" t="s">
        <v>45</v>
      </c>
      <c r="B54" s="1306" t="s">
        <v>46</v>
      </c>
      <c r="C54" s="1307">
        <v>0</v>
      </c>
      <c r="D54" s="1307">
        <v>0</v>
      </c>
      <c r="E54" s="1307">
        <v>1</v>
      </c>
      <c r="F54" s="1307">
        <v>1642248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53</v>
      </c>
      <c r="D57" s="1307">
        <v>1774534.3050321201</v>
      </c>
      <c r="E57" s="1307">
        <v>117</v>
      </c>
      <c r="F57" s="1307">
        <v>4304160.7741664303</v>
      </c>
    </row>
    <row r="58" spans="1:6">
      <c r="A58" s="1306" t="s">
        <v>48</v>
      </c>
      <c r="B58" s="1306" t="s">
        <v>50</v>
      </c>
      <c r="C58" s="1307">
        <v>39</v>
      </c>
      <c r="D58" s="1307">
        <v>4705815.0811513402</v>
      </c>
      <c r="E58" s="1307">
        <v>46</v>
      </c>
      <c r="F58" s="1307">
        <v>2264768.6914914101</v>
      </c>
    </row>
    <row r="59" spans="1:6">
      <c r="A59" s="1306" t="s">
        <v>48</v>
      </c>
      <c r="B59" s="1306" t="s">
        <v>51</v>
      </c>
      <c r="C59" s="1307">
        <v>146</v>
      </c>
      <c r="D59" s="1307">
        <v>12034169.8226944</v>
      </c>
      <c r="E59" s="1307">
        <v>264</v>
      </c>
      <c r="F59" s="1307">
        <v>17001597.2180852</v>
      </c>
    </row>
    <row r="60" spans="1:6">
      <c r="A60" s="1306" t="s">
        <v>48</v>
      </c>
      <c r="B60" s="1306" t="s">
        <v>52</v>
      </c>
      <c r="C60" s="1307">
        <v>73</v>
      </c>
      <c r="D60" s="1307">
        <v>3070208.0910674301</v>
      </c>
      <c r="E60" s="1307">
        <v>97</v>
      </c>
      <c r="F60" s="1307">
        <v>2513638.6871712301</v>
      </c>
    </row>
    <row r="61" spans="1:6">
      <c r="A61" s="1306" t="s">
        <v>48</v>
      </c>
      <c r="B61" s="1306" t="s">
        <v>53</v>
      </c>
      <c r="C61" s="1307">
        <v>273</v>
      </c>
      <c r="D61" s="1307">
        <v>23383228.005374499</v>
      </c>
      <c r="E61" s="1307">
        <v>412</v>
      </c>
      <c r="F61" s="1307">
        <v>23008316.244141199</v>
      </c>
    </row>
    <row r="62" spans="1:6">
      <c r="A62" s="1306" t="s">
        <v>48</v>
      </c>
      <c r="B62" s="1306" t="s">
        <v>54</v>
      </c>
      <c r="C62" s="1307">
        <v>6</v>
      </c>
      <c r="D62" s="1307">
        <v>722104.68744139106</v>
      </c>
      <c r="E62" s="1307">
        <v>24</v>
      </c>
      <c r="F62" s="1307">
        <v>465998.04757217999</v>
      </c>
    </row>
    <row r="63" spans="1:6">
      <c r="A63" s="1306" t="s">
        <v>48</v>
      </c>
      <c r="B63" s="1306" t="s">
        <v>28</v>
      </c>
      <c r="C63" s="1307">
        <v>98</v>
      </c>
      <c r="D63" s="1307">
        <v>13358039.490008401</v>
      </c>
      <c r="E63" s="1307">
        <v>96</v>
      </c>
      <c r="F63" s="1307">
        <v>5911579.1467240499</v>
      </c>
    </row>
    <row r="64" spans="1:6">
      <c r="A64" s="1306" t="s">
        <v>55</v>
      </c>
      <c r="B64" s="1306" t="s">
        <v>56</v>
      </c>
      <c r="C64" s="1307">
        <v>0</v>
      </c>
      <c r="D64" s="1307">
        <v>0</v>
      </c>
      <c r="E64" s="1307">
        <v>0</v>
      </c>
      <c r="F64" s="1307">
        <v>0</v>
      </c>
    </row>
    <row r="65" spans="1:6">
      <c r="A65" s="1306" t="s">
        <v>55</v>
      </c>
      <c r="B65" s="1306" t="s">
        <v>28</v>
      </c>
      <c r="C65" s="1307">
        <v>3</v>
      </c>
      <c r="D65" s="1307">
        <v>84298.871845078596</v>
      </c>
      <c r="E65" s="1307">
        <v>1</v>
      </c>
      <c r="F65" s="1307">
        <v>3400.0202524261999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59951.564023955398</v>
      </c>
      <c r="E68" s="1310">
        <v>13</v>
      </c>
      <c r="F68" s="1310">
        <v>200360.162520499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151281290</v>
      </c>
      <c r="E73" s="456"/>
      <c r="F73" s="332"/>
    </row>
    <row r="74" spans="1:6">
      <c r="A74" s="1306" t="s">
        <v>63</v>
      </c>
      <c r="B74" s="1306" t="s">
        <v>724</v>
      </c>
      <c r="C74" s="1320" t="s">
        <v>725</v>
      </c>
      <c r="D74" s="1321">
        <v>31308143.451605536</v>
      </c>
      <c r="E74" s="456"/>
      <c r="F74" s="332"/>
    </row>
    <row r="75" spans="1:6">
      <c r="A75" s="1306" t="s">
        <v>64</v>
      </c>
      <c r="B75" s="1306" t="s">
        <v>722</v>
      </c>
      <c r="C75" s="1320" t="s">
        <v>726</v>
      </c>
      <c r="D75" s="1321">
        <v>48385738</v>
      </c>
      <c r="E75" s="456"/>
      <c r="F75" s="332"/>
    </row>
    <row r="76" spans="1:6">
      <c r="A76" s="1306" t="s">
        <v>64</v>
      </c>
      <c r="B76" s="1306" t="s">
        <v>724</v>
      </c>
      <c r="C76" s="1320" t="s">
        <v>727</v>
      </c>
      <c r="D76" s="1321">
        <v>6642255.4516055351</v>
      </c>
      <c r="E76" s="456"/>
      <c r="F76" s="332"/>
    </row>
    <row r="77" spans="1:6">
      <c r="A77" s="1306" t="s">
        <v>65</v>
      </c>
      <c r="B77" s="1306" t="s">
        <v>722</v>
      </c>
      <c r="C77" s="1320" t="s">
        <v>728</v>
      </c>
      <c r="D77" s="1321">
        <v>55834768</v>
      </c>
      <c r="E77" s="456"/>
      <c r="F77" s="332"/>
    </row>
    <row r="78" spans="1:6">
      <c r="A78" s="1301" t="s">
        <v>65</v>
      </c>
      <c r="B78" s="1301" t="s">
        <v>724</v>
      </c>
      <c r="C78" s="1301" t="s">
        <v>729</v>
      </c>
      <c r="D78" s="1322">
        <v>7772976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589839.09678892989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7360.6182120000003</v>
      </c>
      <c r="C90" s="332"/>
      <c r="D90" s="332"/>
      <c r="E90" s="332"/>
      <c r="F90" s="332"/>
    </row>
    <row r="91" spans="1:6">
      <c r="A91" s="1306" t="s">
        <v>67</v>
      </c>
      <c r="B91" s="1307">
        <v>2377.6261576339989</v>
      </c>
      <c r="C91" s="332"/>
      <c r="D91" s="332"/>
      <c r="E91" s="332"/>
      <c r="F91" s="332"/>
    </row>
    <row r="92" spans="1:6">
      <c r="A92" s="1301" t="s">
        <v>68</v>
      </c>
      <c r="B92" s="1302">
        <v>12317.594001983658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6495</v>
      </c>
      <c r="C97" s="332"/>
      <c r="D97" s="332"/>
      <c r="E97" s="332"/>
      <c r="F97" s="332"/>
    </row>
    <row r="98" spans="1:6">
      <c r="A98" s="1306" t="s">
        <v>71</v>
      </c>
      <c r="B98" s="1307">
        <v>10</v>
      </c>
      <c r="C98" s="332"/>
      <c r="D98" s="332"/>
      <c r="E98" s="332"/>
      <c r="F98" s="332"/>
    </row>
    <row r="99" spans="1:6">
      <c r="A99" s="1306" t="s">
        <v>72</v>
      </c>
      <c r="B99" s="1307">
        <v>27</v>
      </c>
      <c r="C99" s="332"/>
      <c r="D99" s="332"/>
      <c r="E99" s="332"/>
      <c r="F99" s="332"/>
    </row>
    <row r="100" spans="1:6">
      <c r="A100" s="1306" t="s">
        <v>73</v>
      </c>
      <c r="B100" s="1307">
        <v>410</v>
      </c>
      <c r="C100" s="332"/>
      <c r="D100" s="332"/>
      <c r="E100" s="332"/>
      <c r="F100" s="332"/>
    </row>
    <row r="101" spans="1:6">
      <c r="A101" s="1306" t="s">
        <v>74</v>
      </c>
      <c r="B101" s="1307">
        <v>70</v>
      </c>
      <c r="C101" s="332"/>
      <c r="D101" s="332"/>
      <c r="E101" s="332"/>
      <c r="F101" s="332"/>
    </row>
    <row r="102" spans="1:6">
      <c r="A102" s="1306" t="s">
        <v>75</v>
      </c>
      <c r="B102" s="1307">
        <v>123</v>
      </c>
      <c r="C102" s="332"/>
      <c r="D102" s="332"/>
      <c r="E102" s="332"/>
      <c r="F102" s="332"/>
    </row>
    <row r="103" spans="1:6">
      <c r="A103" s="1306" t="s">
        <v>76</v>
      </c>
      <c r="B103" s="1307">
        <v>180</v>
      </c>
      <c r="C103" s="332"/>
      <c r="D103" s="332"/>
      <c r="E103" s="332"/>
      <c r="F103" s="332"/>
    </row>
    <row r="104" spans="1:6">
      <c r="A104" s="1306" t="s">
        <v>77</v>
      </c>
      <c r="B104" s="1307">
        <v>1800</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61</v>
      </c>
      <c r="C123" s="1307">
        <v>12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67</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168981.45042620733</v>
      </c>
      <c r="C3" s="43" t="s">
        <v>169</v>
      </c>
      <c r="D3" s="43"/>
      <c r="E3" s="156"/>
      <c r="F3" s="43"/>
      <c r="G3" s="43"/>
      <c r="H3" s="43"/>
      <c r="I3" s="43"/>
      <c r="J3" s="43"/>
      <c r="K3" s="96"/>
    </row>
    <row r="4" spans="1:11">
      <c r="A4" s="363" t="s">
        <v>170</v>
      </c>
      <c r="B4" s="49">
        <f>IF(ISERROR('SEAP template'!B78+'SEAP template'!C78),0,'SEAP template'!B78+'SEAP template'!C78)</f>
        <v>22055.838371617658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0.19215458372600441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1642.248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1642.248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0.19215458372600441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315.56548081486329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35036.5961511551</v>
      </c>
      <c r="C5" s="17">
        <f>IF(ISERROR('Eigen informatie GS &amp; warmtenet'!B57),0,'Eigen informatie GS &amp; warmtenet'!B57)</f>
        <v>0</v>
      </c>
      <c r="D5" s="30">
        <f>(SUM(HH_hh_gas_kWh,HH_rest_gas_kWh)/1000)*0.902</f>
        <v>134820.22702269617</v>
      </c>
      <c r="E5" s="17">
        <f>B46*B57</f>
        <v>1872.0893182910345</v>
      </c>
      <c r="F5" s="17">
        <f>B51*B62</f>
        <v>0</v>
      </c>
      <c r="G5" s="18"/>
      <c r="H5" s="17"/>
      <c r="I5" s="17"/>
      <c r="J5" s="17">
        <f>B50*B61+C50*C61</f>
        <v>0</v>
      </c>
      <c r="K5" s="17"/>
      <c r="L5" s="17"/>
      <c r="M5" s="17"/>
      <c r="N5" s="17">
        <f>B48*B59+C48*C59</f>
        <v>16613.633966358972</v>
      </c>
      <c r="O5" s="17">
        <f>B69*B70*B71</f>
        <v>123.50333333333334</v>
      </c>
      <c r="P5" s="17">
        <f>B77*B78*B79/1000-B77*B78*B79/1000/B80</f>
        <v>1277.4666666666667</v>
      </c>
    </row>
    <row r="6" spans="1:16">
      <c r="A6" s="16" t="s">
        <v>633</v>
      </c>
      <c r="B6" s="779">
        <f>kWh_PV_kleiner_dan_10kW</f>
        <v>2377.6261576339989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37414.222308789096</v>
      </c>
      <c r="C8" s="21">
        <f>C5</f>
        <v>0</v>
      </c>
      <c r="D8" s="21">
        <f>D5</f>
        <v>134820.22702269617</v>
      </c>
      <c r="E8" s="21">
        <f>E5</f>
        <v>1872.0893182910345</v>
      </c>
      <c r="F8" s="21">
        <f>F5</f>
        <v>0</v>
      </c>
      <c r="G8" s="21"/>
      <c r="H8" s="21"/>
      <c r="I8" s="21"/>
      <c r="J8" s="21">
        <f>J5</f>
        <v>0</v>
      </c>
      <c r="K8" s="21"/>
      <c r="L8" s="21">
        <f>L5</f>
        <v>0</v>
      </c>
      <c r="M8" s="21">
        <f>M5</f>
        <v>0</v>
      </c>
      <c r="N8" s="21">
        <f>N5</f>
        <v>16613.633966358972</v>
      </c>
      <c r="O8" s="21">
        <f>O5</f>
        <v>123.50333333333334</v>
      </c>
      <c r="P8" s="21">
        <f>P5</f>
        <v>1277.4666666666667</v>
      </c>
    </row>
    <row r="9" spans="1:16">
      <c r="B9" s="19"/>
      <c r="C9" s="19"/>
      <c r="D9" s="261"/>
      <c r="E9" s="19"/>
      <c r="F9" s="19"/>
      <c r="G9" s="19"/>
      <c r="H9" s="19"/>
      <c r="I9" s="19"/>
      <c r="J9" s="19"/>
      <c r="K9" s="19"/>
      <c r="L9" s="19"/>
      <c r="M9" s="19"/>
      <c r="N9" s="19"/>
      <c r="O9" s="19"/>
      <c r="P9" s="19"/>
    </row>
    <row r="10" spans="1:16">
      <c r="A10" s="24" t="s">
        <v>213</v>
      </c>
      <c r="B10" s="25">
        <f ca="1">'EF ele_warmte'!B12</f>
        <v>0.19215458372600441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7189.3143131775569</v>
      </c>
      <c r="C12" s="23">
        <f ca="1">C10*C8</f>
        <v>0</v>
      </c>
      <c r="D12" s="23">
        <f>D8*D10</f>
        <v>27233.685858584628</v>
      </c>
      <c r="E12" s="23">
        <f>E10*E8</f>
        <v>424.96427525206485</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6495</v>
      </c>
      <c r="C18" s="168" t="s">
        <v>110</v>
      </c>
      <c r="D18" s="230"/>
      <c r="E18" s="15"/>
    </row>
    <row r="19" spans="1:7">
      <c r="A19" s="173" t="s">
        <v>71</v>
      </c>
      <c r="B19" s="37">
        <f>aantalw2001_ander</f>
        <v>10</v>
      </c>
      <c r="C19" s="168" t="s">
        <v>110</v>
      </c>
      <c r="D19" s="231"/>
      <c r="E19" s="15"/>
    </row>
    <row r="20" spans="1:7">
      <c r="A20" s="173" t="s">
        <v>72</v>
      </c>
      <c r="B20" s="37">
        <f>aantalw2001_propaan</f>
        <v>27</v>
      </c>
      <c r="C20" s="169">
        <f>IF(ISERROR(B20/SUM($B$20,$B$21,$B$22)*100),0,B20/SUM($B$20,$B$21,$B$22)*100)</f>
        <v>5.3254437869822491</v>
      </c>
      <c r="D20" s="231"/>
      <c r="E20" s="15"/>
    </row>
    <row r="21" spans="1:7">
      <c r="A21" s="173" t="s">
        <v>73</v>
      </c>
      <c r="B21" s="37">
        <f>aantalw2001_elektriciteit</f>
        <v>410</v>
      </c>
      <c r="C21" s="169">
        <f>IF(ISERROR(B21/SUM($B$20,$B$21,$B$22)*100),0,B21/SUM($B$20,$B$21,$B$22)*100)</f>
        <v>80.867850098619328</v>
      </c>
      <c r="D21" s="231"/>
      <c r="E21" s="15"/>
    </row>
    <row r="22" spans="1:7">
      <c r="A22" s="173" t="s">
        <v>74</v>
      </c>
      <c r="B22" s="37">
        <f>aantalw2001_hout</f>
        <v>70</v>
      </c>
      <c r="C22" s="169">
        <f>IF(ISERROR(B22/SUM($B$20,$B$21,$B$22)*100),0,B22/SUM($B$20,$B$21,$B$22)*100)</f>
        <v>13.806706114398423</v>
      </c>
      <c r="D22" s="231"/>
      <c r="E22" s="15"/>
    </row>
    <row r="23" spans="1:7">
      <c r="A23" s="173" t="s">
        <v>75</v>
      </c>
      <c r="B23" s="37">
        <f>aantalw2001_niet_gespec</f>
        <v>123</v>
      </c>
      <c r="C23" s="168" t="s">
        <v>110</v>
      </c>
      <c r="D23" s="230"/>
      <c r="E23" s="15"/>
    </row>
    <row r="24" spans="1:7">
      <c r="A24" s="173" t="s">
        <v>76</v>
      </c>
      <c r="B24" s="37">
        <f>aantalw2001_steenkool</f>
        <v>180</v>
      </c>
      <c r="C24" s="168" t="s">
        <v>110</v>
      </c>
      <c r="D24" s="231"/>
      <c r="E24" s="15"/>
    </row>
    <row r="25" spans="1:7">
      <c r="A25" s="173" t="s">
        <v>77</v>
      </c>
      <c r="B25" s="37">
        <f>aantalw2001_stookolie</f>
        <v>1800</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10246</v>
      </c>
      <c r="C28" s="36"/>
      <c r="D28" s="230"/>
    </row>
    <row r="29" spans="1:7" s="15" customFormat="1">
      <c r="A29" s="232" t="s">
        <v>743</v>
      </c>
      <c r="B29" s="37">
        <f>SUM(HH_hh_gas_aantal,HH_rest_gas_aantal)</f>
        <v>8646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8646</v>
      </c>
      <c r="C32" s="169">
        <f>IF(ISERROR(B32/SUM($B$32,$B$34,$B$35,$B$36,$B$38,$B$39)*100),0,B32/SUM($B$32,$B$34,$B$35,$B$36,$B$38,$B$39)*100)</f>
        <v>84.939581491305631</v>
      </c>
      <c r="D32" s="235"/>
      <c r="G32" s="15"/>
    </row>
    <row r="33" spans="1:7">
      <c r="A33" s="173" t="s">
        <v>71</v>
      </c>
      <c r="B33" s="34" t="s">
        <v>110</v>
      </c>
      <c r="C33" s="169"/>
      <c r="D33" s="235"/>
      <c r="G33" s="15"/>
    </row>
    <row r="34" spans="1:7">
      <c r="A34" s="173" t="s">
        <v>72</v>
      </c>
      <c r="B34" s="33">
        <f>IF((($B$28-$B$32-$B$39-$B$77-$B$38)*C20/100)&lt;0,0,($B$28-$B$32-$B$39-$B$77-$B$38)*C20/100)</f>
        <v>81.639053254437883</v>
      </c>
      <c r="C34" s="169">
        <f>IF(ISERROR(B34/SUM($B$32,$B$34,$B$35,$B$36,$B$38,$B$39)*100),0,B34/SUM($B$32,$B$34,$B$35,$B$36,$B$38,$B$39)*100)</f>
        <v>0.80203412176478917</v>
      </c>
      <c r="D34" s="235"/>
      <c r="G34" s="15"/>
    </row>
    <row r="35" spans="1:7">
      <c r="A35" s="173" t="s">
        <v>73</v>
      </c>
      <c r="B35" s="33">
        <f>IF((($B$28-$B$32-$B$39-$B$77-$B$38)*C21/100)&lt;0,0,($B$28-$B$32-$B$39-$B$77-$B$38)*C21/100)</f>
        <v>1239.7041420118344</v>
      </c>
      <c r="C35" s="169">
        <f>IF(ISERROR(B35/SUM($B$32,$B$34,$B$35,$B$36,$B$38,$B$39)*100),0,B35/SUM($B$32,$B$34,$B$35,$B$36,$B$38,$B$39)*100)</f>
        <v>12.179036663835685</v>
      </c>
      <c r="D35" s="235"/>
      <c r="G35" s="15"/>
    </row>
    <row r="36" spans="1:7">
      <c r="A36" s="173" t="s">
        <v>74</v>
      </c>
      <c r="B36" s="33">
        <f>IF((($B$28-$B$32-$B$39-$B$77-$B$38)*C22/100)&lt;0,0,($B$28-$B$32-$B$39-$B$77-$B$38)*C22/100)</f>
        <v>211.65680473372785</v>
      </c>
      <c r="C36" s="169">
        <f>IF(ISERROR(B36/SUM($B$32,$B$34,$B$35,$B$36,$B$38,$B$39)*100),0,B36/SUM($B$32,$B$34,$B$35,$B$36,$B$38,$B$39)*100)</f>
        <v>2.0793477230938979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8646</v>
      </c>
      <c r="C44" s="34" t="s">
        <v>110</v>
      </c>
      <c r="D44" s="176"/>
    </row>
    <row r="45" spans="1:7">
      <c r="A45" s="173" t="s">
        <v>71</v>
      </c>
      <c r="B45" s="33" t="str">
        <f t="shared" si="0"/>
        <v>-</v>
      </c>
      <c r="C45" s="34" t="s">
        <v>110</v>
      </c>
      <c r="D45" s="176"/>
    </row>
    <row r="46" spans="1:7">
      <c r="A46" s="173" t="s">
        <v>72</v>
      </c>
      <c r="B46" s="33">
        <f t="shared" si="0"/>
        <v>81.639053254437883</v>
      </c>
      <c r="C46" s="34" t="s">
        <v>110</v>
      </c>
      <c r="D46" s="176"/>
    </row>
    <row r="47" spans="1:7">
      <c r="A47" s="173" t="s">
        <v>73</v>
      </c>
      <c r="B47" s="33">
        <f t="shared" si="0"/>
        <v>1239.7041420118344</v>
      </c>
      <c r="C47" s="34" t="s">
        <v>110</v>
      </c>
      <c r="D47" s="176"/>
    </row>
    <row r="48" spans="1:7">
      <c r="A48" s="173" t="s">
        <v>74</v>
      </c>
      <c r="B48" s="33">
        <f t="shared" si="0"/>
        <v>211.65680473372785</v>
      </c>
      <c r="C48" s="33">
        <f>B48*10</f>
        <v>2116.5680473372786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67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55470.0588093517</v>
      </c>
      <c r="C5" s="17">
        <f>IF(ISERROR('Eigen informatie GS &amp; warmtenet'!B58),0,'Eigen informatie GS &amp; warmtenet'!B58)</f>
        <v>0</v>
      </c>
      <c r="D5" s="30">
        <f>SUM(D6:D12)</f>
        <v>53261.385733458163</v>
      </c>
      <c r="E5" s="17">
        <f>SUM(E6:E12)</f>
        <v>570.38714689751248</v>
      </c>
      <c r="F5" s="17">
        <f>SUM(F6:F12)</f>
        <v>10170.742865580853</v>
      </c>
      <c r="G5" s="18"/>
      <c r="H5" s="17"/>
      <c r="I5" s="17"/>
      <c r="J5" s="17">
        <f>SUM(J6:J12)</f>
        <v>0</v>
      </c>
      <c r="K5" s="17"/>
      <c r="L5" s="17"/>
      <c r="M5" s="17"/>
      <c r="N5" s="17">
        <f>SUM(N6:N12)</f>
        <v>3552.870109399948</v>
      </c>
      <c r="O5" s="17">
        <f>B38*B39*B40</f>
        <v>1.5633333333333335</v>
      </c>
      <c r="P5" s="17">
        <f>B46*B47*B48/1000-B46*B47*B48/1000/B49</f>
        <v>19.066666666666666</v>
      </c>
      <c r="R5" s="32"/>
    </row>
    <row r="6" spans="1:18">
      <c r="A6" s="32" t="s">
        <v>53</v>
      </c>
      <c r="B6" s="37">
        <f>B26</f>
        <v>23008.316244141199</v>
      </c>
      <c r="C6" s="33"/>
      <c r="D6" s="37">
        <f>IF(ISERROR(TER_kantoor_gas_kWh/1000),0,TER_kantoor_gas_kWh/1000)*0.902</f>
        <v>21091.671660847798</v>
      </c>
      <c r="E6" s="33">
        <f>$C$26*'E Balans VL '!I12/100/3.6*1000000</f>
        <v>89.392179752853878</v>
      </c>
      <c r="F6" s="33">
        <f>$C$26*('E Balans VL '!L12+'E Balans VL '!N12)/100/3.6*1000000</f>
        <v>3499.3555417476009</v>
      </c>
      <c r="G6" s="34"/>
      <c r="H6" s="33"/>
      <c r="I6" s="33"/>
      <c r="J6" s="33">
        <f>$C$26*('E Balans VL '!D12+'E Balans VL '!E12)/100/3.6*1000000</f>
        <v>0</v>
      </c>
      <c r="K6" s="33"/>
      <c r="L6" s="33"/>
      <c r="M6" s="33"/>
      <c r="N6" s="33">
        <f>$C$26*'E Balans VL '!Y12/100/3.6*1000000</f>
        <v>12.680338578927902</v>
      </c>
      <c r="O6" s="33"/>
      <c r="P6" s="33"/>
      <c r="R6" s="32"/>
    </row>
    <row r="7" spans="1:18">
      <c r="A7" s="32" t="s">
        <v>52</v>
      </c>
      <c r="B7" s="37">
        <f t="shared" ref="B7:B12" si="0">B27</f>
        <v>2513.6386871712302</v>
      </c>
      <c r="C7" s="33"/>
      <c r="D7" s="37">
        <f>IF(ISERROR(TER_horeca_gas_kWh/1000),0,TER_horeca_gas_kWh/1000)*0.902</f>
        <v>2769.3276981428216</v>
      </c>
      <c r="E7" s="33">
        <f>$C$27*'E Balans VL '!I9/100/3.6*1000000</f>
        <v>141.59393928399581</v>
      </c>
      <c r="F7" s="33">
        <f>$C$27*('E Balans VL '!L9+'E Balans VL '!N9)/100/3.6*1000000</f>
        <v>724.78290890405322</v>
      </c>
      <c r="G7" s="34"/>
      <c r="H7" s="33"/>
      <c r="I7" s="33"/>
      <c r="J7" s="33">
        <f>$C$27*('E Balans VL '!D9+'E Balans VL '!E9)/100/3.6*1000000</f>
        <v>0</v>
      </c>
      <c r="K7" s="33"/>
      <c r="L7" s="33"/>
      <c r="M7" s="33"/>
      <c r="N7" s="33">
        <f>$C$27*'E Balans VL '!Y9/100/3.6*1000000</f>
        <v>0.69400257943238564</v>
      </c>
      <c r="O7" s="33"/>
      <c r="P7" s="33"/>
      <c r="R7" s="32"/>
    </row>
    <row r="8" spans="1:18">
      <c r="A8" s="6" t="s">
        <v>51</v>
      </c>
      <c r="B8" s="37">
        <f t="shared" si="0"/>
        <v>17001.5972180852</v>
      </c>
      <c r="C8" s="33"/>
      <c r="D8" s="37">
        <f>IF(ISERROR(TER_handel_gas_kWh/1000),0,TER_handel_gas_kWh/1000)*0.902</f>
        <v>10854.82118007035</v>
      </c>
      <c r="E8" s="33">
        <f>$C$28*'E Balans VL '!I13/100/3.6*1000000</f>
        <v>245.05069659414394</v>
      </c>
      <c r="F8" s="33">
        <f>$C$28*('E Balans VL '!L13+'E Balans VL '!N13)/100/3.6*1000000</f>
        <v>2953.5733772629997</v>
      </c>
      <c r="G8" s="34"/>
      <c r="H8" s="33"/>
      <c r="I8" s="33"/>
      <c r="J8" s="33">
        <f>$C$28*('E Balans VL '!D13+'E Balans VL '!E13)/100/3.6*1000000</f>
        <v>0</v>
      </c>
      <c r="K8" s="33"/>
      <c r="L8" s="33"/>
      <c r="M8" s="33"/>
      <c r="N8" s="33">
        <f>$C$28*'E Balans VL '!Y13/100/3.6*1000000</f>
        <v>50.938677922174598</v>
      </c>
      <c r="O8" s="33"/>
      <c r="P8" s="33"/>
      <c r="R8" s="32"/>
    </row>
    <row r="9" spans="1:18">
      <c r="A9" s="32" t="s">
        <v>50</v>
      </c>
      <c r="B9" s="37">
        <f t="shared" si="0"/>
        <v>2264.7686914914102</v>
      </c>
      <c r="C9" s="33"/>
      <c r="D9" s="37">
        <f>IF(ISERROR(TER_gezond_gas_kWh/1000),0,TER_gezond_gas_kWh/1000)*0.902</f>
        <v>4244.6452031985091</v>
      </c>
      <c r="E9" s="33">
        <f>$C$29*'E Balans VL '!I10/100/3.6*1000000</f>
        <v>2.4193599690005301</v>
      </c>
      <c r="F9" s="33">
        <f>$C$29*('E Balans VL '!L10+'E Balans VL '!N10)/100/3.6*1000000</f>
        <v>369.45260248560447</v>
      </c>
      <c r="G9" s="34"/>
      <c r="H9" s="33"/>
      <c r="I9" s="33"/>
      <c r="J9" s="33">
        <f>$C$29*('E Balans VL '!D10+'E Balans VL '!E10)/100/3.6*1000000</f>
        <v>0</v>
      </c>
      <c r="K9" s="33"/>
      <c r="L9" s="33"/>
      <c r="M9" s="33"/>
      <c r="N9" s="33">
        <f>$C$29*'E Balans VL '!Y10/100/3.6*1000000</f>
        <v>23.314501427669516</v>
      </c>
      <c r="O9" s="33"/>
      <c r="P9" s="33"/>
      <c r="R9" s="32"/>
    </row>
    <row r="10" spans="1:18">
      <c r="A10" s="32" t="s">
        <v>49</v>
      </c>
      <c r="B10" s="37">
        <f t="shared" si="0"/>
        <v>4304.1607741664302</v>
      </c>
      <c r="C10" s="33"/>
      <c r="D10" s="37">
        <f>IF(ISERROR(TER_ander_gas_kWh/1000),0,TER_ander_gas_kWh/1000)*0.902</f>
        <v>1600.6299431389723</v>
      </c>
      <c r="E10" s="33">
        <f>$C$30*'E Balans VL '!I14/100/3.6*1000000</f>
        <v>19.794180688936049</v>
      </c>
      <c r="F10" s="33">
        <f>$C$30*('E Balans VL '!L14+'E Balans VL '!N14)/100/3.6*1000000</f>
        <v>1290.0927494508624</v>
      </c>
      <c r="G10" s="34"/>
      <c r="H10" s="33"/>
      <c r="I10" s="33"/>
      <c r="J10" s="33">
        <f>$C$30*('E Balans VL '!D14+'E Balans VL '!E14)/100/3.6*1000000</f>
        <v>0</v>
      </c>
      <c r="K10" s="33"/>
      <c r="L10" s="33"/>
      <c r="M10" s="33"/>
      <c r="N10" s="33">
        <f>$C$30*'E Balans VL '!Y14/100/3.6*1000000</f>
        <v>2995.980019781085</v>
      </c>
      <c r="O10" s="33"/>
      <c r="P10" s="33"/>
      <c r="R10" s="32"/>
    </row>
    <row r="11" spans="1:18">
      <c r="A11" s="32" t="s">
        <v>54</v>
      </c>
      <c r="B11" s="37">
        <f t="shared" si="0"/>
        <v>465.99804757217998</v>
      </c>
      <c r="C11" s="33"/>
      <c r="D11" s="37">
        <f>IF(ISERROR(TER_onderwijs_gas_kWh/1000),0,TER_onderwijs_gas_kWh/1000)*0.902</f>
        <v>651.33842807213477</v>
      </c>
      <c r="E11" s="33">
        <f>$C$31*'E Balans VL '!I11/100/3.6*1000000</f>
        <v>0.43227447195708762</v>
      </c>
      <c r="F11" s="33">
        <f>$C$31*('E Balans VL '!L11+'E Balans VL '!N11)/100/3.6*1000000</f>
        <v>163.69440391700581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5911.5791467240497</v>
      </c>
      <c r="C12" s="33"/>
      <c r="D12" s="37">
        <f>IF(ISERROR(TER_rest_gas_kWh/1000),0,TER_rest_gas_kWh/1000)*0.902</f>
        <v>12048.951619987578</v>
      </c>
      <c r="E12" s="33">
        <f>$C$32*'E Balans VL '!I8/100/3.6*1000000</f>
        <v>71.704516136625202</v>
      </c>
      <c r="F12" s="33">
        <f>$C$32*('E Balans VL '!L8+'E Balans VL '!N8)/100/3.6*1000000</f>
        <v>1169.7912818127259</v>
      </c>
      <c r="G12" s="34"/>
      <c r="H12" s="33"/>
      <c r="I12" s="33"/>
      <c r="J12" s="33">
        <f>$C$32*('E Balans VL '!D8+'E Balans VL '!E8)/100/3.6*1000000</f>
        <v>0</v>
      </c>
      <c r="K12" s="33"/>
      <c r="L12" s="33"/>
      <c r="M12" s="33"/>
      <c r="N12" s="33">
        <f>$C$32*'E Balans VL '!Y8/100/3.6*1000000</f>
        <v>469.26256911065872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55470.0588093517</v>
      </c>
      <c r="C16" s="21">
        <f t="shared" ca="1" si="1"/>
        <v>0</v>
      </c>
      <c r="D16" s="21">
        <f t="shared" ca="1" si="1"/>
        <v>53261.385733458163</v>
      </c>
      <c r="E16" s="21">
        <f t="shared" si="1"/>
        <v>570.38714689751248</v>
      </c>
      <c r="F16" s="21">
        <f t="shared" ca="1" si="1"/>
        <v>10170.742865580853</v>
      </c>
      <c r="G16" s="21">
        <f t="shared" si="1"/>
        <v>0</v>
      </c>
      <c r="H16" s="21">
        <f t="shared" si="1"/>
        <v>0</v>
      </c>
      <c r="I16" s="21">
        <f t="shared" si="1"/>
        <v>0</v>
      </c>
      <c r="J16" s="21">
        <f t="shared" si="1"/>
        <v>0</v>
      </c>
      <c r="K16" s="21">
        <f t="shared" si="1"/>
        <v>0</v>
      </c>
      <c r="L16" s="21">
        <f t="shared" ca="1" si="1"/>
        <v>0</v>
      </c>
      <c r="M16" s="21">
        <f t="shared" si="1"/>
        <v>0</v>
      </c>
      <c r="N16" s="21">
        <f t="shared" ca="1" si="1"/>
        <v>3552.870109399948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0.19215458372600441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10658.82605976796</v>
      </c>
      <c r="C20" s="23">
        <f t="shared" ref="C20:P20" ca="1" si="2">C16*C18</f>
        <v>0</v>
      </c>
      <c r="D20" s="23">
        <f t="shared" ca="1" si="2"/>
        <v>10758.799918158549</v>
      </c>
      <c r="E20" s="23">
        <f t="shared" si="2"/>
        <v>129.47788234573534</v>
      </c>
      <c r="F20" s="23">
        <f t="shared" ca="1" si="2"/>
        <v>2715.5883451100876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23008.316244141199</v>
      </c>
      <c r="C26" s="39">
        <f>IF(ISERROR(B26*3.6/1000000/'E Balans VL '!Z12*100),0,B26*3.6/1000000/'E Balans VL '!Z12*100)</f>
        <v>0.48870803386385758</v>
      </c>
      <c r="D26" s="239" t="s">
        <v>689</v>
      </c>
      <c r="F26" s="6"/>
    </row>
    <row r="27" spans="1:18">
      <c r="A27" s="233" t="s">
        <v>52</v>
      </c>
      <c r="B27" s="33">
        <f>IF(ISERROR(TER_horeca_ele_kWh/1000),0,TER_horeca_ele_kWh/1000)</f>
        <v>2513.6386871712302</v>
      </c>
      <c r="C27" s="39">
        <f>IF(ISERROR(B27*3.6/1000000/'E Balans VL '!Z9*100),0,B27*3.6/1000000/'E Balans VL '!Z9*100)</f>
        <v>0.19545071618397533</v>
      </c>
      <c r="D27" s="239" t="s">
        <v>689</v>
      </c>
      <c r="F27" s="6"/>
    </row>
    <row r="28" spans="1:18">
      <c r="A28" s="173" t="s">
        <v>51</v>
      </c>
      <c r="B28" s="33">
        <f>IF(ISERROR(TER_handel_ele_kWh/1000),0,TER_handel_ele_kWh/1000)</f>
        <v>17001.5972180852</v>
      </c>
      <c r="C28" s="39">
        <f>IF(ISERROR(B28*3.6/1000000/'E Balans VL '!Z13*100),0,B28*3.6/1000000/'E Balans VL '!Z13*100)</f>
        <v>0.48643570528775354</v>
      </c>
      <c r="D28" s="239" t="s">
        <v>689</v>
      </c>
      <c r="F28" s="6"/>
    </row>
    <row r="29" spans="1:18">
      <c r="A29" s="233" t="s">
        <v>50</v>
      </c>
      <c r="B29" s="33">
        <f>IF(ISERROR(TER_gezond_ele_kWh/1000),0,TER_gezond_ele_kWh/1000)</f>
        <v>2264.7686914914102</v>
      </c>
      <c r="C29" s="39">
        <f>IF(ISERROR(B29*3.6/1000000/'E Balans VL '!Z10*100),0,B29*3.6/1000000/'E Balans VL '!Z10*100)</f>
        <v>0.24691241428531222</v>
      </c>
      <c r="D29" s="239" t="s">
        <v>689</v>
      </c>
      <c r="F29" s="6"/>
    </row>
    <row r="30" spans="1:18">
      <c r="A30" s="233" t="s">
        <v>49</v>
      </c>
      <c r="B30" s="33">
        <f>IF(ISERROR(TER_ander_ele_kWh/1000),0,TER_ander_ele_kWh/1000)</f>
        <v>4304.1607741664302</v>
      </c>
      <c r="C30" s="39">
        <f>IF(ISERROR(B30*3.6/1000000/'E Balans VL '!Z14*100),0,B30*3.6/1000000/'E Balans VL '!Z14*100)</f>
        <v>0.31496872169623741</v>
      </c>
      <c r="D30" s="239" t="s">
        <v>689</v>
      </c>
      <c r="F30" s="6"/>
    </row>
    <row r="31" spans="1:18">
      <c r="A31" s="233" t="s">
        <v>54</v>
      </c>
      <c r="B31" s="33">
        <f>IF(ISERROR(TER_onderwijs_ele_kWh/1000),0,TER_onderwijs_ele_kWh/1000)</f>
        <v>465.99804757217998</v>
      </c>
      <c r="C31" s="39">
        <f>IF(ISERROR(B31*3.6/1000000/'E Balans VL '!Z11*100),0,B31*3.6/1000000/'E Balans VL '!Z11*100)</f>
        <v>9.3596053895480424E-2</v>
      </c>
      <c r="D31" s="239" t="s">
        <v>689</v>
      </c>
    </row>
    <row r="32" spans="1:18">
      <c r="A32" s="233" t="s">
        <v>259</v>
      </c>
      <c r="B32" s="33">
        <f>IF(ISERROR(TER_rest_ele_kWh/1000),0,TER_rest_ele_kWh/1000)</f>
        <v>5911.5791467240497</v>
      </c>
      <c r="C32" s="39">
        <f>IF(ISERROR(B32*3.6/1000000/'E Balans VL '!Z8*100),0,B32*3.6/1000000/'E Balans VL '!Z8*100)</f>
        <v>4.8175782490697629E-2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72920.878272194153</v>
      </c>
      <c r="C5" s="17">
        <f>IF(ISERROR('Eigen informatie GS &amp; warmtenet'!B59),0,'Eigen informatie GS &amp; warmtenet'!B59)</f>
        <v>0</v>
      </c>
      <c r="D5" s="30">
        <f>SUM(D6:D15)</f>
        <v>185776.4541447807</v>
      </c>
      <c r="E5" s="17">
        <f>SUM(E6:E15)</f>
        <v>4721.6271420781486</v>
      </c>
      <c r="F5" s="17">
        <f>SUM(F6:F15)</f>
        <v>20157.366374897494</v>
      </c>
      <c r="G5" s="18"/>
      <c r="H5" s="17"/>
      <c r="I5" s="17"/>
      <c r="J5" s="17">
        <f>SUM(J6:J15)</f>
        <v>174.11761885600993</v>
      </c>
      <c r="K5" s="17"/>
      <c r="L5" s="17"/>
      <c r="M5" s="17"/>
      <c r="N5" s="17">
        <f>SUM(N6:N15)</f>
        <v>3824.1485567110994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661.23681674885199</v>
      </c>
      <c r="C8" s="33"/>
      <c r="D8" s="37">
        <f>IF( ISERROR(IND_metaal_Gas_kWH/1000),0,IND_metaal_Gas_kWH/1000)*0.902</f>
        <v>7687.6843051593878</v>
      </c>
      <c r="E8" s="33">
        <f>C30*'E Balans VL '!I18/100/3.6*1000000</f>
        <v>18.993203355551561</v>
      </c>
      <c r="F8" s="33">
        <f>C30*'E Balans VL '!L18/100/3.6*1000000+C30*'E Balans VL '!N18/100/3.6*1000000</f>
        <v>169.59452608445892</v>
      </c>
      <c r="G8" s="34"/>
      <c r="H8" s="33"/>
      <c r="I8" s="33"/>
      <c r="J8" s="40">
        <f>C30*'E Balans VL '!D18/100/3.6*1000000+C30*'E Balans VL '!E18/100/3.6*1000000</f>
        <v>0</v>
      </c>
      <c r="K8" s="33"/>
      <c r="L8" s="33"/>
      <c r="M8" s="33"/>
      <c r="N8" s="33">
        <f>C30*'E Balans VL '!Y18/100/3.6*1000000</f>
        <v>17.953929350307444</v>
      </c>
      <c r="O8" s="33"/>
      <c r="P8" s="33"/>
      <c r="R8" s="32"/>
    </row>
    <row r="9" spans="1:18">
      <c r="A9" s="6" t="s">
        <v>32</v>
      </c>
      <c r="B9" s="37">
        <f t="shared" si="0"/>
        <v>2959.67683340544</v>
      </c>
      <c r="C9" s="33"/>
      <c r="D9" s="37">
        <f>IF( ISERROR(IND_andere_gas_kWh/1000),0,IND_andere_gas_kWh/1000)*0.902</f>
        <v>1037.8257900757646</v>
      </c>
      <c r="E9" s="33">
        <f>C31*'E Balans VL '!I19/100/3.6*1000000</f>
        <v>801.11174910884324</v>
      </c>
      <c r="F9" s="33">
        <f>C31*'E Balans VL '!L19/100/3.6*1000000+C31*'E Balans VL '!N19/100/3.6*1000000</f>
        <v>1971.4579702812634</v>
      </c>
      <c r="G9" s="34"/>
      <c r="H9" s="33"/>
      <c r="I9" s="33"/>
      <c r="J9" s="40">
        <f>C31*'E Balans VL '!D19/100/3.6*1000000+C31*'E Balans VL '!E19/100/3.6*1000000</f>
        <v>0</v>
      </c>
      <c r="K9" s="33"/>
      <c r="L9" s="33"/>
      <c r="M9" s="33"/>
      <c r="N9" s="33">
        <f>C31*'E Balans VL '!Y19/100/3.6*1000000</f>
        <v>250.22107064424844</v>
      </c>
      <c r="O9" s="33"/>
      <c r="P9" s="33"/>
      <c r="R9" s="32"/>
    </row>
    <row r="10" spans="1:18">
      <c r="A10" s="6" t="s">
        <v>40</v>
      </c>
      <c r="B10" s="37">
        <f t="shared" si="0"/>
        <v>1373.63779219756</v>
      </c>
      <c r="C10" s="33"/>
      <c r="D10" s="37">
        <f>IF( ISERROR(IND_voed_gas_kWh/1000),0,IND_voed_gas_kWh/1000)*0.902</f>
        <v>916.73186419309116</v>
      </c>
      <c r="E10" s="33">
        <f>C32*'E Balans VL '!I20/100/3.6*1000000</f>
        <v>112.03705418234105</v>
      </c>
      <c r="F10" s="33">
        <f>C32*'E Balans VL '!L20/100/3.6*1000000+C32*'E Balans VL '!N20/100/3.6*1000000</f>
        <v>2048.2185755070786</v>
      </c>
      <c r="G10" s="34"/>
      <c r="H10" s="33"/>
      <c r="I10" s="33"/>
      <c r="J10" s="40">
        <f>C32*'E Balans VL '!D20/100/3.6*1000000+C32*'E Balans VL '!E20/100/3.6*1000000</f>
        <v>1.8171560618173044E-2</v>
      </c>
      <c r="K10" s="33"/>
      <c r="L10" s="33"/>
      <c r="M10" s="33"/>
      <c r="N10" s="33">
        <f>C32*'E Balans VL '!Y20/100/3.6*1000000</f>
        <v>403.52631289642147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67926.326829842306</v>
      </c>
      <c r="C15" s="33"/>
      <c r="D15" s="37">
        <f>IF( ISERROR(IND_rest_gas_kWh/1000),0,IND_rest_gas_kWh/1000)*0.902</f>
        <v>176134.21218535246</v>
      </c>
      <c r="E15" s="33">
        <f>C37*'E Balans VL '!I15/100/3.6*1000000</f>
        <v>3789.4851354314123</v>
      </c>
      <c r="F15" s="33">
        <f>C37*'E Balans VL '!L15/100/3.6*1000000+C37*'E Balans VL '!N15/100/3.6*1000000</f>
        <v>15968.095303024691</v>
      </c>
      <c r="G15" s="34"/>
      <c r="H15" s="33"/>
      <c r="I15" s="33"/>
      <c r="J15" s="40">
        <f>C37*'E Balans VL '!D15/100/3.6*1000000+C37*'E Balans VL '!E15/100/3.6*1000000</f>
        <v>174.09944729539174</v>
      </c>
      <c r="K15" s="33"/>
      <c r="L15" s="33"/>
      <c r="M15" s="33"/>
      <c r="N15" s="33">
        <f>C37*'E Balans VL '!Y15/100/3.6*1000000</f>
        <v>3152.4472438201224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72920.878272194153</v>
      </c>
      <c r="C18" s="21">
        <f>C5+C16</f>
        <v>0</v>
      </c>
      <c r="D18" s="21">
        <f>MAX((D5+D16),0)</f>
        <v>185776.4541447807</v>
      </c>
      <c r="E18" s="21">
        <f>MAX((E5+E16),0)</f>
        <v>4721.6271420781486</v>
      </c>
      <c r="F18" s="21">
        <f>MAX((F5+F16),0)</f>
        <v>20157.366374897494</v>
      </c>
      <c r="G18" s="21"/>
      <c r="H18" s="21"/>
      <c r="I18" s="21"/>
      <c r="J18" s="21">
        <f>MAX((J5+J16),0)</f>
        <v>174.11761885600993</v>
      </c>
      <c r="K18" s="21"/>
      <c r="L18" s="21">
        <f>MAX((L5+L16),0)</f>
        <v>0</v>
      </c>
      <c r="M18" s="21"/>
      <c r="N18" s="21">
        <f>MAX((N5+N16),0)</f>
        <v>3824.1485567110994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0.19215458372600441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14012.081009328107</v>
      </c>
      <c r="C22" s="23">
        <f ca="1">C18*C20</f>
        <v>0</v>
      </c>
      <c r="D22" s="23">
        <f>D18*D20</f>
        <v>37526.843737245705</v>
      </c>
      <c r="E22" s="23">
        <f>E18*E20</f>
        <v>1071.8093612517398</v>
      </c>
      <c r="F22" s="23">
        <f>F18*F20</f>
        <v>5382.0168220976311</v>
      </c>
      <c r="G22" s="23"/>
      <c r="H22" s="23"/>
      <c r="I22" s="23"/>
      <c r="J22" s="23">
        <f>J18*J20</f>
        <v>61.637637075027513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661.23681674885199</v>
      </c>
      <c r="C30" s="39">
        <f>IF(ISERROR(B30*3.6/1000000/'E Balans VL '!Z18*100),0,B30*3.6/1000000/'E Balans VL '!Z18*100)</f>
        <v>6.5064014810303675E-2</v>
      </c>
      <c r="D30" s="239" t="s">
        <v>689</v>
      </c>
    </row>
    <row r="31" spans="1:18">
      <c r="A31" s="6" t="s">
        <v>32</v>
      </c>
      <c r="B31" s="37">
        <f>IF( ISERROR(IND_ander_ele_kWh/1000),0,IND_ander_ele_kWh/1000)</f>
        <v>2959.67683340544</v>
      </c>
      <c r="C31" s="39">
        <f>IF(ISERROR(B31*3.6/1000000/'E Balans VL '!Z19*100),0,B31*3.6/1000000/'E Balans VL '!Z19*100)</f>
        <v>0.12889156518385342</v>
      </c>
      <c r="D31" s="239" t="s">
        <v>689</v>
      </c>
    </row>
    <row r="32" spans="1:18">
      <c r="A32" s="173" t="s">
        <v>40</v>
      </c>
      <c r="B32" s="37">
        <f>IF( ISERROR(IND_voed_ele_kWh/1000),0,IND_voed_ele_kWh/1000)</f>
        <v>1373.63779219756</v>
      </c>
      <c r="C32" s="39">
        <f>IF(ISERROR(B32*3.6/1000000/'E Balans VL '!Z20*100),0,B32*3.6/1000000/'E Balans VL '!Z20*100)</f>
        <v>0.26062796105745173</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67926.326829842306</v>
      </c>
      <c r="C37" s="39">
        <f>IF(ISERROR(B37*3.6/1000000/'E Balans VL '!Z15*100),0,B37*3.6/1000000/'E Balans VL '!Z15*100)</f>
        <v>0.52345577895073647</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289.76999446433535</v>
      </c>
      <c r="C5" s="17">
        <f>'Eigen informatie GS &amp; warmtenet'!B60</f>
        <v>0</v>
      </c>
      <c r="D5" s="30">
        <f>IF(ISERROR(SUM(LB_lb_gas_kWh,LB_rest_gas_kWh)/1000),0,SUM(LB_lb_gas_kWh,LB_rest_gas_kWh)/1000)*0.902</f>
        <v>132.88415132910831</v>
      </c>
      <c r="E5" s="17">
        <f>B17*'E Balans VL '!I25/3.6*1000000/100</f>
        <v>3.6514752299029971</v>
      </c>
      <c r="F5" s="17">
        <f>B17*('E Balans VL '!L25/3.6*1000000+'E Balans VL '!N25/3.6*1000000)/100</f>
        <v>999.77907262310373</v>
      </c>
      <c r="G5" s="18"/>
      <c r="H5" s="17"/>
      <c r="I5" s="17"/>
      <c r="J5" s="17">
        <f>('E Balans VL '!D25+'E Balans VL '!E25)/3.6*1000000*landbouw!B17/100</f>
        <v>43.578113178394666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289.76999446433535</v>
      </c>
      <c r="C8" s="21">
        <f>C5+C6</f>
        <v>0</v>
      </c>
      <c r="D8" s="21">
        <f>MAX((D5+D6),0)</f>
        <v>132.88415132910831</v>
      </c>
      <c r="E8" s="21">
        <f>MAX((E5+E6),0)</f>
        <v>3.6514752299029971</v>
      </c>
      <c r="F8" s="21">
        <f>MAX((F5+F6),0)</f>
        <v>999.77907262310373</v>
      </c>
      <c r="G8" s="21"/>
      <c r="H8" s="21"/>
      <c r="I8" s="21"/>
      <c r="J8" s="21">
        <f>MAX((J5+J6),0)</f>
        <v>43.578113178394666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0.19215458372600441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55.680632662580962</v>
      </c>
      <c r="C12" s="23">
        <f ca="1">C8*C10</f>
        <v>0</v>
      </c>
      <c r="D12" s="23">
        <f>D8*D10</f>
        <v>26.842598568479879</v>
      </c>
      <c r="E12" s="23">
        <f>E8*E10</f>
        <v>0.82888487718798032</v>
      </c>
      <c r="F12" s="23">
        <f>F8*F10</f>
        <v>266.94101239036871</v>
      </c>
      <c r="G12" s="23"/>
      <c r="H12" s="23"/>
      <c r="I12" s="23"/>
      <c r="J12" s="23">
        <f>J8*J10</f>
        <v>15.426652065151711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4.0413781207687301E-2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81.557282582392318</v>
      </c>
      <c r="C26" s="249">
        <f>B26*'GWP N2O_CH4'!B5</f>
        <v>1712.7029342302387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12.556023099791243</v>
      </c>
      <c r="C27" s="249">
        <f>B27*'GWP N2O_CH4'!B5</f>
        <v>263.6764850956161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1.1118321244151055</v>
      </c>
      <c r="C28" s="249">
        <f>B28*'GWP N2O_CH4'!B4</f>
        <v>344.66795856868271</v>
      </c>
      <c r="D28" s="50"/>
    </row>
    <row r="29" spans="1:4">
      <c r="A29" s="41" t="s">
        <v>276</v>
      </c>
      <c r="B29" s="249">
        <f>B34*'ha_N2O bodem landbouw'!B4</f>
        <v>4.0088080567716231</v>
      </c>
      <c r="C29" s="249">
        <f>B29*'GWP N2O_CH4'!B4</f>
        <v>1242.7304975992031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1.000959314647768E-3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3.9707904593964199E-5</v>
      </c>
      <c r="C5" s="444" t="s">
        <v>210</v>
      </c>
      <c r="D5" s="429">
        <f>SUM(D6:D11)</f>
        <v>6.6590131843322661E-5</v>
      </c>
      <c r="E5" s="429">
        <f>SUM(E6:E11)</f>
        <v>2.4623359434431803E-3</v>
      </c>
      <c r="F5" s="442" t="s">
        <v>210</v>
      </c>
      <c r="G5" s="429">
        <f>SUM(G6:G11)</f>
        <v>0.92621303556842738</v>
      </c>
      <c r="H5" s="429">
        <f>SUM(H6:H11)</f>
        <v>0.12239661456008083</v>
      </c>
      <c r="I5" s="444" t="s">
        <v>210</v>
      </c>
      <c r="J5" s="444" t="s">
        <v>210</v>
      </c>
      <c r="K5" s="444" t="s">
        <v>210</v>
      </c>
      <c r="L5" s="444" t="s">
        <v>210</v>
      </c>
      <c r="M5" s="429">
        <f>SUM(M6:M11)</f>
        <v>4.7398753594825462E-2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2.3510844636770498E-5</v>
      </c>
      <c r="C6" s="883"/>
      <c r="D6" s="883">
        <f>vkm_GW_PW*SUMIFS(TableVerdeelsleutelVkm[CNG],TableVerdeelsleutelVkm[Voertuigtype],"Lichte voertuigen")*SUMIFS(TableECFTransport[EnergieConsumptieFactor (PJ per km)],TableECFTransport[Index],CONCATENATE($A6,"_CNG_CNG"))</f>
        <v>3.4842371466517874E-5</v>
      </c>
      <c r="E6" s="883">
        <f>vkm_GW_PW*SUMIFS(TableVerdeelsleutelVkm[LPG],TableVerdeelsleutelVkm[Voertuigtype],"Lichte voertuigen")*SUMIFS(TableECFTransport[EnergieConsumptieFactor (PJ per km)],TableECFTransport[Index],CONCATENATE($A6,"_LPG_LPG"))</f>
        <v>1.2479264305831688E-3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0.25114894826444717</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6.4159588620464961E-2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1.4264383969545118E-2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0.29643159678575631</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6.8873940624822465E-6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1.3384349286285286E-2</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7.5196977019000998E-6</v>
      </c>
      <c r="C8" s="883"/>
      <c r="D8" s="432">
        <f>vkm_NGW_PW*SUMIFS(TableVerdeelsleutelVkm[CNG],TableVerdeelsleutelVkm[Voertuigtype],"Lichte voertuigen")*SUMIFS(TableECFTransport[EnergieConsumptieFactor (PJ per km)],TableECFTransport[Index],CONCATENATE($A8,"_CNG_CNG"))</f>
        <v>1.8911593852525473E-5</v>
      </c>
      <c r="E8" s="432">
        <f>vkm_NGW_PW*SUMIFS(TableVerdeelsleutelVkm[LPG],TableVerdeelsleutelVkm[Voertuigtype],"Lichte voertuigen")*SUMIFS(TableECFTransport[EnergieConsumptieFactor (PJ per km)],TableECFTransport[Index],CONCATENATE($A8,"_LPG_LPG"))</f>
        <v>6.4047181989952749E-4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0.12244160132516309</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3.3463035231806888E-2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7.0537998676951826E-3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8.1233864020248653E-2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2.1876863350742415E-6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3.6678494447026718E-3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8.6773622552935995E-6</v>
      </c>
      <c r="C10" s="883"/>
      <c r="D10" s="432">
        <f>vkm_SW_PW*SUMIFS(TableVerdeelsleutelVkm[CNG],TableVerdeelsleutelVkm[Voertuigtype],"Lichte voertuigen")*SUMIFS(TableECFTransport[EnergieConsumptieFactor (PJ per km)],TableECFTransport[Index],CONCATENATE($A10,"_CNG_CNG"))</f>
        <v>1.2836166524279311E-5</v>
      </c>
      <c r="E10" s="432">
        <f>vkm_SW_PW*SUMIFS(TableVerdeelsleutelVkm[LPG],TableVerdeelsleutelVkm[Voertuigtype],"Lichte voertuigen")*SUMIFS(TableECFTransport[EnergieConsumptieFactor (PJ per km)],TableECFTransport[Index],CONCATENATE($A10,"_LPG_LPG"))</f>
        <v>5.7393769296048387E-4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0.10471048932085052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2.4763174671263499E-2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5.856625326096359E-3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7.0246535851961583E-2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1.7409561479092625E-6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3.1717457005008454E-3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11.02997349832339</v>
      </c>
      <c r="C14" s="21"/>
      <c r="D14" s="21">
        <f t="shared" ref="D14:M14" si="0">((D5)*10^9/3600)+D12</f>
        <v>18.497258845367405</v>
      </c>
      <c r="E14" s="21">
        <f t="shared" si="0"/>
        <v>683.9822065119946</v>
      </c>
      <c r="F14" s="21"/>
      <c r="G14" s="21">
        <f t="shared" si="0"/>
        <v>257281.39876900759</v>
      </c>
      <c r="H14" s="21">
        <f t="shared" si="0"/>
        <v>33999.059600022454</v>
      </c>
      <c r="I14" s="21"/>
      <c r="J14" s="21"/>
      <c r="K14" s="21"/>
      <c r="L14" s="21"/>
      <c r="M14" s="21">
        <f t="shared" si="0"/>
        <v>13166.320443007073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0.19215458372600441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2.1194599660791917</v>
      </c>
      <c r="C18" s="23"/>
      <c r="D18" s="23">
        <f t="shared" ref="D18:M18" si="1">D14*D16</f>
        <v>3.7364462867642159</v>
      </c>
      <c r="E18" s="23">
        <f t="shared" si="1"/>
        <v>155.26396087822278</v>
      </c>
      <c r="F18" s="23"/>
      <c r="G18" s="23">
        <f t="shared" si="1"/>
        <v>68694.133471325025</v>
      </c>
      <c r="H18" s="23">
        <f t="shared" si="1"/>
        <v>8465.765840405591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7.6828459569758326E-3</v>
      </c>
      <c r="H50" s="321">
        <f t="shared" si="2"/>
        <v>0</v>
      </c>
      <c r="I50" s="321">
        <f t="shared" si="2"/>
        <v>0</v>
      </c>
      <c r="J50" s="321">
        <f t="shared" si="2"/>
        <v>0</v>
      </c>
      <c r="K50" s="321">
        <f t="shared" si="2"/>
        <v>0</v>
      </c>
      <c r="L50" s="321">
        <f t="shared" si="2"/>
        <v>0</v>
      </c>
      <c r="M50" s="321">
        <f t="shared" si="2"/>
        <v>3.4196982950340565E-4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7.6828459569758326E-3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3.4196982950340565E-4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2134.1238769377314</v>
      </c>
      <c r="H54" s="21">
        <f t="shared" si="3"/>
        <v>0</v>
      </c>
      <c r="I54" s="21">
        <f t="shared" si="3"/>
        <v>0</v>
      </c>
      <c r="J54" s="21">
        <f t="shared" si="3"/>
        <v>0</v>
      </c>
      <c r="K54" s="21">
        <f t="shared" si="3"/>
        <v>0</v>
      </c>
      <c r="L54" s="21">
        <f t="shared" si="3"/>
        <v>0</v>
      </c>
      <c r="M54" s="21">
        <f t="shared" si="3"/>
        <v>94.991619306501576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0.19215458372600441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569.81107514237431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7360.6182120000003</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14695.220159617656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22055.838371617658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2020-06-20T16:14:38Z</dcterms:modified>
</cp:coreProperties>
</file>