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66" i="18"/>
  <c r="V66" i="18"/>
  <c r="U66" i="18"/>
  <c r="T66" i="18"/>
  <c r="S66" i="18"/>
  <c r="R66" i="18"/>
  <c r="Q66" i="18"/>
  <c r="P66" i="18"/>
  <c r="O66" i="18"/>
  <c r="N66" i="18"/>
  <c r="M66" i="18"/>
  <c r="W65" i="18"/>
  <c r="V65" i="18"/>
  <c r="U65" i="18"/>
  <c r="T65" i="18"/>
  <c r="S65" i="18"/>
  <c r="R65" i="18"/>
  <c r="Q65" i="18"/>
  <c r="P65" i="18"/>
  <c r="O65" i="18"/>
  <c r="N65" i="18"/>
  <c r="M65" i="18"/>
  <c r="W64" i="18"/>
  <c r="V64" i="18"/>
  <c r="U64" i="18"/>
  <c r="T64" i="18"/>
  <c r="S64" i="18"/>
  <c r="R64" i="18"/>
  <c r="Q64" i="18"/>
  <c r="P64" i="18"/>
  <c r="O64" i="18"/>
  <c r="N64" i="18"/>
  <c r="M64" i="18"/>
  <c r="W63" i="18"/>
  <c r="H9" i="18" s="1"/>
  <c r="V63" i="18"/>
  <c r="J9" i="18" s="1"/>
  <c r="U63" i="18"/>
  <c r="T63" i="18"/>
  <c r="I9" i="18" s="1"/>
  <c r="S63" i="18"/>
  <c r="E9" i="18" s="1"/>
  <c r="R63" i="18"/>
  <c r="Q63" i="18"/>
  <c r="P63" i="18"/>
  <c r="C9" i="18" s="1"/>
  <c r="O63" i="18"/>
  <c r="N63" i="18"/>
  <c r="B9" i="18" s="1"/>
  <c r="M63" i="18"/>
  <c r="W59" i="18"/>
  <c r="V59" i="18"/>
  <c r="U59" i="18"/>
  <c r="T59" i="18"/>
  <c r="S59" i="18"/>
  <c r="R59" i="18"/>
  <c r="Q59" i="18"/>
  <c r="P59" i="18"/>
  <c r="O59" i="18"/>
  <c r="N59" i="18"/>
  <c r="M59" i="18"/>
  <c r="W58" i="18"/>
  <c r="V58" i="18"/>
  <c r="U58" i="18"/>
  <c r="T58" i="18"/>
  <c r="S58" i="18"/>
  <c r="R58" i="18"/>
  <c r="Q58" i="18"/>
  <c r="P58" i="18"/>
  <c r="O58" i="18"/>
  <c r="N58" i="18"/>
  <c r="M58" i="18"/>
  <c r="W57" i="18"/>
  <c r="V57" i="18"/>
  <c r="U57" i="18"/>
  <c r="T57" i="18"/>
  <c r="S57" i="18"/>
  <c r="R57" i="18"/>
  <c r="Q57" i="18"/>
  <c r="P57" i="18"/>
  <c r="O57" i="18"/>
  <c r="N57" i="18"/>
  <c r="M57" i="18"/>
  <c r="W56" i="18"/>
  <c r="V56" i="18"/>
  <c r="U56" i="18"/>
  <c r="T56" i="18"/>
  <c r="S56" i="18"/>
  <c r="R56" i="18"/>
  <c r="Q56" i="18"/>
  <c r="P56" i="18"/>
  <c r="O56" i="18"/>
  <c r="B72" i="18" s="1"/>
  <c r="N56" i="18"/>
  <c r="B8" i="18" s="1"/>
  <c r="M56" i="18"/>
  <c r="G22" i="18"/>
  <c r="F22" i="18"/>
  <c r="E22" i="18"/>
  <c r="D22" i="18"/>
  <c r="C22" i="18"/>
  <c r="L20" i="18"/>
  <c r="D20" i="18"/>
  <c r="B17" i="18"/>
  <c r="G12" i="18"/>
  <c r="F12" i="18"/>
  <c r="E12" i="18"/>
  <c r="D12" i="18"/>
  <c r="C12" i="18"/>
  <c r="L10" i="18"/>
  <c r="K10" i="18"/>
  <c r="G10" i="18"/>
  <c r="D10" i="18"/>
  <c r="B6" i="18"/>
  <c r="B5" i="18"/>
  <c r="B4" i="18"/>
  <c r="I76" i="18" l="1"/>
  <c r="H17" i="18" s="1"/>
  <c r="G76" i="18"/>
  <c r="F76" i="18"/>
  <c r="C76" i="18"/>
  <c r="B76" i="18"/>
  <c r="C17" i="18" s="1"/>
  <c r="C20" i="18" s="1"/>
  <c r="B20" i="18"/>
  <c r="C72" i="18"/>
  <c r="F20" i="18"/>
  <c r="O18" i="18"/>
  <c r="H20" i="18"/>
  <c r="G20" i="18"/>
  <c r="K20" i="18"/>
  <c r="B10" i="18"/>
  <c r="O19" i="18"/>
  <c r="O9" i="18"/>
  <c r="D76" i="18"/>
  <c r="H76" i="18"/>
  <c r="E76" i="18"/>
  <c r="E17" i="18" s="1"/>
  <c r="E20" i="18" s="1"/>
  <c r="N6" i="17"/>
  <c r="I75" i="18" l="1"/>
  <c r="H8" i="18" s="1"/>
  <c r="H10" i="18" s="1"/>
  <c r="G75" i="18"/>
  <c r="F75" i="18"/>
  <c r="D75" i="18"/>
  <c r="C75" i="18"/>
  <c r="B75" i="18"/>
  <c r="C8" i="18" s="1"/>
  <c r="C10" i="18" s="1"/>
  <c r="H75" i="18"/>
  <c r="J8" i="18" s="1"/>
  <c r="J10" i="18" s="1"/>
  <c r="E75"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E22" i="16"/>
  <c r="F43" i="14" s="1"/>
  <c r="F46" i="14" s="1"/>
  <c r="F61" i="14" s="1"/>
  <c r="J33" i="48"/>
  <c r="H63" i="14"/>
  <c r="E23" i="48"/>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<sst xmlns="http://schemas.openxmlformats.org/spreadsheetml/2006/main" count="2699" uniqueCount="1010">
  <si>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</si>
  <si>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</si>
  <si>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</si>
  <si>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</si>
  <si>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</si>
  <si>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</si>
  <si>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</si>
  <si>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</si>
  <si>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</si>
  <si>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</si>
  <si>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</si>
  <si>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</si>
  <si>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</si>
  <si>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</si>
  <si>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</si>
  <si>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</si>
  <si>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</si>
  <si>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</si>
  <si>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</si>
  <si>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</si>
  <si>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</si>
  <si>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</si>
  <si>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</si>
  <si>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</si>
  <si>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</si>
  <si>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</si>
  <si>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</si>
  <si>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</si>
  <si>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</si>
  <si>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</si>
  <si>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</si>
  <si>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</si>
  <si>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</si>
  <si>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</si>
  <si>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</si>
  <si>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</si>
  <si>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</si>
  <si>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</si>
  <si>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</si>
  <si>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</si>
  <si>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</si>
  <si>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</si>
  <si>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</si>
  <si>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</si>
  <si>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</si>
  <si>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</si>
  <si>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</si>
  <si>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</si>
  <si>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</si>
  <si>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</si>
  <si>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</si>
  <si>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</si>
  <si>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</si>
  <si>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</si>
  <si>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</si>
  <si>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</si>
  <si>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</si>
  <si>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</si>
  <si>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</si>
  <si>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</si>
  <si>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</si>
  <si>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</si>
  <si>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</si>
  <si>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</si>
  <si>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</si>
  <si>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</si>
  <si>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</si>
  <si>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</si>
  <si>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</si>
  <si>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</si>
  <si>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</si>
  <si>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</si>
  <si>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</si>
  <si>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</si>
  <si>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</si>
  <si>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</si>
  <si>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</si>
  <si>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</si>
  <si>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</si>
  <si>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</si>
  <si>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</si>
  <si>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</si>
  <si>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</si>
  <si>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</si>
  <si>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</si>
  <si>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</si>
  <si>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</si>
  <si>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</si>
  <si>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</si>
  <si>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</si>
  <si>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</si>
  <si>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</si>
  <si>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</si>
  <si>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</si>
  <si>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</si>
  <si>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</si>
  <si>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</si>
  <si>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</si>
  <si>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</si>
  <si>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</si>
  <si>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</si>
  <si>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</si>
  <si>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</si>
  <si>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</si>
  <si>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</si>
  <si>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</si>
  <si>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</si>
  <si>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</si>
  <si>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</si>
  <si>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</si>
  <si>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</si>
  <si>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</si>
  <si>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</si>
  <si>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</si>
  <si>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</si>
  <si>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</si>
  <si>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</si>
  <si>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</si>
  <si>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</si>
  <si>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</si>
  <si>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</si>
  <si>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</si>
  <si>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</si>
  <si>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</si>
  <si>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</si>
  <si>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</si>
  <si>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</si>
  <si>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</si>
  <si>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</si>
  <si>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</si>
  <si>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</si>
  <si>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</si>
  <si>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</si>
  <si>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</si>
  <si>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</si>
  <si>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</si>
  <si>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</si>
  <si>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</si>
  <si>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</si>
  <si>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</si>
  <si>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</si>
  <si>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</si>
  <si>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</si>
  <si>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</si>
  <si>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</si>
  <si>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</si>
  <si>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</si>
  <si>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</si>
  <si>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</si>
  <si>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</si>
  <si>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</si>
  <si>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</si>
  <si>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</si>
  <si>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</si>
  <si>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</si>
  <si>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</si>
  <si>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</si>
  <si>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</si>
  <si>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</si>
  <si>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</si>
  <si>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</si>
  <si>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</si>
  <si>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</si>
  <si>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</si>
  <si>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</si>
  <si>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</si>
  <si>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</si>
  <si>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</si>
  <si>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</si>
  <si>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</si>
  <si>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</si>
  <si>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</si>
  <si>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</si>
  <si>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</si>
  <si>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</si>
  <si>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</si>
  <si>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</si>
  <si>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</si>
  <si>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</si>
  <si>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</si>
  <si>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</si>
  <si>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</si>
  <si>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</si>
  <si>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</si>
  <si>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</si>
  <si>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</si>
  <si>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</si>
  <si>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</si>
  <si>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</si>
  <si>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</si>
  <si>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</si>
  <si>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</si>
  <si>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</si>
  <si>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</si>
  <si>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</si>
  <si>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</si>
  <si>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</si>
  <si>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</si>
  <si>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</si>
  <si>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</si>
  <si>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</si>
  <si>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</si>
  <si>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</si>
  <si>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</si>
  <si>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</si>
  <si>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</si>
  <si>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</si>
  <si>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</si>
  <si>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</si>
  <si>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</si>
  <si>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</si>
  <si>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</si>
  <si>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</si>
  <si>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</si>
  <si>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</si>
  <si>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</si>
  <si>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</si>
  <si>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</si>
  <si>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</si>
  <si>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</si>
  <si>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</si>
  <si>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</si>
  <si>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</si>
  <si>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</si>
  <si>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</si>
  <si>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</si>
  <si>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</si>
  <si>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</si>
  <si>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</si>
  <si>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</si>
  <si>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</si>
  <si>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</si>
  <si>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</si>
  <si>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</si>
  <si>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</si>
  <si>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</si>
  <si>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</si>
  <si>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</si>
  <si>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</si>
  <si>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</si>
  <si>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</si>
  <si>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</si>
  <si>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</si>
  <si>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</si>
  <si>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</si>
  <si>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</si>
  <si>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</si>
  <si>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</si>
  <si>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</si>
  <si>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</si>
  <si>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</si>
  <si>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</si>
  <si>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</si>
  <si>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</si>
  <si>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</si>
  <si>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</si>
  <si>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</si>
  <si>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</si>
  <si>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</si>
  <si>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</si>
  <si>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</si>
  <si>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</si>
  <si>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</si>
  <si>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</si>
  <si>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</si>
  <si>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</si>
  <si>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</si>
  <si>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</si>
  <si>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</si>
  <si>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</si>
  <si>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</si>
  <si>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</si>
  <si>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</si>
  <si>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</si>
  <si>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</si>
  <si>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</si>
  <si>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</si>
  <si>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</si>
  <si>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</si>
  <si>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</si>
  <si>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</si>
  <si>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</si>
  <si>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</si>
  <si>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</si>
  <si>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</si>
  <si>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</si>
  <si>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</si>
  <si>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</si>
  <si>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</si>
  <si>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</si>
  <si>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</si>
  <si>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</si>
  <si>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</si>
  <si>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</si>
  <si>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</si>
  <si>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</si>
  <si>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</si>
  <si>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</si>
  <si>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</si>
  <si>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</si>
  <si>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</si>
  <si>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</si>
  <si>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</si>
  <si>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</si>
  <si>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</si>
  <si>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</si>
  <si>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</si>
  <si>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</si>
  <si>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</si>
  <si>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</si>
  <si>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</si>
  <si>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</si>
  <si>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</si>
  <si>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</si>
  <si>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</si>
  <si>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</si>
  <si>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</si>
  <si>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</si>
  <si>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</si>
  <si>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</si>
  <si>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</si>
  <si>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</si>
  <si>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</si>
  <si>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</si>
  <si>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</si>
  <si>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</si>
  <si>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</si>
  <si>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</si>
  <si>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</si>
  <si>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</si>
  <si>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</si>
  <si>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</si>
  <si>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</si>
  <si>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</si>
  <si>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</si>
  <si>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</si>
  <si>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</si>
  <si>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</si>
  <si>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</si>
  <si>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</si>
  <si>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</si>
  <si>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</si>
  <si>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</si>
  <si>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</si>
  <si>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</si>
  <si>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</si>
  <si>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</si>
  <si>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</si>
  <si>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</si>
  <si>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</si>
  <si>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</si>
  <si>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</si>
  <si>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</si>
  <si>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</si>
  <si>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</si>
  <si>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</si>
  <si>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</si>
  <si>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</si>
  <si>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</si>
  <si>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</si>
  <si>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</si>
  <si>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</si>
  <si>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</si>
  <si>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</si>
  <si>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</si>
  <si>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</si>
  <si>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</si>
  <si>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</si>
  <si>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</si>
  <si>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</si>
  <si>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</si>
  <si>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</si>
  <si>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</si>
  <si>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</si>
  <si>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</si>
  <si>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</si>
  <si>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</si>
  <si>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</si>
  <si>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</si>
  <si>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</si>
  <si>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</si>
  <si>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</si>
  <si>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</si>
  <si>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</si>
  <si>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</si>
  <si>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</si>
  <si>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</si>
  <si>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</si>
  <si>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</si>
  <si>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</si>
  <si>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</si>
  <si>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</si>
  <si>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</si>
  <si>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</si>
  <si>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</si>
  <si>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</si>
  <si>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</si>
  <si>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</si>
  <si>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</si>
  <si>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</si>
  <si>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</si>
  <si>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</si>
  <si>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</si>
  <si>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</si>
  <si>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</si>
  <si>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</si>
  <si>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</si>
  <si>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</si>
  <si>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</si>
  <si>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</si>
  <si>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</si>
  <si>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</si>
  <si>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</si>
  <si>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</si>
  <si>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</si>
  <si>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</si>
  <si>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</si>
  <si>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</si>
  <si>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</si>
  <si>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</si>
  <si>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</si>
  <si>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</si>
  <si>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</si>
  <si>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</si>
  <si>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</si>
  <si>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</si>
  <si>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</si>
  <si>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</si>
  <si>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</si>
  <si>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</si>
  <si>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</si>
  <si>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</si>
  <si>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</si>
  <si>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</si>
  <si>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</si>
  <si>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</si>
  <si>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</si>
  <si>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</si>
  <si>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</si>
  <si>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</si>
  <si>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</si>
  <si>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</si>
  <si>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</si>
  <si>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</si>
  <si>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</si>
  <si>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</si>
  <si>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</si>
  <si>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</si>
  <si>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</si>
  <si>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</si>
  <si>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</si>
  <si>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</si>
  <si>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</si>
  <si>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</si>
  <si>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</si>
  <si>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</si>
  <si>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</si>
  <si>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</si>
  <si>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</si>
  <si>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</si>
  <si>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</si>
  <si>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</si>
  <si>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</si>
  <si>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</si>
  <si>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</si>
  <si>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</si>
  <si>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</si>
  <si>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</si>
  <si>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</si>
  <si>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</si>
  <si>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</si>
  <si>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</si>
  <si>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</si>
  <si>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</si>
  <si>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</si>
  <si>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</si>
  <si>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</si>
  <si>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</si>
  <si>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</si>
  <si>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</si>
  <si>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</si>
  <si>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</si>
  <si>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</si>
  <si>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</si>
  <si>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</si>
  <si>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</si>
  <si>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</si>
  <si>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</si>
  <si>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</si>
  <si>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</si>
  <si>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</si>
  <si>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</si>
  <si>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</si>
  <si>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</si>
  <si>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</si>
  <si>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</si>
  <si>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</si>
  <si>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</si>
  <si>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</si>
  <si>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</si>
  <si>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</si>
  <si>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</si>
  <si>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</si>
  <si>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</si>
  <si>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</si>
  <si>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</si>
  <si>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</si>
  <si>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</si>
  <si>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</si>
  <si>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</si>
  <si>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</si>
  <si>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</si>
  <si>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</si>
  <si>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</si>
  <si>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</si>
  <si>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</si>
  <si>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</si>
  <si>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</si>
  <si>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</si>
  <si>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</si>
  <si>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</si>
  <si>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</si>
  <si>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</si>
  <si>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</si>
  <si>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</si>
  <si>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</si>
  <si>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</si>
  <si>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</si>
  <si>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</si>
  <si>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</si>
  <si>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</si>
  <si>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</si>
  <si>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</si>
  <si>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</si>
  <si>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</si>
  <si>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</si>
  <si>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</si>
  <si>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</si>
  <si>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</si>
  <si>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</si>
  <si>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</si>
  <si>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</si>
  <si>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</si>
  <si>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</si>
  <si>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</si>
  <si>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</si>
  <si>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</si>
  <si>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</si>
  <si>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</si>
  <si>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</si>
  <si>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</si>
  <si>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</si>
  <si>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</si>
  <si>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</si>
  <si>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</si>
  <si>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</si>
  <si>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</si>
  <si>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</si>
  <si>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</si>
  <si>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</si>
  <si>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</si>
  <si>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</si>
  <si>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</si>
  <si>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</si>
  <si>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</si>
  <si>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</si>
  <si>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</si>
  <si>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</si>
  <si>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</si>
  <si>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</si>
  <si>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</si>
  <si>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</si>
  <si>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</si>
  <si>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</si>
  <si>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</si>
  <si>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</si>
  <si>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</si>
  <si>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</si>
  <si>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</si>
  <si>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</si>
  <si>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</si>
  <si>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</si>
  <si>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</si>
  <si>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</si>
  <si>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</si>
  <si>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</si>
  <si>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</si>
  <si>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</si>
  <si>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</si>
  <si>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</si>
  <si>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</si>
  <si>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</si>
  <si>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</si>
  <si>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</si>
  <si>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</si>
  <si>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</si>
  <si>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</si>
  <si>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</si>
  <si>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</si>
  <si>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</si>
  <si>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</si>
  <si>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</si>
  <si>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</si>
  <si>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</si>
  <si>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</si>
  <si>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</si>
  <si>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</si>
  <si>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</si>
  <si>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</si>
  <si>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</si>
  <si>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</si>
  <si>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</si>
  <si>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</si>
  <si>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</si>
  <si>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</si>
  <si>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</si>
  <si>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</si>
  <si>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</si>
  <si>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</si>
  <si>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</si>
  <si>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</si>
  <si>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</si>
  <si>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</si>
  <si>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</si>
  <si>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</si>
  <si>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</si>
  <si>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</si>
  <si>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</si>
  <si>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</si>
  <si>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</si>
  <si>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</si>
  <si>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</si>
  <si>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</si>
  <si>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</si>
  <si>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</si>
  <si>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</si>
  <si>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</si>
  <si>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</si>
  <si>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</si>
  <si>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</si>
  <si>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</si>
  <si>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</si>
  <si>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</si>
  <si>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</si>
  <si>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</si>
  <si>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</si>
  <si>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</si>
  <si>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</si>
  <si>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</si>
  <si>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</si>
  <si>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</si>
  <si>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</si>
  <si>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</si>
  <si>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</si>
  <si>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</si>
  <si>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</si>
  <si>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</si>
  <si>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</si>
  <si>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</si>
  <si>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</si>
  <si>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</si>
  <si>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</si>
  <si>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</si>
  <si>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</si>
  <si>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</si>
  <si>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</si>
  <si>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</si>
  <si>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</si>
  <si>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</si>
  <si>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</si>
  <si>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</si>
  <si>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</si>
  <si>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</si>
  <si>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</si>
  <si>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</si>
  <si>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</si>
  <si>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</si>
  <si>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</si>
  <si>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</si>
  <si>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</si>
  <si>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</si>
  <si>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</si>
  <si>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</si>
  <si>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</si>
  <si>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</si>
  <si>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</si>
  <si>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</si>
  <si>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</si>
  <si>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</si>
  <si>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</si>
  <si>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</si>
  <si>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</si>
  <si>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</si>
  <si>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</si>
  <si>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</si>
  <si>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</si>
  <si>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</si>
  <si>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</si>
  <si>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</si>
  <si>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</si>
  <si>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</si>
  <si>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</si>
  <si>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</si>
  <si>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</si>
  <si>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</si>
  <si>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</si>
  <si>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</si>
  <si>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</si>
  <si>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</si>
  <si>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</si>
  <si>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</si>
  <si>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</si>
  <si>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</si>
  <si>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</si>
  <si>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</si>
  <si>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</si>
  <si>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</si>
  <si>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</si>
  <si>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</si>
  <si>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</si>
  <si>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</si>
  <si>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</si>
  <si>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</si>
  <si>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</si>
  <si>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</si>
  <si>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</si>
  <si>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</si>
  <si>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</si>
  <si>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</si>
  <si>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</si>
  <si>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</si>
  <si>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</si>
  <si>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</si>
  <si>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</si>
  <si>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</si>
  <si>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</si>
  <si>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</si>
  <si>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</si>
  <si>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</si>
  <si>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</si>
  <si>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</si>
  <si>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</si>
  <si>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</si>
  <si>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</si>
  <si>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</si>
  <si>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</si>
  <si>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</si>
  <si>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</si>
  <si>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</si>
  <si>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</si>
  <si>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</si>
  <si>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</si>
  <si>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</si>
  <si>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</si>
  <si>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</si>
  <si>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</si>
  <si>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</si>
  <si>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</si>
  <si>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</si>
  <si>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</si>
  <si>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</si>
  <si>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</si>
  <si>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</si>
  <si>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</si>
  <si>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</si>
  <si>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</si>
  <si>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</si>
  <si>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</si>
  <si>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</si>
  <si>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</si>
  <si>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</si>
  <si>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</si>
  <si>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</si>
  <si>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</si>
  <si>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</si>
  <si>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</si>
  <si>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</si>
  <si>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</si>
  <si>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</si>
  <si>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</si>
  <si>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</si>
  <si>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</si>
  <si>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</si>
  <si>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</si>
  <si>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</si>
  <si>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</si>
  <si>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</si>
  <si>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</si>
  <si>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</si>
  <si>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</si>
  <si>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</si>
  <si>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</si>
  <si>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</si>
  <si>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</si>
  <si>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</si>
  <si>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</si>
  <si>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</si>
  <si>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</si>
  <si>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</si>
  <si>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</si>
  <si>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</si>
  <si>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</si>
  <si>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</si>
  <si>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</si>
  <si>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</si>
  <si>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</si>
  <si>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</si>
  <si>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</si>
  <si>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</si>
  <si>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</si>
  <si>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</si>
  <si>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</si>
  <si>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</si>
  <si>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</si>
  <si>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</si>
  <si>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</si>
  <si>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</si>
  <si>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</si>
  <si>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</si>
  <si>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</si>
  <si>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</si>
  <si>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</si>
  <si>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</si>
  <si>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</si>
  <si>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</si>
  <si>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</si>
  <si>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</si>
  <si>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</si>
  <si>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</si>
  <si>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</si>
  <si>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</si>
  <si>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</si>
  <si>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</si>
  <si>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</si>
  <si>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</si>
  <si>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</si>
  <si>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</si>
  <si>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</si>
  <si>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</si>
  <si>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</si>
  <si>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</si>
  <si>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</si>
  <si>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</si>
  <si>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</si>
  <si>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</si>
  <si>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</si>
  <si>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</si>
  <si>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</si>
  <si>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</si>
  <si>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</si>
  <si>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</si>
  <si>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</si>
  <si>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</si>
  <si>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</si>
  <si>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</si>
  <si>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</si>
  <si>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</si>
  <si>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</si>
  <si>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</si>
  <si>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</si>
  <si>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</si>
  <si>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</si>
  <si>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</si>
  <si>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</si>
  <si>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</si>
  <si>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</si>
  <si>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</si>
  <si>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</si>
  <si>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</si>
  <si>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</si>
  <si>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</si>
  <si>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</si>
  <si>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</si>
  <si>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</si>
  <si>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</si>
  <si>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</si>
  <si>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</si>
  <si>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</si>
  <si>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</si>
  <si>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</si>
  <si>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</si>
  <si>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</si>
  <si>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</si>
  <si>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</si>
  <si>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</si>
  <si>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</si>
  <si>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</si>
  <si>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</si>
  <si>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</si>
  <si>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</si>
  <si>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</si>
  <si>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</si>
  <si>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</si>
  <si>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</si>
  <si>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</si>
  <si>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</si>
  <si>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</si>
  <si>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</si>
  <si>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</si>
  <si>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</si>
  <si>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</si>
  <si>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</si>
  <si>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</si>
  <si>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</si>
  <si>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</si>
  <si>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</si>
  <si>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</si>
  <si>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</si>
  <si>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</si>
  <si>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</si>
  <si>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</si>
  <si>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</si>
  <si>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</si>
  <si>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12035</t>
  </si>
  <si>
    <t>SINT-KATELIJNE-WAVER</t>
  </si>
  <si>
    <t>Cultuurgrond (ha)</t>
  </si>
  <si>
    <t>Paarden&amp;pony's 200 - 600 kg</t>
  </si>
  <si>
    <t>Paarden&amp;pony's &lt; 200 kg</t>
  </si>
  <si>
    <t>Fluvius</t>
  </si>
  <si>
    <t>referentietaak LNE (2017); Jaarverslag De Lijn</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</si>
  <si>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</si>
  <si>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</si>
  <si>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</si>
  <si>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</si>
  <si>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</si>
  <si>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</si>
  <si>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</si>
  <si>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</si>
  <si>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</si>
  <si>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</si>
  <si>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</si>
  <si>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</si>
  <si>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 in faling</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</si>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</sst>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176472.05705582511</c:v>
                </c:pt>
                <c:pt idx="1">
                  <c:v>118098.11574799697</c:v>
                </c:pt>
                <c:pt idx="2">
                  <c:v>1636.816</c:v>
                </c:pt>
                <c:pt idx="3">
                  <c:v>288889.40471630427</c:v>
                </c:pt>
                <c:pt idx="4">
                  <c:v>17407.587569956046</c:v>
                </c:pt>
                <c:pt idx="5">
                  <c:v>62934.475224583264</c:v>
                </c:pt>
                <c:pt idx="6">
                  <c:v>2568.3662940041536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176472.05705582511</c:v>
                </c:pt>
                <c:pt idx="1">
                  <c:v>118098.11574799697</c:v>
                </c:pt>
                <c:pt idx="2">
                  <c:v>1636.816</c:v>
                </c:pt>
                <c:pt idx="3">
                  <c:v>288889.40471630427</c:v>
                </c:pt>
                <c:pt idx="4">
                  <c:v>17407.587569956046</c:v>
                </c:pt>
                <c:pt idx="5">
                  <c:v>62934.475224583264</c:v>
                </c:pt>
                <c:pt idx="6">
                  <c:v>2568.3662940041536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35985.349772617221</c:v>
                </c:pt>
                <c:pt idx="2">
                  <c:v>24481.709586650897</c:v>
                </c:pt>
                <c:pt idx="3">
                  <c:v>336.56066878254194</c:v>
                </c:pt>
                <c:pt idx="4">
                  <c:v>62455.03622905424</c:v>
                </c:pt>
                <c:pt idx="5">
                  <c:v>3634.1764300407149</c:v>
                </c:pt>
                <c:pt idx="6">
                  <c:v>15892.691746743667</c:v>
                </c:pt>
                <c:pt idx="7">
                  <c:v>656.53105988080029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35985.349772617221</c:v>
                </c:pt>
                <c:pt idx="2">
                  <c:v>24481.709586650897</c:v>
                </c:pt>
                <c:pt idx="3">
                  <c:v>336.56066878254194</c:v>
                </c:pt>
                <c:pt idx="4">
                  <c:v>62455.03622905424</c:v>
                </c:pt>
                <c:pt idx="5">
                  <c:v>3634.1764300407149</c:v>
                </c:pt>
                <c:pt idx="6">
                  <c:v>15892.691746743667</c:v>
                </c:pt>
                <c:pt idx="7">
                  <c:v>656.53105988080029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12035</v>
      </c>
      <c r="B6" s="395"/>
      <c r="C6" s="396"/>
    </row>
    <row r="7" spans="1:7" s="393" customFormat="1" ht="15.75" customHeight="1">
      <c r="A7" s="397" t="str">
        <f>txtMunicipality</f>
        <v>SINT-KATELIJNE-WAVER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0.2056191219920516</v>
      </c>
      <c r="C17" s="508">
        <f ca="1">'EF ele_warmte'!B22</f>
        <v>0.21633857029005302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0.2056191219920516</v>
      </c>
      <c r="C29" s="509">
        <f ca="1">'EF ele_warmte'!B22</f>
        <v>0.21633857029005302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7903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1068</v>
      </c>
      <c r="C14" s="332"/>
      <c r="D14" s="332"/>
      <c r="E14" s="332"/>
      <c r="F14" s="332"/>
    </row>
    <row r="15" spans="1:6">
      <c r="A15" s="1306" t="s">
        <v>183</v>
      </c>
      <c r="B15" s="1307">
        <v>5</v>
      </c>
      <c r="C15" s="332"/>
      <c r="D15" s="332"/>
      <c r="E15" s="332"/>
      <c r="F15" s="332"/>
    </row>
    <row r="16" spans="1:6">
      <c r="A16" s="1306" t="s">
        <v>6</v>
      </c>
      <c r="B16" s="1307">
        <v>333</v>
      </c>
      <c r="C16" s="332"/>
      <c r="D16" s="332"/>
      <c r="E16" s="332"/>
      <c r="F16" s="332"/>
    </row>
    <row r="17" spans="1:6">
      <c r="A17" s="1306" t="s">
        <v>7</v>
      </c>
      <c r="B17" s="1307">
        <v>147</v>
      </c>
      <c r="C17" s="332"/>
      <c r="D17" s="332"/>
      <c r="E17" s="332"/>
      <c r="F17" s="332"/>
    </row>
    <row r="18" spans="1:6">
      <c r="A18" s="1306" t="s">
        <v>8</v>
      </c>
      <c r="B18" s="1307">
        <v>313</v>
      </c>
      <c r="C18" s="332"/>
      <c r="D18" s="332"/>
      <c r="E18" s="332"/>
      <c r="F18" s="332"/>
    </row>
    <row r="19" spans="1:6">
      <c r="A19" s="1306" t="s">
        <v>9</v>
      </c>
      <c r="B19" s="1307">
        <v>238</v>
      </c>
      <c r="C19" s="332"/>
      <c r="D19" s="332"/>
      <c r="E19" s="332"/>
      <c r="F19" s="332"/>
    </row>
    <row r="20" spans="1:6">
      <c r="A20" s="1306" t="s">
        <v>10</v>
      </c>
      <c r="B20" s="1307">
        <v>269</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106</v>
      </c>
      <c r="C26" s="332"/>
      <c r="D26" s="332"/>
      <c r="E26" s="332"/>
      <c r="F26" s="332"/>
    </row>
    <row r="27" spans="1:6">
      <c r="A27" s="1306" t="s">
        <v>17</v>
      </c>
      <c r="B27" s="1307">
        <v>0</v>
      </c>
      <c r="C27" s="332"/>
      <c r="D27" s="332"/>
      <c r="E27" s="332"/>
      <c r="F27" s="332"/>
    </row>
    <row r="28" spans="1:6" s="43" customFormat="1">
      <c r="A28" s="1308" t="s">
        <v>18</v>
      </c>
      <c r="B28" s="1309">
        <v>17186</v>
      </c>
      <c r="C28" s="338"/>
      <c r="D28" s="338"/>
      <c r="E28" s="338"/>
      <c r="F28" s="338"/>
    </row>
    <row r="29" spans="1:6">
      <c r="A29" s="1308" t="s">
        <v>916</v>
      </c>
      <c r="B29" s="1309">
        <v>470</v>
      </c>
      <c r="C29" s="338"/>
      <c r="D29" s="338"/>
      <c r="E29" s="338"/>
      <c r="F29" s="338"/>
    </row>
    <row r="30" spans="1:6">
      <c r="A30" s="1301" t="s">
        <v>917</v>
      </c>
      <c r="B30" s="1310">
        <v>72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3</v>
      </c>
      <c r="D38" s="1307">
        <v>27768755.142229799</v>
      </c>
      <c r="E38" s="1307">
        <v>7</v>
      </c>
      <c r="F38" s="1307">
        <v>467453.04023847397</v>
      </c>
    </row>
    <row r="39" spans="1:6">
      <c r="A39" s="1306" t="s">
        <v>29</v>
      </c>
      <c r="B39" s="1306" t="s">
        <v>30</v>
      </c>
      <c r="C39" s="1307">
        <v>4883</v>
      </c>
      <c r="D39" s="1307">
        <v>98245899.629583806</v>
      </c>
      <c r="E39" s="1307">
        <v>7532</v>
      </c>
      <c r="F39" s="1307">
        <v>32216979.351613201</v>
      </c>
    </row>
    <row r="40" spans="1:6">
      <c r="A40" s="1306" t="s">
        <v>29</v>
      </c>
      <c r="B40" s="1306" t="s">
        <v>28</v>
      </c>
      <c r="C40" s="1307">
        <v>0</v>
      </c>
      <c r="D40" s="1307">
        <v>0</v>
      </c>
      <c r="E40" s="1307">
        <v>0</v>
      </c>
      <c r="F40" s="1307">
        <v>0</v>
      </c>
    </row>
    <row r="41" spans="1:6">
      <c r="A41" s="1306" t="s">
        <v>31</v>
      </c>
      <c r="B41" s="1306" t="s">
        <v>32</v>
      </c>
      <c r="C41" s="1307">
        <v>58</v>
      </c>
      <c r="D41" s="1307">
        <v>5742599.9639987499</v>
      </c>
      <c r="E41" s="1307">
        <v>124</v>
      </c>
      <c r="F41" s="1307">
        <v>1144798.1599649701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376198.98564763798</v>
      </c>
      <c r="E44" s="1307">
        <v>11</v>
      </c>
      <c r="F44" s="1307">
        <v>558227.36916521401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41</v>
      </c>
      <c r="D48" s="1307">
        <v>2524981.8130208999</v>
      </c>
      <c r="E48" s="1307">
        <v>60</v>
      </c>
      <c r="F48" s="1307">
        <v>3054212.2628234401</v>
      </c>
    </row>
    <row r="49" spans="1:6">
      <c r="A49" s="1306" t="s">
        <v>31</v>
      </c>
      <c r="B49" s="1306" t="s">
        <v>39</v>
      </c>
      <c r="C49" s="1307">
        <v>0</v>
      </c>
      <c r="D49" s="1307">
        <v>0</v>
      </c>
      <c r="E49" s="1307">
        <v>0</v>
      </c>
      <c r="F49" s="1307">
        <v>0</v>
      </c>
    </row>
    <row r="50" spans="1:6">
      <c r="A50" s="1306" t="s">
        <v>31</v>
      </c>
      <c r="B50" s="1306" t="s">
        <v>40</v>
      </c>
      <c r="C50" s="1307">
        <v>5</v>
      </c>
      <c r="D50" s="1307">
        <v>335100.10670388897</v>
      </c>
      <c r="E50" s="1307">
        <v>14</v>
      </c>
      <c r="F50" s="1307">
        <v>756996.15909620805</v>
      </c>
    </row>
    <row r="51" spans="1:6">
      <c r="A51" s="1306" t="s">
        <v>41</v>
      </c>
      <c r="B51" s="1306" t="s">
        <v>42</v>
      </c>
      <c r="C51" s="1307">
        <v>53</v>
      </c>
      <c r="D51" s="1307">
        <v>484585157.25193697</v>
      </c>
      <c r="E51" s="1307">
        <v>173</v>
      </c>
      <c r="F51" s="1307">
        <v>6055215.0195682198</v>
      </c>
    </row>
    <row r="52" spans="1:6">
      <c r="A52" s="1306" t="s">
        <v>41</v>
      </c>
      <c r="B52" s="1306" t="s">
        <v>28</v>
      </c>
      <c r="C52" s="1307">
        <v>9</v>
      </c>
      <c r="D52" s="1307">
        <v>8797922.2317938302</v>
      </c>
      <c r="E52" s="1307">
        <v>14</v>
      </c>
      <c r="F52" s="1307">
        <v>361767.08243614098</v>
      </c>
    </row>
    <row r="53" spans="1:6">
      <c r="A53" s="1306" t="s">
        <v>43</v>
      </c>
      <c r="B53" s="1306" t="s">
        <v>44</v>
      </c>
      <c r="C53" s="1307">
        <v>101</v>
      </c>
      <c r="D53" s="1307">
        <v>3483136.20637115</v>
      </c>
      <c r="E53" s="1307">
        <v>201</v>
      </c>
      <c r="F53" s="1307">
        <v>1002036.98115444</v>
      </c>
    </row>
    <row r="54" spans="1:6">
      <c r="A54" s="1306" t="s">
        <v>45</v>
      </c>
      <c r="B54" s="1306" t="s">
        <v>46</v>
      </c>
      <c r="C54" s="1307">
        <v>0</v>
      </c>
      <c r="D54" s="1307">
        <v>0</v>
      </c>
      <c r="E54" s="1307">
        <v>1</v>
      </c>
      <c r="F54" s="1307">
        <v>1636816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31</v>
      </c>
      <c r="D57" s="1307">
        <v>2083901.3853989199</v>
      </c>
      <c r="E57" s="1307">
        <v>60</v>
      </c>
      <c r="F57" s="1307">
        <v>851668.93274632003</v>
      </c>
    </row>
    <row r="58" spans="1:6">
      <c r="A58" s="1306" t="s">
        <v>48</v>
      </c>
      <c r="B58" s="1306" t="s">
        <v>50</v>
      </c>
      <c r="C58" s="1307">
        <v>30</v>
      </c>
      <c r="D58" s="1307">
        <v>8000869.0865233801</v>
      </c>
      <c r="E58" s="1307">
        <v>40</v>
      </c>
      <c r="F58" s="1307">
        <v>1689965.8038017501</v>
      </c>
    </row>
    <row r="59" spans="1:6">
      <c r="A59" s="1306" t="s">
        <v>48</v>
      </c>
      <c r="B59" s="1306" t="s">
        <v>51</v>
      </c>
      <c r="C59" s="1307">
        <v>81</v>
      </c>
      <c r="D59" s="1307">
        <v>5740246.6474639298</v>
      </c>
      <c r="E59" s="1307">
        <v>167</v>
      </c>
      <c r="F59" s="1307">
        <v>29637073.501837399</v>
      </c>
    </row>
    <row r="60" spans="1:6">
      <c r="A60" s="1306" t="s">
        <v>48</v>
      </c>
      <c r="B60" s="1306" t="s">
        <v>52</v>
      </c>
      <c r="C60" s="1307">
        <v>67</v>
      </c>
      <c r="D60" s="1307">
        <v>5472309.63499129</v>
      </c>
      <c r="E60" s="1307">
        <v>122</v>
      </c>
      <c r="F60" s="1307">
        <v>2867200.21734139</v>
      </c>
    </row>
    <row r="61" spans="1:6">
      <c r="A61" s="1306" t="s">
        <v>48</v>
      </c>
      <c r="B61" s="1306" t="s">
        <v>53</v>
      </c>
      <c r="C61" s="1307">
        <v>114</v>
      </c>
      <c r="D61" s="1307">
        <v>6119097.5268419897</v>
      </c>
      <c r="E61" s="1307">
        <v>250</v>
      </c>
      <c r="F61" s="1307">
        <v>3414255.7766189999</v>
      </c>
    </row>
    <row r="62" spans="1:6">
      <c r="A62" s="1306" t="s">
        <v>48</v>
      </c>
      <c r="B62" s="1306" t="s">
        <v>54</v>
      </c>
      <c r="C62" s="1307">
        <v>6</v>
      </c>
      <c r="D62" s="1307">
        <v>2492620.6203166498</v>
      </c>
      <c r="E62" s="1307">
        <v>14</v>
      </c>
      <c r="F62" s="1307">
        <v>776081.78107696096</v>
      </c>
    </row>
    <row r="63" spans="1:6">
      <c r="A63" s="1306" t="s">
        <v>48</v>
      </c>
      <c r="B63" s="1306" t="s">
        <v>28</v>
      </c>
      <c r="C63" s="1307">
        <v>146</v>
      </c>
      <c r="D63" s="1307">
        <v>30159250.680264201</v>
      </c>
      <c r="E63" s="1307">
        <v>180</v>
      </c>
      <c r="F63" s="1307">
        <v>14241211.575369099</v>
      </c>
    </row>
    <row r="64" spans="1:6">
      <c r="A64" s="1306" t="s">
        <v>55</v>
      </c>
      <c r="B64" s="1306" t="s">
        <v>56</v>
      </c>
      <c r="C64" s="1307">
        <v>0</v>
      </c>
      <c r="D64" s="1307">
        <v>0</v>
      </c>
      <c r="E64" s="1307">
        <v>0</v>
      </c>
      <c r="F64" s="1307">
        <v>0</v>
      </c>
    </row>
    <row r="65" spans="1:6">
      <c r="A65" s="1306" t="s">
        <v>55</v>
      </c>
      <c r="B65" s="1306" t="s">
        <v>28</v>
      </c>
      <c r="C65" s="1307">
        <v>3</v>
      </c>
      <c r="D65" s="1307">
        <v>176848.677106271</v>
      </c>
      <c r="E65" s="1307">
        <v>5</v>
      </c>
      <c r="F65" s="1307">
        <v>69909.425517119307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282798.70497858699</v>
      </c>
      <c r="E68" s="1310">
        <v>12</v>
      </c>
      <c r="F68" s="1310">
        <v>811575.16796182701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60168707</v>
      </c>
      <c r="E73" s="456"/>
      <c r="F73" s="332"/>
    </row>
    <row r="74" spans="1:6">
      <c r="A74" s="1306" t="s">
        <v>63</v>
      </c>
      <c r="B74" s="1306" t="s">
        <v>724</v>
      </c>
      <c r="C74" s="1320" t="s">
        <v>725</v>
      </c>
      <c r="D74" s="1321">
        <v>4213719.4192454387</v>
      </c>
      <c r="E74" s="456"/>
      <c r="F74" s="332"/>
    </row>
    <row r="75" spans="1:6">
      <c r="A75" s="1306" t="s">
        <v>64</v>
      </c>
      <c r="B75" s="1306" t="s">
        <v>722</v>
      </c>
      <c r="C75" s="1320" t="s">
        <v>726</v>
      </c>
      <c r="D75" s="1321">
        <v>14547538</v>
      </c>
      <c r="E75" s="456"/>
      <c r="F75" s="332"/>
    </row>
    <row r="76" spans="1:6">
      <c r="A76" s="1306" t="s">
        <v>64</v>
      </c>
      <c r="B76" s="1306" t="s">
        <v>724</v>
      </c>
      <c r="C76" s="1320" t="s">
        <v>727</v>
      </c>
      <c r="D76" s="1321">
        <v>318452.41924543894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679607.16150912212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4012.3960051673735</v>
      </c>
      <c r="C91" s="332"/>
      <c r="D91" s="332"/>
      <c r="E91" s="332"/>
      <c r="F91" s="332"/>
    </row>
    <row r="92" spans="1:6">
      <c r="A92" s="1301" t="s">
        <v>68</v>
      </c>
      <c r="B92" s="1302">
        <v>4778.4024005959882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3367</v>
      </c>
      <c r="C97" s="332"/>
      <c r="D97" s="332"/>
      <c r="E97" s="332"/>
      <c r="F97" s="332"/>
    </row>
    <row r="98" spans="1:6">
      <c r="A98" s="1306" t="s">
        <v>71</v>
      </c>
      <c r="B98" s="1307">
        <v>10</v>
      </c>
      <c r="C98" s="332"/>
      <c r="D98" s="332"/>
      <c r="E98" s="332"/>
      <c r="F98" s="332"/>
    </row>
    <row r="99" spans="1:6">
      <c r="A99" s="1306" t="s">
        <v>72</v>
      </c>
      <c r="B99" s="1307">
        <v>75</v>
      </c>
      <c r="C99" s="332"/>
      <c r="D99" s="332"/>
      <c r="E99" s="332"/>
      <c r="F99" s="332"/>
    </row>
    <row r="100" spans="1:6">
      <c r="A100" s="1306" t="s">
        <v>73</v>
      </c>
      <c r="B100" s="1307">
        <v>535</v>
      </c>
      <c r="C100" s="332"/>
      <c r="D100" s="332"/>
      <c r="E100" s="332"/>
      <c r="F100" s="332"/>
    </row>
    <row r="101" spans="1:6">
      <c r="A101" s="1306" t="s">
        <v>74</v>
      </c>
      <c r="B101" s="1307">
        <v>63</v>
      </c>
      <c r="C101" s="332"/>
      <c r="D101" s="332"/>
      <c r="E101" s="332"/>
      <c r="F101" s="332"/>
    </row>
    <row r="102" spans="1:6">
      <c r="A102" s="1306" t="s">
        <v>75</v>
      </c>
      <c r="B102" s="1307">
        <v>94</v>
      </c>
      <c r="C102" s="332"/>
      <c r="D102" s="332"/>
      <c r="E102" s="332"/>
      <c r="F102" s="332"/>
    </row>
    <row r="103" spans="1:6">
      <c r="A103" s="1306" t="s">
        <v>76</v>
      </c>
      <c r="B103" s="1307">
        <v>187</v>
      </c>
      <c r="C103" s="332"/>
      <c r="D103" s="332"/>
      <c r="E103" s="332"/>
      <c r="F103" s="332"/>
    </row>
    <row r="104" spans="1:6">
      <c r="A104" s="1306" t="s">
        <v>77</v>
      </c>
      <c r="B104" s="1307">
        <v>2851</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145</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109680.12746866279</v>
      </c>
      <c r="C3" s="43" t="s">
        <v>169</v>
      </c>
      <c r="D3" s="43"/>
      <c r="E3" s="156"/>
      <c r="F3" s="43"/>
      <c r="G3" s="43"/>
      <c r="H3" s="43"/>
      <c r="I3" s="43"/>
      <c r="J3" s="43"/>
      <c r="K3" s="96"/>
    </row>
    <row r="4" spans="1:11">
      <c r="A4" s="363" t="s">
        <v>170</v>
      </c>
      <c r="B4" s="49">
        <f>IF(ISERROR('SEAP template'!B78+'SEAP template'!C78),0,'SEAP template'!B78+'SEAP template'!C78)</f>
        <v>177414.79840576337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36479.875076589902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0.2056191219920516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50598.609209124385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233886.2142857142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0.21633857029005302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1636.816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1636.816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0.2056191219920516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336.56066878254194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32216.979351613201</v>
      </c>
      <c r="C5" s="17">
        <f>IF(ISERROR('Eigen informatie GS &amp; warmtenet'!B57),0,'Eigen informatie GS &amp; warmtenet'!B57)</f>
        <v>0</v>
      </c>
      <c r="D5" s="30">
        <f>(SUM(HH_hh_gas_kWh,HH_rest_gas_kWh)/1000)*0.902</f>
        <v>88617.801465884593</v>
      </c>
      <c r="E5" s="17">
        <f>B46*B57</f>
        <v>3743.7981855759535</v>
      </c>
      <c r="F5" s="17">
        <f>B51*B62</f>
        <v>34986.426082473576</v>
      </c>
      <c r="G5" s="18"/>
      <c r="H5" s="17"/>
      <c r="I5" s="17"/>
      <c r="J5" s="17">
        <f>B50*B61+C50*C61</f>
        <v>1253.9083988154116</v>
      </c>
      <c r="K5" s="17"/>
      <c r="L5" s="17"/>
      <c r="M5" s="17"/>
      <c r="N5" s="17">
        <f>B48*B59+C48*C59</f>
        <v>10764.540899628346</v>
      </c>
      <c r="O5" s="17">
        <f>B69*B70*B71</f>
        <v>247.00666666666669</v>
      </c>
      <c r="P5" s="17">
        <f>B77*B78*B79/1000-B77*B78*B79/1000/B80</f>
        <v>629.20000000000005</v>
      </c>
    </row>
    <row r="6" spans="1:16">
      <c r="A6" s="16" t="s">
        <v>633</v>
      </c>
      <c r="B6" s="779">
        <f>kWh_PV_kleiner_dan_10kW</f>
        <v>4012.3960051673735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36229.375356780576</v>
      </c>
      <c r="C8" s="21">
        <f>C5</f>
        <v>0</v>
      </c>
      <c r="D8" s="21">
        <f>D5</f>
        <v>88617.801465884593</v>
      </c>
      <c r="E8" s="21">
        <f>E5</f>
        <v>3743.7981855759535</v>
      </c>
      <c r="F8" s="21">
        <f>F5</f>
        <v>34986.426082473576</v>
      </c>
      <c r="G8" s="21"/>
      <c r="H8" s="21"/>
      <c r="I8" s="21"/>
      <c r="J8" s="21">
        <f>J5</f>
        <v>1253.9083988154116</v>
      </c>
      <c r="K8" s="21"/>
      <c r="L8" s="21">
        <f>L5</f>
        <v>0</v>
      </c>
      <c r="M8" s="21">
        <f>M5</f>
        <v>0</v>
      </c>
      <c r="N8" s="21">
        <f>N5</f>
        <v>10764.540899628346</v>
      </c>
      <c r="O8" s="21">
        <f>O5</f>
        <v>247.00666666666669</v>
      </c>
      <c r="P8" s="21">
        <f>P5</f>
        <v>629.20000000000005</v>
      </c>
    </row>
    <row r="9" spans="1:16">
      <c r="B9" s="19"/>
      <c r="C9" s="19"/>
      <c r="D9" s="261"/>
      <c r="E9" s="19"/>
      <c r="F9" s="19"/>
      <c r="G9" s="19"/>
      <c r="H9" s="19"/>
      <c r="I9" s="19"/>
      <c r="J9" s="19"/>
      <c r="K9" s="19"/>
      <c r="L9" s="19"/>
      <c r="M9" s="19"/>
      <c r="N9" s="19"/>
      <c r="O9" s="19"/>
      <c r="P9" s="19"/>
    </row>
    <row r="10" spans="1:16">
      <c r="A10" s="24" t="s">
        <v>213</v>
      </c>
      <c r="B10" s="25">
        <f ca="1">'EF ele_warmte'!B12</f>
        <v>0.2056191219920516</v>
      </c>
      <c r="C10" s="25">
        <f ca="1">'EF ele_warmte'!B22</f>
        <v>0.21633857029005302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7449.4523511816933</v>
      </c>
      <c r="C12" s="23">
        <f ca="1">C10*C8</f>
        <v>0</v>
      </c>
      <c r="D12" s="23">
        <f>D8*D10</f>
        <v>17900.795896108688</v>
      </c>
      <c r="E12" s="23">
        <f>E10*E8</f>
        <v>849.84218812574147</v>
      </c>
      <c r="F12" s="23">
        <f>F10*F8</f>
        <v>9341.3757640204458</v>
      </c>
      <c r="G12" s="23"/>
      <c r="H12" s="23"/>
      <c r="I12" s="23"/>
      <c r="J12" s="23">
        <f>J10*J8</f>
        <v>443.88357318065567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3367</v>
      </c>
      <c r="C18" s="168" t="s">
        <v>110</v>
      </c>
      <c r="D18" s="230"/>
      <c r="E18" s="15"/>
    </row>
    <row r="19" spans="1:7">
      <c r="A19" s="173" t="s">
        <v>71</v>
      </c>
      <c r="B19" s="37">
        <f>aantalw2001_ander</f>
        <v>10</v>
      </c>
      <c r="C19" s="168" t="s">
        <v>110</v>
      </c>
      <c r="D19" s="231"/>
      <c r="E19" s="15"/>
    </row>
    <row r="20" spans="1:7">
      <c r="A20" s="173" t="s">
        <v>72</v>
      </c>
      <c r="B20" s="37">
        <f>aantalw2001_propaan</f>
        <v>75</v>
      </c>
      <c r="C20" s="169">
        <f>IF(ISERROR(B20/SUM($B$20,$B$21,$B$22)*100),0,B20/SUM($B$20,$B$21,$B$22)*100)</f>
        <v>11.144130757800893</v>
      </c>
      <c r="D20" s="231"/>
      <c r="E20" s="15"/>
    </row>
    <row r="21" spans="1:7">
      <c r="A21" s="173" t="s">
        <v>73</v>
      </c>
      <c r="B21" s="37">
        <f>aantalw2001_elektriciteit</f>
        <v>535</v>
      </c>
      <c r="C21" s="169">
        <f>IF(ISERROR(B21/SUM($B$20,$B$21,$B$22)*100),0,B21/SUM($B$20,$B$21,$B$22)*100)</f>
        <v>79.494799405646361</v>
      </c>
      <c r="D21" s="231"/>
      <c r="E21" s="15"/>
    </row>
    <row r="22" spans="1:7">
      <c r="A22" s="173" t="s">
        <v>74</v>
      </c>
      <c r="B22" s="37">
        <f>aantalw2001_hout</f>
        <v>63</v>
      </c>
      <c r="C22" s="169">
        <f>IF(ISERROR(B22/SUM($B$20,$B$21,$B$22)*100),0,B22/SUM($B$20,$B$21,$B$22)*100)</f>
        <v>9.3610698365527494</v>
      </c>
      <c r="D22" s="231"/>
      <c r="E22" s="15"/>
    </row>
    <row r="23" spans="1:7">
      <c r="A23" s="173" t="s">
        <v>75</v>
      </c>
      <c r="B23" s="37">
        <f>aantalw2001_niet_gespec</f>
        <v>94</v>
      </c>
      <c r="C23" s="168" t="s">
        <v>110</v>
      </c>
      <c r="D23" s="230"/>
      <c r="E23" s="15"/>
    </row>
    <row r="24" spans="1:7">
      <c r="A24" s="173" t="s">
        <v>76</v>
      </c>
      <c r="B24" s="37">
        <f>aantalw2001_steenkool</f>
        <v>187</v>
      </c>
      <c r="C24" s="168" t="s">
        <v>110</v>
      </c>
      <c r="D24" s="231"/>
      <c r="E24" s="15"/>
    </row>
    <row r="25" spans="1:7">
      <c r="A25" s="173" t="s">
        <v>77</v>
      </c>
      <c r="B25" s="37">
        <f>aantalw2001_stookolie</f>
        <v>2851</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7903</v>
      </c>
      <c r="C28" s="36"/>
      <c r="D28" s="230"/>
    </row>
    <row r="29" spans="1:7" s="15" customFormat="1">
      <c r="A29" s="232" t="s">
        <v>743</v>
      </c>
      <c r="B29" s="37">
        <f>SUM(HH_hh_gas_aantal,HH_rest_gas_aantal)</f>
        <v>4883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4883</v>
      </c>
      <c r="C32" s="169">
        <f>IF(ISERROR(B32/SUM($B$32,$B$34,$B$35,$B$36,$B$38,$B$39)*100),0,B32/SUM($B$32,$B$34,$B$35,$B$36,$B$38,$B$39)*100)</f>
        <v>62.04574332909786</v>
      </c>
      <c r="D32" s="235"/>
      <c r="G32" s="15"/>
    </row>
    <row r="33" spans="1:7">
      <c r="A33" s="173" t="s">
        <v>71</v>
      </c>
      <c r="B33" s="34" t="s">
        <v>110</v>
      </c>
      <c r="C33" s="169"/>
      <c r="D33" s="235"/>
      <c r="G33" s="15"/>
    </row>
    <row r="34" spans="1:7">
      <c r="A34" s="173" t="s">
        <v>72</v>
      </c>
      <c r="B34" s="33">
        <f>IF((($B$28-$B$32-$B$39-$B$77-$B$38)*C20/100)&lt;0,0,($B$28-$B$32-$B$39-$B$77-$B$38)*C20/100)</f>
        <v>163.26151560178309</v>
      </c>
      <c r="C34" s="169">
        <f>IF(ISERROR(B34/SUM($B$32,$B$34,$B$35,$B$36,$B$38,$B$39)*100),0,B34/SUM($B$32,$B$34,$B$35,$B$36,$B$38,$B$39)*100)</f>
        <v>2.0744792325512469</v>
      </c>
      <c r="D34" s="235"/>
      <c r="G34" s="15"/>
    </row>
    <row r="35" spans="1:7">
      <c r="A35" s="173" t="s">
        <v>73</v>
      </c>
      <c r="B35" s="33">
        <f>IF((($B$28-$B$32-$B$39-$B$77-$B$38)*C21/100)&lt;0,0,($B$28-$B$32-$B$39-$B$77-$B$38)*C21/100)</f>
        <v>1164.5988112927191</v>
      </c>
      <c r="C35" s="169">
        <f>IF(ISERROR(B35/SUM($B$32,$B$34,$B$35,$B$36,$B$38,$B$39)*100),0,B35/SUM($B$32,$B$34,$B$35,$B$36,$B$38,$B$39)*100)</f>
        <v>14.797951858865558</v>
      </c>
      <c r="D35" s="235"/>
      <c r="G35" s="15"/>
    </row>
    <row r="36" spans="1:7">
      <c r="A36" s="173" t="s">
        <v>74</v>
      </c>
      <c r="B36" s="33">
        <f>IF((($B$28-$B$32-$B$39-$B$77-$B$38)*C22/100)&lt;0,0,($B$28-$B$32-$B$39-$B$77-$B$38)*C22/100)</f>
        <v>137.13967310549779</v>
      </c>
      <c r="C36" s="169">
        <f>IF(ISERROR(B36/SUM($B$32,$B$34,$B$35,$B$36,$B$38,$B$39)*100),0,B36/SUM($B$32,$B$34,$B$35,$B$36,$B$38,$B$39)*100)</f>
        <v>1.7425625553430473</v>
      </c>
      <c r="D36" s="235"/>
      <c r="G36" s="15"/>
    </row>
    <row r="37" spans="1:7">
      <c r="A37" s="173" t="s">
        <v>75</v>
      </c>
      <c r="B37" s="34" t="s">
        <v>110</v>
      </c>
      <c r="C37" s="169"/>
      <c r="D37" s="175"/>
      <c r="G37" s="15"/>
    </row>
    <row r="38" spans="1:7">
      <c r="A38" s="173" t="s">
        <v>76</v>
      </c>
      <c r="B38" s="33">
        <f>IF((B24-(B29-B18)*0.1)&lt;0,0,B24-(B29-B18)*0.1)</f>
        <v>35.400000000000006</v>
      </c>
      <c r="C38" s="169">
        <f>IF(ISERROR(B38/SUM($B$32,$B$34,$B$35,$B$36,$B$38,$B$39)*100),0,B38/SUM($B$32,$B$34,$B$35,$B$36,$B$38,$B$39)*100)</f>
        <v>0.44980940279542581</v>
      </c>
      <c r="D38" s="236"/>
      <c r="G38" s="15"/>
    </row>
    <row r="39" spans="1:7">
      <c r="A39" s="173" t="s">
        <v>77</v>
      </c>
      <c r="B39" s="33">
        <f>IF((B25-(B29-B18))&lt;0,0,B25-(B29-B18)*0.9)</f>
        <v>1486.6</v>
      </c>
      <c r="C39" s="169">
        <f>IF(ISERROR(B39/SUM($B$32,$B$34,$B$35,$B$36,$B$38,$B$39)*100),0,B39/SUM($B$32,$B$34,$B$35,$B$36,$B$38,$B$39)*100)</f>
        <v>18.889453621346892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4883</v>
      </c>
      <c r="C44" s="34" t="s">
        <v>110</v>
      </c>
      <c r="D44" s="176"/>
    </row>
    <row r="45" spans="1:7">
      <c r="A45" s="173" t="s">
        <v>71</v>
      </c>
      <c r="B45" s="33" t="str">
        <f t="shared" si="0"/>
        <v>-</v>
      </c>
      <c r="C45" s="34" t="s">
        <v>110</v>
      </c>
      <c r="D45" s="176"/>
    </row>
    <row r="46" spans="1:7">
      <c r="A46" s="173" t="s">
        <v>72</v>
      </c>
      <c r="B46" s="33">
        <f t="shared" si="0"/>
        <v>163.26151560178309</v>
      </c>
      <c r="C46" s="34" t="s">
        <v>110</v>
      </c>
      <c r="D46" s="176"/>
    </row>
    <row r="47" spans="1:7">
      <c r="A47" s="173" t="s">
        <v>73</v>
      </c>
      <c r="B47" s="33">
        <f t="shared" si="0"/>
        <v>1164.5988112927191</v>
      </c>
      <c r="C47" s="34" t="s">
        <v>110</v>
      </c>
      <c r="D47" s="176"/>
    </row>
    <row r="48" spans="1:7">
      <c r="A48" s="173" t="s">
        <v>74</v>
      </c>
      <c r="B48" s="33">
        <f t="shared" si="0"/>
        <v>137.13967310549779</v>
      </c>
      <c r="C48" s="33">
        <f>B48*10</f>
        <v>1371.3967310549779</v>
      </c>
      <c r="D48" s="236"/>
    </row>
    <row r="49" spans="1:6">
      <c r="A49" s="173" t="s">
        <v>75</v>
      </c>
      <c r="B49" s="33" t="str">
        <f t="shared" si="0"/>
        <v>-</v>
      </c>
      <c r="C49" s="34" t="s">
        <v>110</v>
      </c>
      <c r="D49" s="236"/>
    </row>
    <row r="50" spans="1:6">
      <c r="A50" s="173" t="s">
        <v>76</v>
      </c>
      <c r="B50" s="33">
        <f t="shared" si="0"/>
        <v>35.400000000000006</v>
      </c>
      <c r="C50" s="33">
        <f>B50*2</f>
        <v>70.800000000000011</v>
      </c>
      <c r="D50" s="236"/>
    </row>
    <row r="51" spans="1:6">
      <c r="A51" s="173" t="s">
        <v>77</v>
      </c>
      <c r="B51" s="33">
        <f t="shared" si="0"/>
        <v>1486.6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53477.45758879192</v>
      </c>
      <c r="C5" s="17">
        <f>IF(ISERROR('Eigen informatie GS &amp; warmtenet'!B58),0,'Eigen informatie GS &amp; warmtenet'!B58)</f>
        <v>0</v>
      </c>
      <c r="D5" s="30">
        <f>SUM(D6:D12)</f>
        <v>54181.602614783929</v>
      </c>
      <c r="E5" s="17">
        <f>SUM(E6:E12)</f>
        <v>781.12679083479077</v>
      </c>
      <c r="F5" s="17">
        <f>SUM(F6:F12)</f>
        <v>10116.302729390532</v>
      </c>
      <c r="G5" s="18"/>
      <c r="H5" s="17"/>
      <c r="I5" s="17"/>
      <c r="J5" s="17">
        <f>SUM(J6:J12)</f>
        <v>0</v>
      </c>
      <c r="K5" s="17"/>
      <c r="L5" s="17"/>
      <c r="M5" s="17"/>
      <c r="N5" s="17">
        <f>SUM(N6:N12)</f>
        <v>1832.1550718148308</v>
      </c>
      <c r="O5" s="17">
        <f>B38*B39*B40</f>
        <v>4.6900000000000004</v>
      </c>
      <c r="P5" s="17">
        <f>B46*B47*B48/1000-B46*B47*B48/1000/B49</f>
        <v>19.066666666666666</v>
      </c>
      <c r="R5" s="32"/>
    </row>
    <row r="6" spans="1:18">
      <c r="A6" s="32" t="s">
        <v>53</v>
      </c>
      <c r="B6" s="37">
        <f>B26</f>
        <v>3414.2557766189998</v>
      </c>
      <c r="C6" s="33"/>
      <c r="D6" s="37">
        <f>IF(ISERROR(TER_kantoor_gas_kWh/1000),0,TER_kantoor_gas_kWh/1000)*0.902</f>
        <v>5519.4259692114747</v>
      </c>
      <c r="E6" s="33">
        <f>$C$26*'E Balans VL '!I12/100/3.6*1000000</f>
        <v>13.265106532228886</v>
      </c>
      <c r="F6" s="33">
        <f>$C$26*('E Balans VL '!L12+'E Balans VL '!N12)/100/3.6*1000000</f>
        <v>519.27723637307872</v>
      </c>
      <c r="G6" s="34"/>
      <c r="H6" s="33"/>
      <c r="I6" s="33"/>
      <c r="J6" s="33">
        <f>$C$26*('E Balans VL '!D12+'E Balans VL '!E12)/100/3.6*1000000</f>
        <v>0</v>
      </c>
      <c r="K6" s="33"/>
      <c r="L6" s="33"/>
      <c r="M6" s="33"/>
      <c r="N6" s="33">
        <f>$C$26*'E Balans VL '!Y12/100/3.6*1000000</f>
        <v>1.8816639506862507</v>
      </c>
      <c r="O6" s="33"/>
      <c r="P6" s="33"/>
      <c r="R6" s="32"/>
    </row>
    <row r="7" spans="1:18">
      <c r="A7" s="32" t="s">
        <v>52</v>
      </c>
      <c r="B7" s="37">
        <f t="shared" ref="B7:B12" si="0">B27</f>
        <v>2867.2002173413898</v>
      </c>
      <c r="C7" s="33"/>
      <c r="D7" s="37">
        <f>IF(ISERROR(TER_horeca_gas_kWh/1000),0,TER_horeca_gas_kWh/1000)*0.902</f>
        <v>4936.0232907621439</v>
      </c>
      <c r="E7" s="33">
        <f>$C$27*'E Balans VL '!I9/100/3.6*1000000</f>
        <v>161.51015480517262</v>
      </c>
      <c r="F7" s="33">
        <f>$C$27*('E Balans VL '!L9+'E Balans VL '!N9)/100/3.6*1000000</f>
        <v>826.72888690842501</v>
      </c>
      <c r="G7" s="34"/>
      <c r="H7" s="33"/>
      <c r="I7" s="33"/>
      <c r="J7" s="33">
        <f>$C$27*('E Balans VL '!D9+'E Balans VL '!E9)/100/3.6*1000000</f>
        <v>0</v>
      </c>
      <c r="K7" s="33"/>
      <c r="L7" s="33"/>
      <c r="M7" s="33"/>
      <c r="N7" s="33">
        <f>$C$27*'E Balans VL '!Y9/100/3.6*1000000</f>
        <v>0.79161908063379205</v>
      </c>
      <c r="O7" s="33"/>
      <c r="P7" s="33"/>
      <c r="R7" s="32"/>
    </row>
    <row r="8" spans="1:18">
      <c r="A8" s="6" t="s">
        <v>51</v>
      </c>
      <c r="B8" s="37">
        <f t="shared" si="0"/>
        <v>29637.0735018374</v>
      </c>
      <c r="C8" s="33"/>
      <c r="D8" s="37">
        <f>IF(ISERROR(TER_handel_gas_kWh/1000),0,TER_handel_gas_kWh/1000)*0.902</f>
        <v>5177.702476012465</v>
      </c>
      <c r="E8" s="33">
        <f>$C$28*'E Balans VL '!I13/100/3.6*1000000</f>
        <v>427.17077774972984</v>
      </c>
      <c r="F8" s="33">
        <f>$C$28*('E Balans VL '!L13+'E Balans VL '!N13)/100/3.6*1000000</f>
        <v>5148.6498681370513</v>
      </c>
      <c r="G8" s="34"/>
      <c r="H8" s="33"/>
      <c r="I8" s="33"/>
      <c r="J8" s="33">
        <f>$C$28*('E Balans VL '!D13+'E Balans VL '!E13)/100/3.6*1000000</f>
        <v>0</v>
      </c>
      <c r="K8" s="33"/>
      <c r="L8" s="33"/>
      <c r="M8" s="33"/>
      <c r="N8" s="33">
        <f>$C$28*'E Balans VL '!Y13/100/3.6*1000000</f>
        <v>88.795971478492476</v>
      </c>
      <c r="O8" s="33"/>
      <c r="P8" s="33"/>
      <c r="R8" s="32"/>
    </row>
    <row r="9" spans="1:18">
      <c r="A9" s="32" t="s">
        <v>50</v>
      </c>
      <c r="B9" s="37">
        <f t="shared" si="0"/>
        <v>1689.9658038017501</v>
      </c>
      <c r="C9" s="33"/>
      <c r="D9" s="37">
        <f>IF(ISERROR(TER_gezond_gas_kWh/1000),0,TER_gezond_gas_kWh/1000)*0.902</f>
        <v>7216.783916044089</v>
      </c>
      <c r="E9" s="33">
        <f>$C$29*'E Balans VL '!I10/100/3.6*1000000</f>
        <v>1.8053215015107278</v>
      </c>
      <c r="F9" s="33">
        <f>$C$29*('E Balans VL '!L10+'E Balans VL '!N10)/100/3.6*1000000</f>
        <v>275.68478258813877</v>
      </c>
      <c r="G9" s="34"/>
      <c r="H9" s="33"/>
      <c r="I9" s="33"/>
      <c r="J9" s="33">
        <f>$C$29*('E Balans VL '!D10+'E Balans VL '!E10)/100/3.6*1000000</f>
        <v>0</v>
      </c>
      <c r="K9" s="33"/>
      <c r="L9" s="33"/>
      <c r="M9" s="33"/>
      <c r="N9" s="33">
        <f>$C$29*'E Balans VL '!Y10/100/3.6*1000000</f>
        <v>17.397233674888955</v>
      </c>
      <c r="O9" s="33"/>
      <c r="P9" s="33"/>
      <c r="R9" s="32"/>
    </row>
    <row r="10" spans="1:18">
      <c r="A10" s="32" t="s">
        <v>49</v>
      </c>
      <c r="B10" s="37">
        <f t="shared" si="0"/>
        <v>851.66893274632002</v>
      </c>
      <c r="C10" s="33"/>
      <c r="D10" s="37">
        <f>IF(ISERROR(TER_ander_gas_kWh/1000),0,TER_ander_gas_kWh/1000)*0.902</f>
        <v>1879.6790496298258</v>
      </c>
      <c r="E10" s="33">
        <f>$C$30*'E Balans VL '!I14/100/3.6*1000000</f>
        <v>3.916695873238802</v>
      </c>
      <c r="F10" s="33">
        <f>$C$30*('E Balans VL '!L14+'E Balans VL '!N14)/100/3.6*1000000</f>
        <v>255.27204319670628</v>
      </c>
      <c r="G10" s="34"/>
      <c r="H10" s="33"/>
      <c r="I10" s="33"/>
      <c r="J10" s="33">
        <f>$C$30*('E Balans VL '!D14+'E Balans VL '!E14)/100/3.6*1000000</f>
        <v>0</v>
      </c>
      <c r="K10" s="33"/>
      <c r="L10" s="33"/>
      <c r="M10" s="33"/>
      <c r="N10" s="33">
        <f>$C$30*'E Balans VL '!Y14/100/3.6*1000000</f>
        <v>592.81779651235502</v>
      </c>
      <c r="O10" s="33"/>
      <c r="P10" s="33"/>
      <c r="R10" s="32"/>
    </row>
    <row r="11" spans="1:18">
      <c r="A11" s="32" t="s">
        <v>54</v>
      </c>
      <c r="B11" s="37">
        <f t="shared" si="0"/>
        <v>776.08178107696097</v>
      </c>
      <c r="C11" s="33"/>
      <c r="D11" s="37">
        <f>IF(ISERROR(TER_onderwijs_gas_kWh/1000),0,TER_onderwijs_gas_kWh/1000)*0.902</f>
        <v>2248.3437995256181</v>
      </c>
      <c r="E11" s="33">
        <f>$C$31*'E Balans VL '!I11/100/3.6*1000000</f>
        <v>0.71991791351571222</v>
      </c>
      <c r="F11" s="33">
        <f>$C$31*('E Balans VL '!L11+'E Balans VL '!N11)/100/3.6*1000000</f>
        <v>272.61969273500796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14241.2115753691</v>
      </c>
      <c r="C12" s="33"/>
      <c r="D12" s="37">
        <f>IF(ISERROR(TER_rest_gas_kWh/1000),0,TER_rest_gas_kWh/1000)*0.902</f>
        <v>27203.644113598311</v>
      </c>
      <c r="E12" s="33">
        <f>$C$32*'E Balans VL '!I8/100/3.6*1000000</f>
        <v>172.73881645939412</v>
      </c>
      <c r="F12" s="33">
        <f>$C$32*('E Balans VL '!L8+'E Balans VL '!N8)/100/3.6*1000000</f>
        <v>2818.070219452125</v>
      </c>
      <c r="G12" s="34"/>
      <c r="H12" s="33"/>
      <c r="I12" s="33"/>
      <c r="J12" s="33">
        <f>$C$32*('E Balans VL '!D8+'E Balans VL '!E8)/100/3.6*1000000</f>
        <v>0</v>
      </c>
      <c r="K12" s="33"/>
      <c r="L12" s="33"/>
      <c r="M12" s="33"/>
      <c r="N12" s="33">
        <f>$C$32*'E Balans VL '!Y8/100/3.6*1000000</f>
        <v>1130.4707871177743</v>
      </c>
      <c r="O12" s="33"/>
      <c r="P12" s="33"/>
      <c r="R12" s="32"/>
    </row>
    <row r="13" spans="1:18">
      <c r="A13" s="16" t="s">
        <v>496</v>
      </c>
      <c r="B13" s="249">
        <f ca="1">'lokale energieproductie'!N65+'lokale energieproductie'!N58</f>
        <v>5400</v>
      </c>
      <c r="C13" s="249">
        <f ca="1">'lokale energieproductie'!O65+'lokale energieproductie'!O58</f>
        <v>7714.2857142857147</v>
      </c>
      <c r="D13" s="310">
        <f ca="1">('lokale energieproductie'!P58+'lokale energieproductie'!P65)*(-1)</f>
        <v>-15428.571428571429</v>
      </c>
      <c r="E13" s="250"/>
      <c r="F13" s="310">
        <f ca="1">('lokale energieproductie'!S58+'lokale energieproductie'!S65)*(-1)</f>
        <v>0</v>
      </c>
      <c r="G13" s="251"/>
      <c r="H13" s="250"/>
      <c r="I13" s="250"/>
      <c r="J13" s="250"/>
      <c r="K13" s="250"/>
      <c r="L13" s="310">
        <f ca="1">('lokale energieproductie'!U58+'lokale energieproductie'!T58+'lokale energieproductie'!U65+'lokale energieproductie'!T65)*(-1)</f>
        <v>0</v>
      </c>
      <c r="M13" s="250"/>
      <c r="N13" s="310">
        <f ca="1">('lokale energieproductie'!Q58+'lokale energieproductie'!R58+'lokale energieproductie'!V58+'lokale energieproductie'!Q65+'lokale energieproductie'!R65+'lokale energieproductie'!V65)*(-1)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58877.45758879192</v>
      </c>
      <c r="C16" s="21">
        <f t="shared" ca="1" si="1"/>
        <v>7714.2857142857147</v>
      </c>
      <c r="D16" s="21">
        <f t="shared" ca="1" si="1"/>
        <v>38753.031186212502</v>
      </c>
      <c r="E16" s="21">
        <f t="shared" si="1"/>
        <v>781.12679083479077</v>
      </c>
      <c r="F16" s="21">
        <f t="shared" ca="1" si="1"/>
        <v>10116.302729390532</v>
      </c>
      <c r="G16" s="21">
        <f t="shared" si="1"/>
        <v>0</v>
      </c>
      <c r="H16" s="21">
        <f t="shared" si="1"/>
        <v>0</v>
      </c>
      <c r="I16" s="21">
        <f t="shared" si="1"/>
        <v>0</v>
      </c>
      <c r="J16" s="21">
        <f t="shared" si="1"/>
        <v>0</v>
      </c>
      <c r="K16" s="21">
        <f t="shared" si="1"/>
        <v>0</v>
      </c>
      <c r="L16" s="21">
        <f t="shared" ca="1" si="1"/>
        <v>0</v>
      </c>
      <c r="M16" s="21">
        <f t="shared" si="1"/>
        <v>0</v>
      </c>
      <c r="N16" s="21">
        <f t="shared" ca="1" si="1"/>
        <v>1832.1550718148308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0.2056191219920516</v>
      </c>
      <c r="C18" s="25">
        <f ca="1">'EF ele_warmte'!B22</f>
        <v>0.21633857029005302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12106.331134531651</v>
      </c>
      <c r="C20" s="23">
        <f t="shared" ref="C20:P20" ca="1" si="2">C16*C18</f>
        <v>1668.897542237552</v>
      </c>
      <c r="D20" s="23">
        <f t="shared" ca="1" si="2"/>
        <v>7828.1122996149261</v>
      </c>
      <c r="E20" s="23">
        <f t="shared" si="2"/>
        <v>177.31578151949751</v>
      </c>
      <c r="F20" s="23">
        <f t="shared" ca="1" si="2"/>
        <v>2701.0528287472725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3414.2557766189998</v>
      </c>
      <c r="C26" s="39">
        <f>IF(ISERROR(B26*3.6/1000000/'E Balans VL '!Z12*100),0,B26*3.6/1000000/'E Balans VL '!Z12*100)</f>
        <v>7.2520483897845975E-2</v>
      </c>
      <c r="D26" s="239" t="s">
        <v>689</v>
      </c>
      <c r="F26" s="6"/>
    </row>
    <row r="27" spans="1:18">
      <c r="A27" s="233" t="s">
        <v>52</v>
      </c>
      <c r="B27" s="33">
        <f>IF(ISERROR(TER_horeca_ele_kWh/1000),0,TER_horeca_ele_kWh/1000)</f>
        <v>2867.2002173413898</v>
      </c>
      <c r="C27" s="39">
        <f>IF(ISERROR(B27*3.6/1000000/'E Balans VL '!Z9*100),0,B27*3.6/1000000/'E Balans VL '!Z9*100)</f>
        <v>0.22294227837210637</v>
      </c>
      <c r="D27" s="239" t="s">
        <v>689</v>
      </c>
      <c r="F27" s="6"/>
    </row>
    <row r="28" spans="1:18">
      <c r="A28" s="173" t="s">
        <v>51</v>
      </c>
      <c r="B28" s="33">
        <f>IF(ISERROR(TER_handel_ele_kWh/1000),0,TER_handel_ele_kWh/1000)</f>
        <v>29637.0735018374</v>
      </c>
      <c r="C28" s="39">
        <f>IF(ISERROR(B28*3.6/1000000/'E Balans VL '!Z13*100),0,B28*3.6/1000000/'E Balans VL '!Z13*100)</f>
        <v>0.84795155223392138</v>
      </c>
      <c r="D28" s="239" t="s">
        <v>689</v>
      </c>
      <c r="F28" s="6"/>
    </row>
    <row r="29" spans="1:18">
      <c r="A29" s="233" t="s">
        <v>50</v>
      </c>
      <c r="B29" s="33">
        <f>IF(ISERROR(TER_gezond_ele_kWh/1000),0,TER_gezond_ele_kWh/1000)</f>
        <v>1689.9658038017501</v>
      </c>
      <c r="C29" s="39">
        <f>IF(ISERROR(B29*3.6/1000000/'E Balans VL '!Z10*100),0,B29*3.6/1000000/'E Balans VL '!Z10*100)</f>
        <v>0.18424554270993684</v>
      </c>
      <c r="D29" s="239" t="s">
        <v>689</v>
      </c>
      <c r="F29" s="6"/>
    </row>
    <row r="30" spans="1:18">
      <c r="A30" s="233" t="s">
        <v>49</v>
      </c>
      <c r="B30" s="33">
        <f>IF(ISERROR(TER_ander_ele_kWh/1000),0,TER_ander_ele_kWh/1000)</f>
        <v>851.66893274632002</v>
      </c>
      <c r="C30" s="39">
        <f>IF(ISERROR(B30*3.6/1000000/'E Balans VL '!Z14*100),0,B30*3.6/1000000/'E Balans VL '!Z14*100)</f>
        <v>6.2323200533199868E-2</v>
      </c>
      <c r="D30" s="239" t="s">
        <v>689</v>
      </c>
      <c r="F30" s="6"/>
    </row>
    <row r="31" spans="1:18">
      <c r="A31" s="233" t="s">
        <v>54</v>
      </c>
      <c r="B31" s="33">
        <f>IF(ISERROR(TER_onderwijs_ele_kWh/1000),0,TER_onderwijs_ele_kWh/1000)</f>
        <v>776.08178107696097</v>
      </c>
      <c r="C31" s="39">
        <f>IF(ISERROR(B31*3.6/1000000/'E Balans VL '!Z11*100),0,B31*3.6/1000000/'E Balans VL '!Z11*100)</f>
        <v>0.15587660203174675</v>
      </c>
      <c r="D31" s="239" t="s">
        <v>689</v>
      </c>
    </row>
    <row r="32" spans="1:18">
      <c r="A32" s="233" t="s">
        <v>259</v>
      </c>
      <c r="B32" s="33">
        <f>IF(ISERROR(TER_rest_ele_kWh/1000),0,TER_rest_ele_kWh/1000)</f>
        <v>14241.2115753691</v>
      </c>
      <c r="C32" s="39">
        <f>IF(ISERROR(B32*3.6/1000000/'E Balans VL '!Z8*100),0,B32*3.6/1000000/'E Balans VL '!Z8*100)</f>
        <v>0.11605723178707418</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5514.2339510498323</v>
      </c>
      <c r="C5" s="17">
        <f>IF(ISERROR('Eigen informatie GS &amp; warmtenet'!B59),0,'Eigen informatie GS &amp; warmtenet'!B59)</f>
        <v>0</v>
      </c>
      <c r="D5" s="30">
        <f>SUM(D6:D15)</f>
        <v>8098.9505441728015</v>
      </c>
      <c r="E5" s="17">
        <f>SUM(E6:E15)</f>
        <v>558.03434391545557</v>
      </c>
      <c r="F5" s="17">
        <f>SUM(F6:F15)</f>
        <v>2752.4643246561172</v>
      </c>
      <c r="G5" s="18"/>
      <c r="H5" s="17"/>
      <c r="I5" s="17"/>
      <c r="J5" s="17">
        <f>SUM(J6:J15)</f>
        <v>7.8381522378213058</v>
      </c>
      <c r="K5" s="17"/>
      <c r="L5" s="17"/>
      <c r="M5" s="17"/>
      <c r="N5" s="17">
        <f>SUM(N6:N15)</f>
        <v>476.06625392401611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558.22736916521399</v>
      </c>
      <c r="C8" s="33"/>
      <c r="D8" s="37">
        <f>IF( ISERROR(IND_metaal_Gas_kWH/1000),0,IND_metaal_Gas_kWH/1000)*0.902</f>
        <v>339.33148505416949</v>
      </c>
      <c r="E8" s="33">
        <f>C30*'E Balans VL '!I18/100/3.6*1000000</f>
        <v>16.034385370916919</v>
      </c>
      <c r="F8" s="33">
        <f>C30*'E Balans VL '!L18/100/3.6*1000000+C30*'E Balans VL '!N18/100/3.6*1000000</f>
        <v>143.17458393564732</v>
      </c>
      <c r="G8" s="34"/>
      <c r="H8" s="33"/>
      <c r="I8" s="33"/>
      <c r="J8" s="40">
        <f>C30*'E Balans VL '!D18/100/3.6*1000000+C30*'E Balans VL '!E18/100/3.6*1000000</f>
        <v>0</v>
      </c>
      <c r="K8" s="33"/>
      <c r="L8" s="33"/>
      <c r="M8" s="33"/>
      <c r="N8" s="33">
        <f>C30*'E Balans VL '!Y18/100/3.6*1000000</f>
        <v>15.157012576338289</v>
      </c>
      <c r="O8" s="33"/>
      <c r="P8" s="33"/>
      <c r="R8" s="32"/>
    </row>
    <row r="9" spans="1:18">
      <c r="A9" s="6" t="s">
        <v>32</v>
      </c>
      <c r="B9" s="37">
        <f t="shared" si="0"/>
        <v>1144.7981599649702</v>
      </c>
      <c r="C9" s="33"/>
      <c r="D9" s="37">
        <f>IF( ISERROR(IND_andere_gas_kWh/1000),0,IND_andere_gas_kWh/1000)*0.902</f>
        <v>5179.8251675268721</v>
      </c>
      <c r="E9" s="33">
        <f>C31*'E Balans VL '!I19/100/3.6*1000000</f>
        <v>309.8687147038562</v>
      </c>
      <c r="F9" s="33">
        <f>C31*'E Balans VL '!L19/100/3.6*1000000+C31*'E Balans VL '!N19/100/3.6*1000000</f>
        <v>762.55671948799375</v>
      </c>
      <c r="G9" s="34"/>
      <c r="H9" s="33"/>
      <c r="I9" s="33"/>
      <c r="J9" s="40">
        <f>C31*'E Balans VL '!D19/100/3.6*1000000+C31*'E Balans VL '!E19/100/3.6*1000000</f>
        <v>0</v>
      </c>
      <c r="K9" s="33"/>
      <c r="L9" s="33"/>
      <c r="M9" s="33"/>
      <c r="N9" s="33">
        <f>C31*'E Balans VL '!Y19/100/3.6*1000000</f>
        <v>96.785101003208055</v>
      </c>
      <c r="O9" s="33"/>
      <c r="P9" s="33"/>
      <c r="R9" s="32"/>
    </row>
    <row r="10" spans="1:18">
      <c r="A10" s="6" t="s">
        <v>40</v>
      </c>
      <c r="B10" s="37">
        <f t="shared" si="0"/>
        <v>756.99615909620809</v>
      </c>
      <c r="C10" s="33"/>
      <c r="D10" s="37">
        <f>IF( ISERROR(IND_voed_gas_kWh/1000),0,IND_voed_gas_kWh/1000)*0.902</f>
        <v>302.26029624690784</v>
      </c>
      <c r="E10" s="33">
        <f>C32*'E Balans VL '!I20/100/3.6*1000000</f>
        <v>61.742345889307138</v>
      </c>
      <c r="F10" s="33">
        <f>C32*'E Balans VL '!L20/100/3.6*1000000+C32*'E Balans VL '!N20/100/3.6*1000000</f>
        <v>1128.749953921892</v>
      </c>
      <c r="G10" s="34"/>
      <c r="H10" s="33"/>
      <c r="I10" s="33"/>
      <c r="J10" s="40">
        <f>C32*'E Balans VL '!D20/100/3.6*1000000+C32*'E Balans VL '!E20/100/3.6*1000000</f>
        <v>1.0014140314772673E-2</v>
      </c>
      <c r="K10" s="33"/>
      <c r="L10" s="33"/>
      <c r="M10" s="33"/>
      <c r="N10" s="33">
        <f>C32*'E Balans VL '!Y20/100/3.6*1000000</f>
        <v>222.37876002825686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3054.2122628234401</v>
      </c>
      <c r="C15" s="33"/>
      <c r="D15" s="37">
        <f>IF( ISERROR(IND_rest_gas_kWh/1000),0,IND_rest_gas_kWh/1000)*0.902</f>
        <v>2277.5335953448521</v>
      </c>
      <c r="E15" s="33">
        <f>C37*'E Balans VL '!I15/100/3.6*1000000</f>
        <v>170.38889795137527</v>
      </c>
      <c r="F15" s="33">
        <f>C37*'E Balans VL '!L15/100/3.6*1000000+C37*'E Balans VL '!N15/100/3.6*1000000</f>
        <v>717.98306731058392</v>
      </c>
      <c r="G15" s="34"/>
      <c r="H15" s="33"/>
      <c r="I15" s="33"/>
      <c r="J15" s="40">
        <f>C37*'E Balans VL '!D15/100/3.6*1000000+C37*'E Balans VL '!E15/100/3.6*1000000</f>
        <v>7.8281380975065327</v>
      </c>
      <c r="K15" s="33"/>
      <c r="L15" s="33"/>
      <c r="M15" s="33"/>
      <c r="N15" s="33">
        <f>C37*'E Balans VL '!Y15/100/3.6*1000000</f>
        <v>141.74538031621287</v>
      </c>
      <c r="O15" s="33"/>
      <c r="P15" s="33"/>
      <c r="R15" s="32"/>
    </row>
    <row r="16" spans="1:18">
      <c r="A16" s="16" t="s">
        <v>496</v>
      </c>
      <c r="B16" s="249">
        <f>'lokale energieproductie'!N64+'lokale energieproductie'!N57</f>
        <v>0</v>
      </c>
      <c r="C16" s="249">
        <f>'lokale energieproductie'!O64+'lokale energieproductie'!O57</f>
        <v>0</v>
      </c>
      <c r="D16" s="310">
        <f>('lokale energieproductie'!P57+'lokale energieproductie'!P64)*(-1)</f>
        <v>0</v>
      </c>
      <c r="E16" s="250"/>
      <c r="F16" s="310">
        <f>('lokale energieproductie'!S57+'lokale energieproductie'!S64)*(-1)</f>
        <v>0</v>
      </c>
      <c r="G16" s="251"/>
      <c r="H16" s="250"/>
      <c r="I16" s="250"/>
      <c r="J16" s="250"/>
      <c r="K16" s="250"/>
      <c r="L16" s="310">
        <f>('lokale energieproductie'!T57+'lokale energieproductie'!U57+'lokale energieproductie'!T64+'lokale energieproductie'!U64)*(-1)</f>
        <v>0</v>
      </c>
      <c r="M16" s="250"/>
      <c r="N16" s="310">
        <f>('lokale energieproductie'!Q57+'lokale energieproductie'!R57+'lokale energieproductie'!V57+'lokale energieproductie'!Q64+'lokale energieproductie'!R64+'lokale energieproductie'!V64)*(-1)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5514.2339510498323</v>
      </c>
      <c r="C18" s="21">
        <f>C5+C16</f>
        <v>0</v>
      </c>
      <c r="D18" s="21">
        <f>MAX((D5+D16),0)</f>
        <v>8098.9505441728015</v>
      </c>
      <c r="E18" s="21">
        <f>MAX((E5+E16),0)</f>
        <v>558.03434391545557</v>
      </c>
      <c r="F18" s="21">
        <f>MAX((F5+F16),0)</f>
        <v>2752.4643246561172</v>
      </c>
      <c r="G18" s="21"/>
      <c r="H18" s="21"/>
      <c r="I18" s="21"/>
      <c r="J18" s="21">
        <f>MAX((J5+J16),0)</f>
        <v>7.8381522378213058</v>
      </c>
      <c r="K18" s="21"/>
      <c r="L18" s="21">
        <f>MAX((L5+L16),0)</f>
        <v>0</v>
      </c>
      <c r="M18" s="21"/>
      <c r="N18" s="21">
        <f>MAX((N5+N16),0)</f>
        <v>476.06625392401611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0.2056191219920516</v>
      </c>
      <c r="C20" s="25">
        <f ca="1">'EF ele_warmte'!B22</f>
        <v>0.21633857029005302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1133.8319434736281</v>
      </c>
      <c r="C22" s="23">
        <f ca="1">C18*C20</f>
        <v>0</v>
      </c>
      <c r="D22" s="23">
        <f>D18*D20</f>
        <v>1635.988009922906</v>
      </c>
      <c r="E22" s="23">
        <f>E18*E20</f>
        <v>126.67379606880841</v>
      </c>
      <c r="F22" s="23">
        <f>F18*F20</f>
        <v>734.9079746831834</v>
      </c>
      <c r="G22" s="23"/>
      <c r="H22" s="23"/>
      <c r="I22" s="23"/>
      <c r="J22" s="23">
        <f>J18*J20</f>
        <v>2.774705892188742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558.22736916521399</v>
      </c>
      <c r="C30" s="39">
        <f>IF(ISERROR(B30*3.6/1000000/'E Balans VL '!Z18*100),0,B30*3.6/1000000/'E Balans VL '!Z18*100)</f>
        <v>5.4928148123182079E-2</v>
      </c>
      <c r="D30" s="239" t="s">
        <v>689</v>
      </c>
    </row>
    <row r="31" spans="1:18">
      <c r="A31" s="6" t="s">
        <v>32</v>
      </c>
      <c r="B31" s="37">
        <f>IF( ISERROR(IND_ander_ele_kWh/1000),0,IND_ander_ele_kWh/1000)</f>
        <v>1144.7981599649702</v>
      </c>
      <c r="C31" s="39">
        <f>IF(ISERROR(B31*3.6/1000000/'E Balans VL '!Z19*100),0,B31*3.6/1000000/'E Balans VL '!Z19*100)</f>
        <v>4.9855046669977837E-2</v>
      </c>
      <c r="D31" s="239" t="s">
        <v>689</v>
      </c>
    </row>
    <row r="32" spans="1:18">
      <c r="A32" s="173" t="s">
        <v>40</v>
      </c>
      <c r="B32" s="37">
        <f>IF( ISERROR(IND_voed_ele_kWh/1000),0,IND_voed_ele_kWh/1000)</f>
        <v>756.99615909620809</v>
      </c>
      <c r="C32" s="39">
        <f>IF(ISERROR(B32*3.6/1000000/'E Balans VL '!Z20*100),0,B32*3.6/1000000/'E Balans VL '!Z20*100)</f>
        <v>0.14362910411625579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3054.2122628234401</v>
      </c>
      <c r="C37" s="39">
        <f>IF(ISERROR(B37*3.6/1000000/'E Balans VL '!Z15*100),0,B37*3.6/1000000/'E Balans VL '!Z15*100)</f>
        <v>2.3536456830972836E-2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6416.9821020043601</v>
      </c>
      <c r="C5" s="17">
        <f>'Eigen informatie GS &amp; warmtenet'!B60</f>
        <v>0</v>
      </c>
      <c r="D5" s="30">
        <f>IF(ISERROR(SUM(LB_lb_gas_kWh,LB_rest_gas_kWh)/1000),0,SUM(LB_lb_gas_kWh,LB_rest_gas_kWh)/1000)*0.902</f>
        <v>445031.53769432515</v>
      </c>
      <c r="E5" s="17">
        <f>B17*'E Balans VL '!I25/3.6*1000000/100</f>
        <v>80.862241239003467</v>
      </c>
      <c r="F5" s="17">
        <f>B17*('E Balans VL '!L25/3.6*1000000+'E Balans VL '!N25/3.6*1000000)/100</f>
        <v>22140.195801986658</v>
      </c>
      <c r="G5" s="18"/>
      <c r="H5" s="17"/>
      <c r="I5" s="17"/>
      <c r="J5" s="17">
        <f>('E Balans VL '!D25+'E Balans VL '!E25)/3.6*1000000*landbouw!B17/100</f>
        <v>965.04116246341289</v>
      </c>
      <c r="K5" s="17"/>
      <c r="L5" s="17">
        <f>L6*(-1)</f>
        <v>46080</v>
      </c>
      <c r="M5" s="17"/>
      <c r="N5" s="17">
        <f>N6*(-1)</f>
        <v>115.71428571428572</v>
      </c>
      <c r="O5" s="17"/>
      <c r="P5" s="17"/>
      <c r="R5" s="32"/>
    </row>
    <row r="6" spans="1:18">
      <c r="A6" s="16" t="s">
        <v>496</v>
      </c>
      <c r="B6" s="17" t="s">
        <v>210</v>
      </c>
      <c r="C6" s="17">
        <f>'lokale energieproductie'!O66+'lokale energieproductie'!O59</f>
        <v>226171.92857142849</v>
      </c>
      <c r="D6" s="310">
        <f>('lokale energieproductie'!P59+'lokale energieproductie'!P66)*(-1)</f>
        <v>-400307.14285714284</v>
      </c>
      <c r="E6" s="250"/>
      <c r="F6" s="310">
        <f>('lokale energieproductie'!S59+'lokale energieproductie'!S66)*(-1)</f>
        <v>-11610</v>
      </c>
      <c r="G6" s="251"/>
      <c r="H6" s="250"/>
      <c r="I6" s="250"/>
      <c r="J6" s="250"/>
      <c r="K6" s="250"/>
      <c r="L6" s="310">
        <f>('lokale energieproductie'!T59+'lokale energieproductie'!U59+'lokale energieproductie'!T66+'lokale energieproductie'!U66)*(-1)</f>
        <v>-46080</v>
      </c>
      <c r="M6" s="250"/>
      <c r="N6" s="1030">
        <f>('lokale energieproductie'!V59+'lokale energieproductie'!R59+'lokale energieproductie'!Q59+'lokale energieproductie'!Q66+'lokale energieproductie'!R66+'lokale energieproductie'!V66)*(-1)</f>
        <v>-115.71428571428572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6416.9821020043601</v>
      </c>
      <c r="C8" s="21">
        <f>C5+C6</f>
        <v>226171.92857142849</v>
      </c>
      <c r="D8" s="21">
        <f>MAX((D5+D6),0)</f>
        <v>44724.394837182306</v>
      </c>
      <c r="E8" s="21">
        <f>MAX((E5+E6),0)</f>
        <v>80.862241239003467</v>
      </c>
      <c r="F8" s="21">
        <f>MAX((F5+F6),0)</f>
        <v>10530.195801986658</v>
      </c>
      <c r="G8" s="21"/>
      <c r="H8" s="21"/>
      <c r="I8" s="21"/>
      <c r="J8" s="21">
        <f>MAX((J5+J6),0)</f>
        <v>965.04116246341289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0.2056191219920516</v>
      </c>
      <c r="C10" s="31">
        <f ca="1">'EF ele_warmte'!B22</f>
        <v>0.21633857029005302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1319.4542256528462</v>
      </c>
      <c r="C12" s="23">
        <f ca="1">C8*C10</f>
        <v>48929.711666886833</v>
      </c>
      <c r="D12" s="23">
        <f>D8*D10</f>
        <v>9034.3277571108265</v>
      </c>
      <c r="E12" s="23">
        <f>E8*E10</f>
        <v>18.355728761253786</v>
      </c>
      <c r="F12" s="23">
        <f>F8*F10</f>
        <v>2811.5622791304377</v>
      </c>
      <c r="G12" s="23"/>
      <c r="H12" s="23"/>
      <c r="I12" s="23"/>
      <c r="J12" s="23">
        <f>J8*J10</f>
        <v>341.62457151204813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0.89496675169370654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105.6738626731152</v>
      </c>
      <c r="C26" s="249">
        <f>B26*'GWP N2O_CH4'!B5</f>
        <v>2219.1511161354192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17.509821973568414</v>
      </c>
      <c r="C27" s="249">
        <f>B27*'GWP N2O_CH4'!B5</f>
        <v>367.70626144493667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1.2661684086635367</v>
      </c>
      <c r="C28" s="249">
        <f>B28*'GWP N2O_CH4'!B4</f>
        <v>392.51220668569641</v>
      </c>
      <c r="D28" s="50"/>
    </row>
    <row r="29" spans="1:4">
      <c r="A29" s="41" t="s">
        <v>276</v>
      </c>
      <c r="B29" s="249">
        <f>B34*'ha_N2O bodem landbouw'!B4</f>
        <v>6.3616745982646252</v>
      </c>
      <c r="C29" s="249">
        <f>B29*'GWP N2O_CH4'!B4</f>
        <v>1972.1191254620337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1.5884465795599051E-3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1.161175997400525E-5</v>
      </c>
      <c r="C5" s="444" t="s">
        <v>210</v>
      </c>
      <c r="D5" s="429">
        <f>SUM(D6:D11)</f>
        <v>1.9543677861063988E-5</v>
      </c>
      <c r="E5" s="429">
        <f>SUM(E6:E11)</f>
        <v>6.8889717132694813E-4</v>
      </c>
      <c r="F5" s="442" t="s">
        <v>210</v>
      </c>
      <c r="G5" s="429">
        <f>SUM(G6:G11)</f>
        <v>0.18049274433177032</v>
      </c>
      <c r="H5" s="429">
        <f>SUM(H6:H11)</f>
        <v>3.5579969762990889E-2</v>
      </c>
      <c r="I5" s="444" t="s">
        <v>210</v>
      </c>
      <c r="J5" s="444" t="s">
        <v>210</v>
      </c>
      <c r="K5" s="444" t="s">
        <v>210</v>
      </c>
      <c r="L5" s="444" t="s">
        <v>210</v>
      </c>
      <c r="M5" s="429">
        <f>SUM(M6:M11)</f>
        <v>9.771344104576505E-3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9.35090599949515E-6</v>
      </c>
      <c r="C6" s="883"/>
      <c r="D6" s="883">
        <f>vkm_GW_PW*SUMIFS(TableVerdeelsleutelVkm[CNG],TableVerdeelsleutelVkm[Voertuigtype],"Lichte voertuigen")*SUMIFS(TableECFTransport[EnergieConsumptieFactor (PJ per km)],TableECFTransport[Index],CONCATENATE($A6,"_CNG_CNG"))</f>
        <v>1.3857764168682554E-5</v>
      </c>
      <c r="E6" s="883">
        <f>vkm_GW_PW*SUMIFS(TableVerdeelsleutelVkm[LPG],TableVerdeelsleutelVkm[Voertuigtype],"Lichte voertuigen")*SUMIFS(TableECFTransport[EnergieConsumptieFactor (PJ per km)],TableECFTransport[Index],CONCATENATE($A6,"_LPG_LPG"))</f>
        <v>4.9633447572607645E-4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9.9888806351940002E-2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2.551802333881004E-2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5.6733356755422773E-3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3.9896315723250593E-2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9.2696477368379041E-7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1.8013809278969539E-3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2.2608539745101001E-6</v>
      </c>
      <c r="C8" s="883"/>
      <c r="D8" s="432">
        <f>vkm_NGW_PW*SUMIFS(TableVerdeelsleutelVkm[CNG],TableVerdeelsleutelVkm[Voertuigtype],"Lichte voertuigen")*SUMIFS(TableECFTransport[EnergieConsumptieFactor (PJ per km)],TableECFTransport[Index],CONCATENATE($A8,"_CNG_CNG"))</f>
        <v>5.6859136923814352E-6</v>
      </c>
      <c r="E8" s="432">
        <f>vkm_NGW_PW*SUMIFS(TableVerdeelsleutelVkm[LPG],TableVerdeelsleutelVkm[Voertuigtype],"Lichte voertuigen")*SUMIFS(TableECFTransport[EnergieConsumptieFactor (PJ per km)],TableECFTransport[Index],CONCATENATE($A8,"_LPG_LPG"))</f>
        <v>1.9256269560087171E-4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3.6812993284481066E-2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1.0060914574250153E-2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2.1207782677550692E-3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3.8946289720986622E-3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1.0488515701186761E-7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1.7584923338220508E-4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3.2254888816681251</v>
      </c>
      <c r="C14" s="21"/>
      <c r="D14" s="21">
        <f t="shared" ref="D14:M14" si="0">((D5)*10^9/3600)+D12</f>
        <v>5.428799405851108</v>
      </c>
      <c r="E14" s="21">
        <f t="shared" si="0"/>
        <v>191.3603253685967</v>
      </c>
      <c r="F14" s="21"/>
      <c r="G14" s="21">
        <f t="shared" si="0"/>
        <v>50136.873425491758</v>
      </c>
      <c r="H14" s="21">
        <f t="shared" si="0"/>
        <v>9883.3249341641367</v>
      </c>
      <c r="I14" s="21"/>
      <c r="J14" s="21"/>
      <c r="K14" s="21"/>
      <c r="L14" s="21"/>
      <c r="M14" s="21">
        <f t="shared" si="0"/>
        <v>2714.2622512712514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0.2056191219920516</v>
      </c>
      <c r="C16" s="56">
        <f ca="1">'EF ele_warmte'!B22</f>
        <v>0.21633857029005302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0.66322219184372433</v>
      </c>
      <c r="C18" s="23"/>
      <c r="D18" s="23">
        <f t="shared" ref="D18:M18" si="1">D14*D16</f>
        <v>1.0966174799819239</v>
      </c>
      <c r="E18" s="23">
        <f t="shared" si="1"/>
        <v>43.438793858671453</v>
      </c>
      <c r="F18" s="23"/>
      <c r="G18" s="23">
        <f t="shared" si="1"/>
        <v>13386.5452046063</v>
      </c>
      <c r="H18" s="23">
        <f t="shared" si="1"/>
        <v>2460.94790860687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8.8521041781680927E-3</v>
      </c>
      <c r="H50" s="321">
        <f t="shared" si="2"/>
        <v>0</v>
      </c>
      <c r="I50" s="321">
        <f t="shared" si="2"/>
        <v>0</v>
      </c>
      <c r="J50" s="321">
        <f t="shared" si="2"/>
        <v>0</v>
      </c>
      <c r="K50" s="321">
        <f t="shared" si="2"/>
        <v>0</v>
      </c>
      <c r="L50" s="321">
        <f t="shared" si="2"/>
        <v>0</v>
      </c>
      <c r="M50" s="321">
        <f t="shared" si="2"/>
        <v>3.940144802468606E-4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8.8521041781680927E-3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3.940144802468606E-4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2458.9178272689146</v>
      </c>
      <c r="H54" s="21">
        <f t="shared" si="3"/>
        <v>0</v>
      </c>
      <c r="I54" s="21">
        <f t="shared" si="3"/>
        <v>0</v>
      </c>
      <c r="J54" s="21">
        <f t="shared" si="3"/>
        <v>0</v>
      </c>
      <c r="K54" s="21">
        <f t="shared" si="3"/>
        <v>0</v>
      </c>
      <c r="L54" s="21">
        <f t="shared" si="3"/>
        <v>0</v>
      </c>
      <c r="M54" s="21">
        <f t="shared" si="3"/>
        <v>109.44846673523905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0.2056191219920516</v>
      </c>
      <c r="C56" s="56">
        <f ca="1">'EF ele_warmte'!B22</f>
        <v>0.21633857029005302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656.53105988080029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60514.273588791919</v>
      </c>
      <c r="D10" s="686">
        <f ca="1">tertiair!C16</f>
        <v>7714.2857142857147</v>
      </c>
      <c r="E10" s="686">
        <f ca="1">tertiair!D16</f>
        <v>38753.031186212502</v>
      </c>
      <c r="F10" s="686">
        <f>tertiair!E16</f>
        <v>781.12679083479077</v>
      </c>
      <c r="G10" s="686">
        <f ca="1">tertiair!F16</f>
        <v>10116.302729390532</v>
      </c>
      <c r="H10" s="686">
        <f>tertiair!G16</f>
        <v>0</v>
      </c>
      <c r="I10" s="686">
        <f>tertiair!H16</f>
        <v>0</v>
      </c>
      <c r="J10" s="686">
        <f>tertiair!I16</f>
        <v>0</v>
      </c>
      <c r="K10" s="686">
        <f>tertiair!J16</f>
        <v>0</v>
      </c>
      <c r="L10" s="686">
        <f>tertiair!K16</f>
        <v>0</v>
      </c>
      <c r="M10" s="686">
        <f ca="1">tertiair!L16</f>
        <v>0</v>
      </c>
      <c r="N10" s="686">
        <f>tertiair!M16</f>
        <v>0</v>
      </c>
      <c r="O10" s="686">
        <f ca="1">tertiair!N16</f>
        <v>1832.1550718148308</v>
      </c>
      <c r="P10" s="686">
        <f>tertiair!O16</f>
        <v>4.6900000000000004</v>
      </c>
      <c r="Q10" s="687">
        <f>tertiair!P16</f>
        <v>19.066666666666666</v>
      </c>
      <c r="R10" s="689">
        <f ca="1">SUM(C10:Q10)</f>
        <v>119734.93174799696</v>
      </c>
      <c r="S10" s="67"/>
    </row>
    <row r="11" spans="1:19" s="454" customFormat="1">
      <c r="A11" s="801" t="s">
        <v>224</v>
      </c>
      <c r="B11" s="806"/>
      <c r="C11" s="686">
        <f>huishoudens!B8</f>
        <v>36229.375356780576</v>
      </c>
      <c r="D11" s="686">
        <f>huishoudens!C8</f>
        <v>0</v>
      </c>
      <c r="E11" s="686">
        <f>huishoudens!D8</f>
        <v>88617.801465884593</v>
      </c>
      <c r="F11" s="686">
        <f>huishoudens!E8</f>
        <v>3743.7981855759535</v>
      </c>
      <c r="G11" s="686">
        <f>huishoudens!F8</f>
        <v>34986.426082473576</v>
      </c>
      <c r="H11" s="686">
        <f>huishoudens!G8</f>
        <v>0</v>
      </c>
      <c r="I11" s="686">
        <f>huishoudens!H8</f>
        <v>0</v>
      </c>
      <c r="J11" s="686">
        <f>huishoudens!I8</f>
        <v>0</v>
      </c>
      <c r="K11" s="686">
        <f>huishoudens!J8</f>
        <v>1253.9083988154116</v>
      </c>
      <c r="L11" s="686">
        <f>huishoudens!K8</f>
        <v>0</v>
      </c>
      <c r="M11" s="686">
        <f>huishoudens!L8</f>
        <v>0</v>
      </c>
      <c r="N11" s="686">
        <f>huishoudens!M8</f>
        <v>0</v>
      </c>
      <c r="O11" s="686">
        <f>huishoudens!N8</f>
        <v>10764.540899628346</v>
      </c>
      <c r="P11" s="686">
        <f>huishoudens!O8</f>
        <v>247.00666666666669</v>
      </c>
      <c r="Q11" s="687">
        <f>huishoudens!P8</f>
        <v>629.20000000000005</v>
      </c>
      <c r="R11" s="689">
        <f>SUM(C11:Q11)</f>
        <v>176472.05705582511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5514.2339510498323</v>
      </c>
      <c r="D13" s="686">
        <f>industrie!C18</f>
        <v>0</v>
      </c>
      <c r="E13" s="686">
        <f>industrie!D18</f>
        <v>8098.9505441728015</v>
      </c>
      <c r="F13" s="686">
        <f>industrie!E18</f>
        <v>558.03434391545557</v>
      </c>
      <c r="G13" s="686">
        <f>industrie!F18</f>
        <v>2752.4643246561172</v>
      </c>
      <c r="H13" s="686">
        <f>industrie!G18</f>
        <v>0</v>
      </c>
      <c r="I13" s="686">
        <f>industrie!H18</f>
        <v>0</v>
      </c>
      <c r="J13" s="686">
        <f>industrie!I18</f>
        <v>0</v>
      </c>
      <c r="K13" s="686">
        <f>industrie!J18</f>
        <v>7.8381522378213058</v>
      </c>
      <c r="L13" s="686">
        <f>industrie!K18</f>
        <v>0</v>
      </c>
      <c r="M13" s="686">
        <f>industrie!L18</f>
        <v>0</v>
      </c>
      <c r="N13" s="686">
        <f>industrie!M18</f>
        <v>0</v>
      </c>
      <c r="O13" s="686">
        <f>industrie!N18</f>
        <v>476.06625392401611</v>
      </c>
      <c r="P13" s="686">
        <f>industrie!O18</f>
        <v>0</v>
      </c>
      <c r="Q13" s="687">
        <f>industrie!P18</f>
        <v>0</v>
      </c>
      <c r="R13" s="689">
        <f>SUM(C13:Q13)</f>
        <v>17407.587569956046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102257.88289662232</v>
      </c>
      <c r="D16" s="721">
        <f t="shared" ref="D16:R16" ca="1" si="0">SUM(D9:D15)</f>
        <v>7714.2857142857147</v>
      </c>
      <c r="E16" s="721">
        <f t="shared" ca="1" si="0"/>
        <v>135469.78319626991</v>
      </c>
      <c r="F16" s="721">
        <f t="shared" si="0"/>
        <v>5082.9593203262002</v>
      </c>
      <c r="G16" s="721">
        <f t="shared" ca="1" si="0"/>
        <v>47855.193136520225</v>
      </c>
      <c r="H16" s="721">
        <f t="shared" si="0"/>
        <v>0</v>
      </c>
      <c r="I16" s="721">
        <f t="shared" si="0"/>
        <v>0</v>
      </c>
      <c r="J16" s="721">
        <f t="shared" si="0"/>
        <v>0</v>
      </c>
      <c r="K16" s="721">
        <f t="shared" si="0"/>
        <v>1261.7465510532329</v>
      </c>
      <c r="L16" s="721">
        <f t="shared" si="0"/>
        <v>0</v>
      </c>
      <c r="M16" s="721">
        <f t="shared" ca="1" si="0"/>
        <v>0</v>
      </c>
      <c r="N16" s="721">
        <f t="shared" si="0"/>
        <v>0</v>
      </c>
      <c r="O16" s="721">
        <f t="shared" ca="1" si="0"/>
        <v>13072.762225367193</v>
      </c>
      <c r="P16" s="721">
        <f t="shared" si="0"/>
        <v>251.69666666666669</v>
      </c>
      <c r="Q16" s="721">
        <f t="shared" si="0"/>
        <v>648.26666666666677</v>
      </c>
      <c r="R16" s="721">
        <f t="shared" ca="1" si="0"/>
        <v>313614.57637377811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2458.9178272689146</v>
      </c>
      <c r="I19" s="686">
        <f>transport!H54</f>
        <v>0</v>
      </c>
      <c r="J19" s="686">
        <f>transport!I54</f>
        <v>0</v>
      </c>
      <c r="K19" s="686">
        <f>transport!J54</f>
        <v>0</v>
      </c>
      <c r="L19" s="686">
        <f>transport!K54</f>
        <v>0</v>
      </c>
      <c r="M19" s="686">
        <f>transport!L54</f>
        <v>0</v>
      </c>
      <c r="N19" s="686">
        <f>transport!M54</f>
        <v>109.44846673523905</v>
      </c>
      <c r="O19" s="686">
        <f>transport!N54</f>
        <v>0</v>
      </c>
      <c r="P19" s="686">
        <f>transport!O54</f>
        <v>0</v>
      </c>
      <c r="Q19" s="687">
        <f>transport!P54</f>
        <v>0</v>
      </c>
      <c r="R19" s="689">
        <f>SUM(C19:Q19)</f>
        <v>2568.3662940041536</v>
      </c>
      <c r="S19" s="67"/>
    </row>
    <row r="20" spans="1:19" s="454" customFormat="1">
      <c r="A20" s="801" t="s">
        <v>306</v>
      </c>
      <c r="B20" s="806"/>
      <c r="C20" s="686">
        <f>transport!B14</f>
        <v>3.2254888816681251</v>
      </c>
      <c r="D20" s="686">
        <f>transport!C14</f>
        <v>0</v>
      </c>
      <c r="E20" s="686">
        <f>transport!D14</f>
        <v>5.428799405851108</v>
      </c>
      <c r="F20" s="686">
        <f>transport!E14</f>
        <v>191.3603253685967</v>
      </c>
      <c r="G20" s="686">
        <f>transport!F14</f>
        <v>0</v>
      </c>
      <c r="H20" s="686">
        <f>transport!G14</f>
        <v>50136.873425491758</v>
      </c>
      <c r="I20" s="686">
        <f>transport!H14</f>
        <v>9883.3249341641367</v>
      </c>
      <c r="J20" s="686">
        <f>transport!I14</f>
        <v>0</v>
      </c>
      <c r="K20" s="686">
        <f>transport!J14</f>
        <v>0</v>
      </c>
      <c r="L20" s="686">
        <f>transport!K14</f>
        <v>0</v>
      </c>
      <c r="M20" s="686">
        <f>transport!L14</f>
        <v>0</v>
      </c>
      <c r="N20" s="686">
        <f>transport!M14</f>
        <v>2714.2622512712514</v>
      </c>
      <c r="O20" s="686">
        <f>transport!N14</f>
        <v>0</v>
      </c>
      <c r="P20" s="686">
        <f>transport!O14</f>
        <v>0</v>
      </c>
      <c r="Q20" s="687">
        <f>transport!P14</f>
        <v>0</v>
      </c>
      <c r="R20" s="689">
        <f>SUM(C20:Q20)</f>
        <v>62934.475224583264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3.2254888816681251</v>
      </c>
      <c r="D22" s="804">
        <f t="shared" ref="D22:R22" si="1">SUM(D18:D21)</f>
        <v>0</v>
      </c>
      <c r="E22" s="804">
        <f t="shared" si="1"/>
        <v>5.428799405851108</v>
      </c>
      <c r="F22" s="804">
        <f t="shared" si="1"/>
        <v>191.3603253685967</v>
      </c>
      <c r="G22" s="804">
        <f t="shared" si="1"/>
        <v>0</v>
      </c>
      <c r="H22" s="804">
        <f t="shared" si="1"/>
        <v>52595.791252760675</v>
      </c>
      <c r="I22" s="804">
        <f t="shared" si="1"/>
        <v>9883.3249341641367</v>
      </c>
      <c r="J22" s="804">
        <f t="shared" si="1"/>
        <v>0</v>
      </c>
      <c r="K22" s="804">
        <f t="shared" si="1"/>
        <v>0</v>
      </c>
      <c r="L22" s="804">
        <f t="shared" si="1"/>
        <v>0</v>
      </c>
      <c r="M22" s="804">
        <f t="shared" si="1"/>
        <v>0</v>
      </c>
      <c r="N22" s="804">
        <f t="shared" si="1"/>
        <v>2823.7107180064904</v>
      </c>
      <c r="O22" s="804">
        <f t="shared" si="1"/>
        <v>0</v>
      </c>
      <c r="P22" s="804">
        <f t="shared" si="1"/>
        <v>0</v>
      </c>
      <c r="Q22" s="804">
        <f t="shared" si="1"/>
        <v>0</v>
      </c>
      <c r="R22" s="804">
        <f t="shared" si="1"/>
        <v>65502.841518587418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6416.9821020043601</v>
      </c>
      <c r="D24" s="686">
        <f>+landbouw!C8</f>
        <v>226171.92857142849</v>
      </c>
      <c r="E24" s="686">
        <f>+landbouw!D8</f>
        <v>44724.394837182306</v>
      </c>
      <c r="F24" s="686">
        <f>+landbouw!E8</f>
        <v>80.862241239003467</v>
      </c>
      <c r="G24" s="686">
        <f>+landbouw!F8</f>
        <v>10530.195801986658</v>
      </c>
      <c r="H24" s="686">
        <f>+landbouw!G8</f>
        <v>0</v>
      </c>
      <c r="I24" s="686">
        <f>+landbouw!H8</f>
        <v>0</v>
      </c>
      <c r="J24" s="686">
        <f>+landbouw!I8</f>
        <v>0</v>
      </c>
      <c r="K24" s="686">
        <f>+landbouw!J8</f>
        <v>965.04116246341289</v>
      </c>
      <c r="L24" s="686">
        <f>+landbouw!K8</f>
        <v>0</v>
      </c>
      <c r="M24" s="686">
        <f>+landbouw!L8</f>
        <v>0</v>
      </c>
      <c r="N24" s="686">
        <f>+landbouw!M8</f>
        <v>0</v>
      </c>
      <c r="O24" s="686">
        <f>+landbouw!N8</f>
        <v>0</v>
      </c>
      <c r="P24" s="686">
        <f>+landbouw!O8</f>
        <v>0</v>
      </c>
      <c r="Q24" s="687">
        <f>+landbouw!P8</f>
        <v>0</v>
      </c>
      <c r="R24" s="689">
        <f>SUM(C24:Q24)</f>
        <v>288889.40471630427</v>
      </c>
      <c r="S24" s="67"/>
    </row>
    <row r="25" spans="1:19" s="454" customFormat="1" ht="15" thickBot="1">
      <c r="A25" s="823" t="s">
        <v>856</v>
      </c>
      <c r="B25" s="991"/>
      <c r="C25" s="992">
        <f>IF(Onbekend_ele_kWh="---",0,Onbekend_ele_kWh)/1000+IF(REST_rest_ele_kWh="---",0,REST_rest_ele_kWh)/1000</f>
        <v>1002.03698115444</v>
      </c>
      <c r="D25" s="992"/>
      <c r="E25" s="992">
        <f>IF(onbekend_gas_kWh="---",0,onbekend_gas_kWh)/1000+IF(REST_rest_gas_kWh="---",0,REST_rest_gas_kWh)/1000</f>
        <v>3483.1362063711499</v>
      </c>
      <c r="F25" s="992"/>
      <c r="G25" s="992"/>
      <c r="H25" s="992"/>
      <c r="I25" s="992"/>
      <c r="J25" s="992"/>
      <c r="K25" s="992"/>
      <c r="L25" s="992"/>
      <c r="M25" s="992"/>
      <c r="N25" s="992"/>
      <c r="O25" s="992"/>
      <c r="P25" s="992"/>
      <c r="Q25" s="993"/>
      <c r="R25" s="689">
        <f>SUM(C25:Q25)</f>
        <v>4485.17318752559</v>
      </c>
      <c r="S25" s="67"/>
    </row>
    <row r="26" spans="1:19" s="454" customFormat="1" ht="15.75" thickBot="1">
      <c r="A26" s="694" t="s">
        <v>857</v>
      </c>
      <c r="B26" s="809"/>
      <c r="C26" s="804">
        <f>SUM(C24:C25)</f>
        <v>7419.0190831587997</v>
      </c>
      <c r="D26" s="804">
        <f t="shared" ref="D26:R26" si="2">SUM(D24:D25)</f>
        <v>226171.92857142849</v>
      </c>
      <c r="E26" s="804">
        <f t="shared" si="2"/>
        <v>48207.531043553456</v>
      </c>
      <c r="F26" s="804">
        <f t="shared" si="2"/>
        <v>80.862241239003467</v>
      </c>
      <c r="G26" s="804">
        <f t="shared" si="2"/>
        <v>10530.195801986658</v>
      </c>
      <c r="H26" s="804">
        <f t="shared" si="2"/>
        <v>0</v>
      </c>
      <c r="I26" s="804">
        <f t="shared" si="2"/>
        <v>0</v>
      </c>
      <c r="J26" s="804">
        <f t="shared" si="2"/>
        <v>0</v>
      </c>
      <c r="K26" s="804">
        <f t="shared" si="2"/>
        <v>965.04116246341289</v>
      </c>
      <c r="L26" s="804">
        <f t="shared" si="2"/>
        <v>0</v>
      </c>
      <c r="M26" s="804">
        <f t="shared" si="2"/>
        <v>0</v>
      </c>
      <c r="N26" s="804">
        <f t="shared" si="2"/>
        <v>0</v>
      </c>
      <c r="O26" s="804">
        <f t="shared" si="2"/>
        <v>0</v>
      </c>
      <c r="P26" s="804">
        <f t="shared" si="2"/>
        <v>0</v>
      </c>
      <c r="Q26" s="804">
        <f t="shared" si="2"/>
        <v>0</v>
      </c>
      <c r="R26" s="804">
        <f t="shared" si="2"/>
        <v>293374.57790382986</v>
      </c>
      <c r="S26" s="67"/>
    </row>
    <row r="27" spans="1:19" s="454" customFormat="1" ht="17.25" thickTop="1" thickBot="1">
      <c r="A27" s="695" t="s">
        <v>115</v>
      </c>
      <c r="B27" s="796"/>
      <c r="C27" s="696">
        <f ca="1">C22+C16+C26</f>
        <v>109680.12746866279</v>
      </c>
      <c r="D27" s="696">
        <f t="shared" ref="D27:R27" ca="1" si="3">D22+D16+D26</f>
        <v>233886.2142857142</v>
      </c>
      <c r="E27" s="696">
        <f t="shared" ca="1" si="3"/>
        <v>183682.74303922922</v>
      </c>
      <c r="F27" s="696">
        <f t="shared" si="3"/>
        <v>5355.1818869338003</v>
      </c>
      <c r="G27" s="696">
        <f t="shared" ca="1" si="3"/>
        <v>58385.388938506883</v>
      </c>
      <c r="H27" s="696">
        <f t="shared" si="3"/>
        <v>52595.791252760675</v>
      </c>
      <c r="I27" s="696">
        <f t="shared" si="3"/>
        <v>9883.3249341641367</v>
      </c>
      <c r="J27" s="696">
        <f t="shared" si="3"/>
        <v>0</v>
      </c>
      <c r="K27" s="696">
        <f t="shared" si="3"/>
        <v>2226.7877135166459</v>
      </c>
      <c r="L27" s="696">
        <f t="shared" si="3"/>
        <v>0</v>
      </c>
      <c r="M27" s="696">
        <f t="shared" ca="1" si="3"/>
        <v>0</v>
      </c>
      <c r="N27" s="696">
        <f t="shared" si="3"/>
        <v>2823.7107180064904</v>
      </c>
      <c r="O27" s="696">
        <f t="shared" ca="1" si="3"/>
        <v>13072.762225367193</v>
      </c>
      <c r="P27" s="696">
        <f t="shared" si="3"/>
        <v>251.69666666666669</v>
      </c>
      <c r="Q27" s="696">
        <f t="shared" si="3"/>
        <v>648.26666666666677</v>
      </c>
      <c r="R27" s="696">
        <f t="shared" ca="1" si="3"/>
        <v>672491.99579619546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12442.891803314193</v>
      </c>
      <c r="D40" s="686">
        <f ca="1">tertiair!C20</f>
        <v>1668.897542237552</v>
      </c>
      <c r="E40" s="686">
        <f ca="1">tertiair!D20</f>
        <v>7828.1122996149261</v>
      </c>
      <c r="F40" s="686">
        <f>tertiair!E20</f>
        <v>177.31578151949751</v>
      </c>
      <c r="G40" s="686">
        <f ca="1">tertiair!F20</f>
        <v>2701.0528287472725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24818.270255433439</v>
      </c>
    </row>
    <row r="41" spans="1:18">
      <c r="A41" s="814" t="s">
        <v>224</v>
      </c>
      <c r="B41" s="821"/>
      <c r="C41" s="686">
        <f ca="1">huishoudens!B12</f>
        <v>7449.4523511816933</v>
      </c>
      <c r="D41" s="686">
        <f ca="1">huishoudens!C12</f>
        <v>0</v>
      </c>
      <c r="E41" s="686">
        <f>huishoudens!D12</f>
        <v>17900.795896108688</v>
      </c>
      <c r="F41" s="686">
        <f>huishoudens!E12</f>
        <v>849.84218812574147</v>
      </c>
      <c r="G41" s="686">
        <f>huishoudens!F12</f>
        <v>9341.3757640204458</v>
      </c>
      <c r="H41" s="686">
        <f>huishoudens!G12</f>
        <v>0</v>
      </c>
      <c r="I41" s="686">
        <f>huishoudens!H12</f>
        <v>0</v>
      </c>
      <c r="J41" s="686">
        <f>huishoudens!I12</f>
        <v>0</v>
      </c>
      <c r="K41" s="686">
        <f>huishoudens!J12</f>
        <v>443.88357318065567</v>
      </c>
      <c r="L41" s="686">
        <f>huishoudens!K12</f>
        <v>0</v>
      </c>
      <c r="M41" s="686">
        <f>huishoudens!L12</f>
        <v>0</v>
      </c>
      <c r="N41" s="686">
        <f>huishoudens!M12</f>
        <v>0</v>
      </c>
      <c r="O41" s="686">
        <f>huishoudens!N12</f>
        <v>0</v>
      </c>
      <c r="P41" s="686">
        <f>huishoudens!O12</f>
        <v>0</v>
      </c>
      <c r="Q41" s="763">
        <f>huishoudens!P12</f>
        <v>0</v>
      </c>
      <c r="R41" s="842">
        <f t="shared" ca="1" si="4"/>
        <v>35985.349772617221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1133.8319434736281</v>
      </c>
      <c r="D43" s="686">
        <f ca="1">industrie!C22</f>
        <v>0</v>
      </c>
      <c r="E43" s="686">
        <f>industrie!D22</f>
        <v>1635.988009922906</v>
      </c>
      <c r="F43" s="686">
        <f>industrie!E22</f>
        <v>126.67379606880841</v>
      </c>
      <c r="G43" s="686">
        <f>industrie!F22</f>
        <v>734.9079746831834</v>
      </c>
      <c r="H43" s="686">
        <f>industrie!G22</f>
        <v>0</v>
      </c>
      <c r="I43" s="686">
        <f>industrie!H22</f>
        <v>0</v>
      </c>
      <c r="J43" s="686">
        <f>industrie!I22</f>
        <v>0</v>
      </c>
      <c r="K43" s="686">
        <f>industrie!J22</f>
        <v>2.774705892188742</v>
      </c>
      <c r="L43" s="686">
        <f>industrie!K22</f>
        <v>0</v>
      </c>
      <c r="M43" s="686">
        <f>industrie!L22</f>
        <v>0</v>
      </c>
      <c r="N43" s="686">
        <f>industrie!M22</f>
        <v>0</v>
      </c>
      <c r="O43" s="686">
        <f>industrie!N22</f>
        <v>0</v>
      </c>
      <c r="P43" s="686">
        <f>industrie!O22</f>
        <v>0</v>
      </c>
      <c r="Q43" s="763">
        <f>industrie!P22</f>
        <v>0</v>
      </c>
      <c r="R43" s="841">
        <f t="shared" ca="1" si="4"/>
        <v>3634.1764300407149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21026.176097969514</v>
      </c>
      <c r="D46" s="721">
        <f t="shared" ref="D46:Q46" ca="1" si="5">SUM(D39:D45)</f>
        <v>1668.897542237552</v>
      </c>
      <c r="E46" s="721">
        <f t="shared" ca="1" si="5"/>
        <v>27364.896205646517</v>
      </c>
      <c r="F46" s="721">
        <f t="shared" si="5"/>
        <v>1153.8317657140474</v>
      </c>
      <c r="G46" s="721">
        <f t="shared" ca="1" si="5"/>
        <v>12777.336567450902</v>
      </c>
      <c r="H46" s="721">
        <f t="shared" si="5"/>
        <v>0</v>
      </c>
      <c r="I46" s="721">
        <f t="shared" si="5"/>
        <v>0</v>
      </c>
      <c r="J46" s="721">
        <f t="shared" si="5"/>
        <v>0</v>
      </c>
      <c r="K46" s="721">
        <f t="shared" si="5"/>
        <v>446.65827907284444</v>
      </c>
      <c r="L46" s="721">
        <f t="shared" si="5"/>
        <v>0</v>
      </c>
      <c r="M46" s="721">
        <f t="shared" ca="1" si="5"/>
        <v>0</v>
      </c>
      <c r="N46" s="721">
        <f t="shared" si="5"/>
        <v>0</v>
      </c>
      <c r="O46" s="721">
        <f t="shared" ca="1" si="5"/>
        <v>0</v>
      </c>
      <c r="P46" s="721">
        <f t="shared" si="5"/>
        <v>0</v>
      </c>
      <c r="Q46" s="721">
        <f t="shared" si="5"/>
        <v>0</v>
      </c>
      <c r="R46" s="721">
        <f ca="1">SUM(R39:R45)</f>
        <v>64437.796458091376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656.53105988080029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656.53105988080029</v>
      </c>
    </row>
    <row r="50" spans="1:18">
      <c r="A50" s="817" t="s">
        <v>306</v>
      </c>
      <c r="B50" s="827"/>
      <c r="C50" s="692">
        <f ca="1">transport!B18</f>
        <v>0.66322219184372433</v>
      </c>
      <c r="D50" s="692">
        <f>transport!C18</f>
        <v>0</v>
      </c>
      <c r="E50" s="692">
        <f>transport!D18</f>
        <v>1.0966174799819239</v>
      </c>
      <c r="F50" s="692">
        <f>transport!E18</f>
        <v>43.438793858671453</v>
      </c>
      <c r="G50" s="692">
        <f>transport!F18</f>
        <v>0</v>
      </c>
      <c r="H50" s="692">
        <f>transport!G18</f>
        <v>13386.5452046063</v>
      </c>
      <c r="I50" s="692">
        <f>transport!H18</f>
        <v>2460.94790860687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15892.691746743667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0.66322219184372433</v>
      </c>
      <c r="D52" s="721">
        <f t="shared" ref="D52:Q52" ca="1" si="6">SUM(D48:D51)</f>
        <v>0</v>
      </c>
      <c r="E52" s="721">
        <f t="shared" si="6"/>
        <v>1.0966174799819239</v>
      </c>
      <c r="F52" s="721">
        <f t="shared" si="6"/>
        <v>43.438793858671453</v>
      </c>
      <c r="G52" s="721">
        <f t="shared" si="6"/>
        <v>0</v>
      </c>
      <c r="H52" s="721">
        <f t="shared" si="6"/>
        <v>14043.076264487101</v>
      </c>
      <c r="I52" s="721">
        <f t="shared" si="6"/>
        <v>2460.94790860687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16549.222806624468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1319.4542256528462</v>
      </c>
      <c r="D54" s="692">
        <f ca="1">+landbouw!C12</f>
        <v>48929.711666886833</v>
      </c>
      <c r="E54" s="692">
        <f>+landbouw!D12</f>
        <v>9034.3277571108265</v>
      </c>
      <c r="F54" s="692">
        <f>+landbouw!E12</f>
        <v>18.355728761253786</v>
      </c>
      <c r="G54" s="692">
        <f>+landbouw!F12</f>
        <v>2811.5622791304377</v>
      </c>
      <c r="H54" s="692">
        <f>+landbouw!G12</f>
        <v>0</v>
      </c>
      <c r="I54" s="692">
        <f>+landbouw!H12</f>
        <v>0</v>
      </c>
      <c r="J54" s="692">
        <f>+landbouw!I12</f>
        <v>0</v>
      </c>
      <c r="K54" s="692">
        <f>+landbouw!J12</f>
        <v>341.62457151204813</v>
      </c>
      <c r="L54" s="692">
        <f>+landbouw!K12</f>
        <v>0</v>
      </c>
      <c r="M54" s="692">
        <f>+landbouw!L12</f>
        <v>0</v>
      </c>
      <c r="N54" s="692">
        <f>+landbouw!M12</f>
        <v>0</v>
      </c>
      <c r="O54" s="692">
        <f>+landbouw!N12</f>
        <v>0</v>
      </c>
      <c r="P54" s="692">
        <f>+landbouw!O12</f>
        <v>0</v>
      </c>
      <c r="Q54" s="693">
        <f>+landbouw!P12</f>
        <v>0</v>
      </c>
      <c r="R54" s="720">
        <f ca="1">SUM(C54:Q54)</f>
        <v>62455.03622905424</v>
      </c>
    </row>
    <row r="55" spans="1:18" ht="15" thickBot="1">
      <c r="A55" s="817" t="s">
        <v>856</v>
      </c>
      <c r="B55" s="827"/>
      <c r="C55" s="692">
        <f ca="1">C25*'EF ele_warmte'!B12</f>
        <v>206.03796426854191</v>
      </c>
      <c r="D55" s="692"/>
      <c r="E55" s="692">
        <f>E25*EF_CO2_aardgas</f>
        <v>703.5935136869723</v>
      </c>
      <c r="F55" s="692"/>
      <c r="G55" s="692"/>
      <c r="H55" s="692"/>
      <c r="I55" s="692"/>
      <c r="J55" s="692"/>
      <c r="K55" s="692"/>
      <c r="L55" s="692"/>
      <c r="M55" s="692"/>
      <c r="N55" s="692"/>
      <c r="O55" s="692"/>
      <c r="P55" s="692"/>
      <c r="Q55" s="693"/>
      <c r="R55" s="720">
        <f ca="1">SUM(C55:Q55)</f>
        <v>909.63147795551424</v>
      </c>
    </row>
    <row r="56" spans="1:18" ht="15.75" thickBot="1">
      <c r="A56" s="815" t="s">
        <v>857</v>
      </c>
      <c r="B56" s="828"/>
      <c r="C56" s="721">
        <f ca="1">SUM(C54:C55)</f>
        <v>1525.492189921388</v>
      </c>
      <c r="D56" s="721">
        <f t="shared" ref="D56:Q56" ca="1" si="7">SUM(D54:D55)</f>
        <v>48929.711666886833</v>
      </c>
      <c r="E56" s="721">
        <f t="shared" si="7"/>
        <v>9737.9212707977986</v>
      </c>
      <c r="F56" s="721">
        <f t="shared" si="7"/>
        <v>18.355728761253786</v>
      </c>
      <c r="G56" s="721">
        <f t="shared" si="7"/>
        <v>2811.5622791304377</v>
      </c>
      <c r="H56" s="721">
        <f t="shared" si="7"/>
        <v>0</v>
      </c>
      <c r="I56" s="721">
        <f t="shared" si="7"/>
        <v>0</v>
      </c>
      <c r="J56" s="721">
        <f t="shared" si="7"/>
        <v>0</v>
      </c>
      <c r="K56" s="721">
        <f t="shared" si="7"/>
        <v>341.62457151204813</v>
      </c>
      <c r="L56" s="721">
        <f t="shared" si="7"/>
        <v>0</v>
      </c>
      <c r="M56" s="721">
        <f t="shared" si="7"/>
        <v>0</v>
      </c>
      <c r="N56" s="721">
        <f t="shared" si="7"/>
        <v>0</v>
      </c>
      <c r="O56" s="721">
        <f t="shared" si="7"/>
        <v>0</v>
      </c>
      <c r="P56" s="721">
        <f t="shared" si="7"/>
        <v>0</v>
      </c>
      <c r="Q56" s="722">
        <f t="shared" si="7"/>
        <v>0</v>
      </c>
      <c r="R56" s="723">
        <f ca="1">SUM(R54:R55)</f>
        <v>63364.667707009758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22552.331510082746</v>
      </c>
      <c r="D61" s="729">
        <f t="shared" ref="D61:Q61" ca="1" si="8">D46+D52+D56</f>
        <v>50598.609209124385</v>
      </c>
      <c r="E61" s="729">
        <f t="shared" ca="1" si="8"/>
        <v>37103.914093924301</v>
      </c>
      <c r="F61" s="729">
        <f t="shared" si="8"/>
        <v>1215.6262883339728</v>
      </c>
      <c r="G61" s="729">
        <f t="shared" ca="1" si="8"/>
        <v>15588.89884658134</v>
      </c>
      <c r="H61" s="729">
        <f t="shared" si="8"/>
        <v>14043.076264487101</v>
      </c>
      <c r="I61" s="729">
        <f t="shared" si="8"/>
        <v>2460.94790860687</v>
      </c>
      <c r="J61" s="729">
        <f t="shared" si="8"/>
        <v>0</v>
      </c>
      <c r="K61" s="729">
        <f t="shared" si="8"/>
        <v>788.28285058489257</v>
      </c>
      <c r="L61" s="729">
        <f t="shared" si="8"/>
        <v>0</v>
      </c>
      <c r="M61" s="729">
        <f t="shared" ca="1" si="8"/>
        <v>0</v>
      </c>
      <c r="N61" s="729">
        <f t="shared" si="8"/>
        <v>0</v>
      </c>
      <c r="O61" s="729">
        <f t="shared" ca="1" si="8"/>
        <v>0</v>
      </c>
      <c r="P61" s="729">
        <f t="shared" si="8"/>
        <v>0</v>
      </c>
      <c r="Q61" s="729">
        <f t="shared" si="8"/>
        <v>0</v>
      </c>
      <c r="R61" s="729">
        <f ca="1">R46+R52+R56</f>
        <v>144351.6869717256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0.20561912199205162</v>
      </c>
      <c r="D63" s="772">
        <f t="shared" ca="1" si="9"/>
        <v>0.21633857029005302</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8790.7984057633621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16449.893622220414</v>
      </c>
      <c r="C76" s="739">
        <f>'lokale energieproductie'!B8*IFERROR(SUM(D76:H76)/SUM(D76:O76),0)</f>
        <v>152174.10637777959</v>
      </c>
      <c r="D76" s="1008">
        <f>'lokale energieproductie'!C8</f>
        <v>174164.57172426683</v>
      </c>
      <c r="E76" s="1009">
        <f>'lokale energieproductie'!D8</f>
        <v>0</v>
      </c>
      <c r="F76" s="1009">
        <f>'lokale energieproductie'!E8</f>
        <v>4863.788720179773</v>
      </c>
      <c r="G76" s="1009">
        <f>'lokale energieproductie'!F8</f>
        <v>0</v>
      </c>
      <c r="H76" s="1009">
        <f>'lokale energieproductie'!G8</f>
        <v>0</v>
      </c>
      <c r="I76" s="1009">
        <f>'lokale energieproductie'!I8</f>
        <v>19304.339726604991</v>
      </c>
      <c r="J76" s="1009">
        <f>'lokale energieproductie'!J8</f>
        <v>48.476299536675484</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36479.875076589902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25240.692027983776</v>
      </c>
      <c r="C78" s="744">
        <f>SUM(C72:C77)</f>
        <v>152174.10637777959</v>
      </c>
      <c r="D78" s="745">
        <f t="shared" ref="D78:H78" si="10">SUM(D76:D77)</f>
        <v>174164.57172426683</v>
      </c>
      <c r="E78" s="745">
        <f t="shared" si="10"/>
        <v>0</v>
      </c>
      <c r="F78" s="745">
        <f t="shared" si="10"/>
        <v>4863.788720179773</v>
      </c>
      <c r="G78" s="745">
        <f t="shared" si="10"/>
        <v>0</v>
      </c>
      <c r="H78" s="745">
        <f t="shared" si="10"/>
        <v>0</v>
      </c>
      <c r="I78" s="745">
        <f>SUM(I76:I77)</f>
        <v>19304.339726604991</v>
      </c>
      <c r="J78" s="745">
        <f>SUM(J76:J77)</f>
        <v>48.476299536675484</v>
      </c>
      <c r="K78" s="745">
        <f t="shared" ref="K78:L78" si="11">SUM(K76:K77)</f>
        <v>0</v>
      </c>
      <c r="L78" s="745">
        <f t="shared" si="11"/>
        <v>0</v>
      </c>
      <c r="M78" s="745">
        <f>SUM(M76:M77)</f>
        <v>0</v>
      </c>
      <c r="N78" s="745">
        <f>SUM(N76:N77)</f>
        <v>0</v>
      </c>
      <c r="O78" s="852">
        <f>SUM(O76:O77)</f>
        <v>0</v>
      </c>
      <c r="P78" s="746">
        <v>0</v>
      </c>
      <c r="Q78" s="746">
        <f>SUM(Q76:Q77)</f>
        <v>36479.875076589902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22816.463520636724</v>
      </c>
      <c r="C87" s="755">
        <f>'lokale energieproductie'!B17*IFERROR(SUM(D87:H87)/SUM(D87:O87),0)</f>
        <v>211069.75076507745</v>
      </c>
      <c r="D87" s="766">
        <f>'lokale energieproductie'!C17</f>
        <v>241571.14256144743</v>
      </c>
      <c r="E87" s="766">
        <f>'lokale energieproductie'!D17</f>
        <v>0</v>
      </c>
      <c r="F87" s="766">
        <f>'lokale energieproductie'!E17</f>
        <v>6746.211279820227</v>
      </c>
      <c r="G87" s="766">
        <f>'lokale energieproductie'!F17</f>
        <v>0</v>
      </c>
      <c r="H87" s="766">
        <f>'lokale energieproductie'!G17</f>
        <v>0</v>
      </c>
      <c r="I87" s="766">
        <f>'lokale energieproductie'!I17</f>
        <v>26775.660273395009</v>
      </c>
      <c r="J87" s="766">
        <f>'lokale energieproductie'!J17</f>
        <v>67.237986177610239</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50598.609209124385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22816.463520636724</v>
      </c>
      <c r="C90" s="744">
        <f>SUM(C87:C89)</f>
        <v>211069.75076507745</v>
      </c>
      <c r="D90" s="744">
        <f t="shared" ref="D90:H90" si="12">SUM(D87:D89)</f>
        <v>241571.14256144743</v>
      </c>
      <c r="E90" s="744">
        <f t="shared" si="12"/>
        <v>0</v>
      </c>
      <c r="F90" s="744">
        <f t="shared" si="12"/>
        <v>6746.211279820227</v>
      </c>
      <c r="G90" s="744">
        <f t="shared" si="12"/>
        <v>0</v>
      </c>
      <c r="H90" s="744">
        <f t="shared" si="12"/>
        <v>0</v>
      </c>
      <c r="I90" s="744">
        <f>SUM(I87:I89)</f>
        <v>26775.660273395009</v>
      </c>
      <c r="J90" s="744">
        <f>SUM(J87:J89)</f>
        <v>67.237986177610239</v>
      </c>
      <c r="K90" s="744">
        <f t="shared" ref="K90:L90" si="13">SUM(K87:K89)</f>
        <v>0</v>
      </c>
      <c r="L90" s="744">
        <f t="shared" si="13"/>
        <v>0</v>
      </c>
      <c r="M90" s="744">
        <f>SUM(M87:M89)</f>
        <v>0</v>
      </c>
      <c r="N90" s="744">
        <f>SUM(N87:N89)</f>
        <v>0</v>
      </c>
      <c r="O90" s="744">
        <f>SUM(O87:O89)</f>
        <v>0</v>
      </c>
      <c r="P90" s="744">
        <v>0</v>
      </c>
      <c r="Q90" s="744">
        <f>SUM(Q87:Q89)</f>
        <v>50598.609209124385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78"/>
  <sheetViews>
    <sheetView showGridLines="0" topLeftCell="A267" zoomScale="65" zoomScaleNormal="65" workbookViewId="0">
      <selection activeCell="M55" sqref="M5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8790.7984057633621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N56</f>
        <v>168624</v>
      </c>
      <c r="C8" s="556">
        <f>B75</f>
        <v>174164.57172426683</v>
      </c>
      <c r="D8" s="1015"/>
      <c r="E8" s="1015">
        <f>E75</f>
        <v>4863.788720179773</v>
      </c>
      <c r="F8" s="1016"/>
      <c r="G8" s="557"/>
      <c r="H8" s="1015">
        <f>I75</f>
        <v>0</v>
      </c>
      <c r="I8" s="1015">
        <f>G75+F75</f>
        <v>19304.339726604991</v>
      </c>
      <c r="J8" s="1015">
        <f>H75+D75+C75</f>
        <v>48.476299536675484</v>
      </c>
      <c r="K8" s="1015"/>
      <c r="L8" s="1015"/>
      <c r="M8" s="1015"/>
      <c r="N8" s="558"/>
      <c r="O8" s="559">
        <f>C8*$C$12+D8*$D$12+E8*$E$12+F8*$F$12+G8*$G$12+H8*$H$12+I8*$I$12+J8*$J$12</f>
        <v>36479.875076589902</v>
      </c>
      <c r="P8" s="1254"/>
      <c r="Q8" s="1255"/>
      <c r="S8" s="1027"/>
      <c r="T8" s="1275"/>
      <c r="U8" s="1275"/>
    </row>
    <row r="9" spans="1:21" s="544" customFormat="1" ht="17.45" customHeight="1" thickBot="1">
      <c r="A9" s="560" t="s">
        <v>247</v>
      </c>
      <c r="B9" s="561">
        <f>N63+'Eigen informatie GS &amp; warmtenet'!B12</f>
        <v>0</v>
      </c>
      <c r="C9" s="562">
        <f>P63+IF(ISERROR(('Eigen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S63+IF(ISERROR('Eigen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W63+IF(ISERROR('Eigen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(T63+U63)+IF(ISERROR('Eigen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V63+Q63+R63+IF(ISERROR('Eigen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177414.79840576337</v>
      </c>
      <c r="C10" s="569">
        <f t="shared" ref="C10:L10" si="0">SUM(C8:C9)</f>
        <v>174164.57172426683</v>
      </c>
      <c r="D10" s="569">
        <f t="shared" si="0"/>
        <v>0</v>
      </c>
      <c r="E10" s="569">
        <f t="shared" si="0"/>
        <v>4863.788720179773</v>
      </c>
      <c r="F10" s="569">
        <f t="shared" si="0"/>
        <v>0</v>
      </c>
      <c r="G10" s="569">
        <f t="shared" si="0"/>
        <v>0</v>
      </c>
      <c r="H10" s="569">
        <f t="shared" si="0"/>
        <v>0</v>
      </c>
      <c r="I10" s="569">
        <f t="shared" si="0"/>
        <v>19304.339726604991</v>
      </c>
      <c r="J10" s="569">
        <f t="shared" si="0"/>
        <v>48.476299536675484</v>
      </c>
      <c r="K10" s="569">
        <f t="shared" si="0"/>
        <v>0</v>
      </c>
      <c r="L10" s="569">
        <f t="shared" si="0"/>
        <v>0</v>
      </c>
      <c r="M10" s="1018"/>
      <c r="N10" s="1018"/>
      <c r="O10" s="570">
        <f>SUM(O4:O9)</f>
        <v>36479.875076589902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O56</f>
        <v>233886.2142857142</v>
      </c>
      <c r="C17" s="581">
        <f>B76</f>
        <v>241571.14256144743</v>
      </c>
      <c r="D17" s="582"/>
      <c r="E17" s="582">
        <f>E76</f>
        <v>6746.211279820227</v>
      </c>
      <c r="F17" s="1021"/>
      <c r="G17" s="583"/>
      <c r="H17" s="581">
        <f>I76</f>
        <v>0</v>
      </c>
      <c r="I17" s="582">
        <f>G76+F76</f>
        <v>26775.660273395009</v>
      </c>
      <c r="J17" s="582">
        <f>H76+D76+C76</f>
        <v>67.237986177610239</v>
      </c>
      <c r="K17" s="582"/>
      <c r="L17" s="582"/>
      <c r="M17" s="582"/>
      <c r="N17" s="1022"/>
      <c r="O17" s="584">
        <f>C17*$C$22+E17*$E$22+H17*$H$22+I17*$I$22+J17*$J$22+D17*$D$22+F17*$F$22+G17*$G$22+K17*$K$22+L17*$L$22</f>
        <v>50598.609209124385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233886.2142857142</v>
      </c>
      <c r="C20" s="568">
        <f>SUM(C17:C19)</f>
        <v>241571.14256144743</v>
      </c>
      <c r="D20" s="568">
        <f t="shared" ref="D20:L20" si="1">SUM(D17:D19)</f>
        <v>0</v>
      </c>
      <c r="E20" s="568">
        <f t="shared" si="1"/>
        <v>6746.211279820227</v>
      </c>
      <c r="F20" s="568">
        <f t="shared" si="1"/>
        <v>0</v>
      </c>
      <c r="G20" s="568">
        <f t="shared" si="1"/>
        <v>0</v>
      </c>
      <c r="H20" s="568">
        <f t="shared" si="1"/>
        <v>0</v>
      </c>
      <c r="I20" s="568">
        <f t="shared" si="1"/>
        <v>26775.660273395009</v>
      </c>
      <c r="J20" s="568">
        <f t="shared" si="1"/>
        <v>67.237986177610239</v>
      </c>
      <c r="K20" s="568">
        <f t="shared" si="1"/>
        <v>0</v>
      </c>
      <c r="L20" s="568">
        <f t="shared" si="1"/>
        <v>0</v>
      </c>
      <c r="M20" s="568"/>
      <c r="N20" s="568"/>
      <c r="O20" s="588">
        <f>SUM(O17:O19)</f>
        <v>50598.609209124385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12035</v>
      </c>
      <c r="C28" s="787">
        <v>2861</v>
      </c>
      <c r="D28" s="640" t="s">
        <v>920</v>
      </c>
      <c r="E28" s="639" t="s">
        <v>921</v>
      </c>
      <c r="F28" s="639" t="s">
        <v>922</v>
      </c>
      <c r="G28" s="639" t="s">
        <v>923</v>
      </c>
      <c r="H28" s="639" t="s">
        <v>924</v>
      </c>
      <c r="I28" s="639" t="s">
        <v>921</v>
      </c>
      <c r="J28" s="786">
        <v>39263</v>
      </c>
      <c r="K28" s="786">
        <v>39261</v>
      </c>
      <c r="L28" s="639" t="s">
        <v>925</v>
      </c>
      <c r="M28" s="639">
        <v>1984</v>
      </c>
      <c r="N28" s="639">
        <v>8928</v>
      </c>
      <c r="O28" s="639">
        <v>12754.285714285714</v>
      </c>
      <c r="P28" s="639">
        <v>25508.571428571431</v>
      </c>
      <c r="Q28" s="639">
        <v>0</v>
      </c>
      <c r="R28" s="639">
        <v>0</v>
      </c>
      <c r="S28" s="639">
        <v>0</v>
      </c>
      <c r="T28" s="639">
        <v>0</v>
      </c>
      <c r="U28" s="639">
        <v>0</v>
      </c>
      <c r="V28" s="639">
        <v>0</v>
      </c>
      <c r="W28" s="639">
        <v>0</v>
      </c>
      <c r="X28" s="639">
        <v>10</v>
      </c>
      <c r="Y28" s="639" t="s">
        <v>111</v>
      </c>
      <c r="Z28" s="641" t="s">
        <v>111</v>
      </c>
    </row>
    <row r="29" spans="1:26" s="593" customFormat="1" ht="25.5">
      <c r="A29" s="592"/>
      <c r="B29" s="787">
        <v>12035</v>
      </c>
      <c r="C29" s="787">
        <v>2861</v>
      </c>
      <c r="D29" s="640" t="s">
        <v>926</v>
      </c>
      <c r="E29" s="639" t="s">
        <v>927</v>
      </c>
      <c r="F29" s="639" t="s">
        <v>928</v>
      </c>
      <c r="G29" s="639" t="s">
        <v>923</v>
      </c>
      <c r="H29" s="639" t="s">
        <v>924</v>
      </c>
      <c r="I29" s="639" t="s">
        <v>927</v>
      </c>
      <c r="J29" s="786">
        <v>39322</v>
      </c>
      <c r="K29" s="786">
        <v>39352</v>
      </c>
      <c r="L29" s="639" t="s">
        <v>925</v>
      </c>
      <c r="M29" s="639">
        <v>1564</v>
      </c>
      <c r="N29" s="639">
        <v>7038</v>
      </c>
      <c r="O29" s="639">
        <v>10054.285714285714</v>
      </c>
      <c r="P29" s="639">
        <v>20108.571428571431</v>
      </c>
      <c r="Q29" s="639">
        <v>0</v>
      </c>
      <c r="R29" s="639">
        <v>0</v>
      </c>
      <c r="S29" s="639">
        <v>0</v>
      </c>
      <c r="T29" s="639">
        <v>0</v>
      </c>
      <c r="U29" s="639">
        <v>0</v>
      </c>
      <c r="V29" s="639">
        <v>0</v>
      </c>
      <c r="W29" s="639">
        <v>0</v>
      </c>
      <c r="X29" s="639">
        <v>10</v>
      </c>
      <c r="Y29" s="639" t="s">
        <v>111</v>
      </c>
      <c r="Z29" s="641" t="s">
        <v>111</v>
      </c>
    </row>
    <row r="30" spans="1:26" s="593" customFormat="1" ht="25.5">
      <c r="A30" s="592"/>
      <c r="B30" s="787">
        <v>12035</v>
      </c>
      <c r="C30" s="787">
        <v>2861</v>
      </c>
      <c r="D30" s="640" t="s">
        <v>929</v>
      </c>
      <c r="E30" s="639" t="s">
        <v>930</v>
      </c>
      <c r="F30" s="639" t="s">
        <v>931</v>
      </c>
      <c r="G30" s="639" t="s">
        <v>923</v>
      </c>
      <c r="H30" s="639" t="s">
        <v>924</v>
      </c>
      <c r="I30" s="639" t="s">
        <v>930</v>
      </c>
      <c r="J30" s="786">
        <v>39462</v>
      </c>
      <c r="K30" s="786">
        <v>39471</v>
      </c>
      <c r="L30" s="639" t="s">
        <v>925</v>
      </c>
      <c r="M30" s="639">
        <v>1006</v>
      </c>
      <c r="N30" s="639">
        <v>4527</v>
      </c>
      <c r="O30" s="639">
        <v>6467.1428571428569</v>
      </c>
      <c r="P30" s="639">
        <v>12934.285714285716</v>
      </c>
      <c r="Q30" s="639">
        <v>0</v>
      </c>
      <c r="R30" s="639">
        <v>0</v>
      </c>
      <c r="S30" s="639">
        <v>0</v>
      </c>
      <c r="T30" s="639">
        <v>0</v>
      </c>
      <c r="U30" s="639">
        <v>0</v>
      </c>
      <c r="V30" s="639">
        <v>0</v>
      </c>
      <c r="W30" s="639">
        <v>0</v>
      </c>
      <c r="X30" s="639">
        <v>10</v>
      </c>
      <c r="Y30" s="639" t="s">
        <v>111</v>
      </c>
      <c r="Z30" s="641" t="s">
        <v>111</v>
      </c>
    </row>
    <row r="31" spans="1:26" s="593" customFormat="1" ht="25.5">
      <c r="A31" s="592"/>
      <c r="B31" s="787">
        <v>12035</v>
      </c>
      <c r="C31" s="787">
        <v>2861</v>
      </c>
      <c r="D31" s="640" t="s">
        <v>932</v>
      </c>
      <c r="E31" s="639" t="s">
        <v>933</v>
      </c>
      <c r="F31" s="639" t="s">
        <v>934</v>
      </c>
      <c r="G31" s="639" t="s">
        <v>923</v>
      </c>
      <c r="H31" s="639" t="s">
        <v>924</v>
      </c>
      <c r="I31" s="639" t="s">
        <v>933</v>
      </c>
      <c r="J31" s="786">
        <v>39533</v>
      </c>
      <c r="K31" s="786">
        <v>39533</v>
      </c>
      <c r="L31" s="639" t="s">
        <v>925</v>
      </c>
      <c r="M31" s="639">
        <v>2000</v>
      </c>
      <c r="N31" s="639">
        <v>9000</v>
      </c>
      <c r="O31" s="639">
        <v>12857.142857142857</v>
      </c>
      <c r="P31" s="639">
        <v>25714.285714285717</v>
      </c>
      <c r="Q31" s="639">
        <v>0</v>
      </c>
      <c r="R31" s="639">
        <v>0</v>
      </c>
      <c r="S31" s="639">
        <v>0</v>
      </c>
      <c r="T31" s="639">
        <v>0</v>
      </c>
      <c r="U31" s="639">
        <v>0</v>
      </c>
      <c r="V31" s="639">
        <v>0</v>
      </c>
      <c r="W31" s="639">
        <v>0</v>
      </c>
      <c r="X31" s="639">
        <v>10</v>
      </c>
      <c r="Y31" s="639" t="s">
        <v>111</v>
      </c>
      <c r="Z31" s="641" t="s">
        <v>111</v>
      </c>
    </row>
    <row r="32" spans="1:26" s="593" customFormat="1" ht="25.5">
      <c r="A32" s="592"/>
      <c r="B32" s="787">
        <v>12035</v>
      </c>
      <c r="C32" s="787">
        <v>2860</v>
      </c>
      <c r="D32" s="640" t="s">
        <v>935</v>
      </c>
      <c r="E32" s="639" t="s">
        <v>936</v>
      </c>
      <c r="F32" s="639" t="s">
        <v>937</v>
      </c>
      <c r="G32" s="639" t="s">
        <v>923</v>
      </c>
      <c r="H32" s="639" t="s">
        <v>924</v>
      </c>
      <c r="I32" s="639" t="s">
        <v>936</v>
      </c>
      <c r="J32" s="786">
        <v>39653</v>
      </c>
      <c r="K32" s="786">
        <v>39688</v>
      </c>
      <c r="L32" s="639" t="s">
        <v>925</v>
      </c>
      <c r="M32" s="639">
        <v>1158</v>
      </c>
      <c r="N32" s="639">
        <v>5211</v>
      </c>
      <c r="O32" s="639">
        <v>7444.2857142857147</v>
      </c>
      <c r="P32" s="639">
        <v>14888.571428571429</v>
      </c>
      <c r="Q32" s="639">
        <v>0</v>
      </c>
      <c r="R32" s="639">
        <v>0</v>
      </c>
      <c r="S32" s="639">
        <v>0</v>
      </c>
      <c r="T32" s="639">
        <v>0</v>
      </c>
      <c r="U32" s="639">
        <v>0</v>
      </c>
      <c r="V32" s="639">
        <v>0</v>
      </c>
      <c r="W32" s="639">
        <v>0</v>
      </c>
      <c r="X32" s="639">
        <v>10</v>
      </c>
      <c r="Y32" s="639" t="s">
        <v>111</v>
      </c>
      <c r="Z32" s="641" t="s">
        <v>111</v>
      </c>
    </row>
    <row r="33" spans="1:26" s="593" customFormat="1" ht="38.25">
      <c r="A33" s="592"/>
      <c r="B33" s="787">
        <v>12035</v>
      </c>
      <c r="C33" s="787">
        <v>2861</v>
      </c>
      <c r="D33" s="640" t="s">
        <v>938</v>
      </c>
      <c r="E33" s="639" t="s">
        <v>939</v>
      </c>
      <c r="F33" s="639" t="s">
        <v>940</v>
      </c>
      <c r="G33" s="639" t="s">
        <v>923</v>
      </c>
      <c r="H33" s="639" t="s">
        <v>924</v>
      </c>
      <c r="I33" s="639" t="s">
        <v>939</v>
      </c>
      <c r="J33" s="786">
        <v>39805</v>
      </c>
      <c r="K33" s="786">
        <v>39805</v>
      </c>
      <c r="L33" s="639" t="s">
        <v>925</v>
      </c>
      <c r="M33" s="639">
        <v>2014</v>
      </c>
      <c r="N33" s="639">
        <v>9062.9999999999982</v>
      </c>
      <c r="O33" s="639">
        <v>12947.142857142855</v>
      </c>
      <c r="P33" s="639">
        <v>25894.28571428571</v>
      </c>
      <c r="Q33" s="639">
        <v>0</v>
      </c>
      <c r="R33" s="639">
        <v>0</v>
      </c>
      <c r="S33" s="639">
        <v>0</v>
      </c>
      <c r="T33" s="639">
        <v>0</v>
      </c>
      <c r="U33" s="639">
        <v>0</v>
      </c>
      <c r="V33" s="639">
        <v>0</v>
      </c>
      <c r="W33" s="639">
        <v>0</v>
      </c>
      <c r="X33" s="639">
        <v>10</v>
      </c>
      <c r="Y33" s="639" t="s">
        <v>111</v>
      </c>
      <c r="Z33" s="641" t="s">
        <v>111</v>
      </c>
    </row>
    <row r="34" spans="1:26" s="593" customFormat="1" ht="38.25">
      <c r="A34" s="592"/>
      <c r="B34" s="787">
        <v>12035</v>
      </c>
      <c r="C34" s="787">
        <v>2860</v>
      </c>
      <c r="D34" s="640" t="s">
        <v>941</v>
      </c>
      <c r="E34" s="639" t="s">
        <v>942</v>
      </c>
      <c r="F34" s="639" t="s">
        <v>943</v>
      </c>
      <c r="G34" s="639" t="s">
        <v>923</v>
      </c>
      <c r="H34" s="639" t="s">
        <v>944</v>
      </c>
      <c r="I34" s="639" t="s">
        <v>942</v>
      </c>
      <c r="J34" s="786">
        <v>39834</v>
      </c>
      <c r="K34" s="786">
        <v>39834</v>
      </c>
      <c r="L34" s="639" t="s">
        <v>945</v>
      </c>
      <c r="M34" s="639">
        <v>773</v>
      </c>
      <c r="N34" s="639">
        <v>3478.5</v>
      </c>
      <c r="O34" s="639">
        <v>3913.3125</v>
      </c>
      <c r="P34" s="639">
        <v>0</v>
      </c>
      <c r="Q34" s="639">
        <v>0</v>
      </c>
      <c r="R34" s="639">
        <v>0</v>
      </c>
      <c r="S34" s="639">
        <v>2174.0625</v>
      </c>
      <c r="T34" s="639">
        <v>6522.1875</v>
      </c>
      <c r="U34" s="639">
        <v>0</v>
      </c>
      <c r="V34" s="639">
        <v>0</v>
      </c>
      <c r="W34" s="639">
        <v>0</v>
      </c>
      <c r="X34" s="639">
        <v>10</v>
      </c>
      <c r="Y34" s="639" t="s">
        <v>111</v>
      </c>
      <c r="Z34" s="641" t="s">
        <v>111</v>
      </c>
    </row>
    <row r="35" spans="1:26" s="593" customFormat="1" ht="25.5">
      <c r="A35" s="592"/>
      <c r="B35" s="787">
        <v>12035</v>
      </c>
      <c r="C35" s="787">
        <v>2861</v>
      </c>
      <c r="D35" s="640" t="s">
        <v>946</v>
      </c>
      <c r="E35" s="639" t="s">
        <v>947</v>
      </c>
      <c r="F35" s="639" t="s">
        <v>948</v>
      </c>
      <c r="G35" s="639" t="s">
        <v>923</v>
      </c>
      <c r="H35" s="639" t="s">
        <v>924</v>
      </c>
      <c r="I35" s="639" t="s">
        <v>949</v>
      </c>
      <c r="J35" s="786">
        <v>39910</v>
      </c>
      <c r="K35" s="786">
        <v>39910</v>
      </c>
      <c r="L35" s="639" t="s">
        <v>925</v>
      </c>
      <c r="M35" s="639">
        <v>1400</v>
      </c>
      <c r="N35" s="639">
        <v>6300</v>
      </c>
      <c r="O35" s="639">
        <v>9000</v>
      </c>
      <c r="P35" s="639">
        <v>18000</v>
      </c>
      <c r="Q35" s="639">
        <v>0</v>
      </c>
      <c r="R35" s="639">
        <v>0</v>
      </c>
      <c r="S35" s="639">
        <v>0</v>
      </c>
      <c r="T35" s="639">
        <v>0</v>
      </c>
      <c r="U35" s="639">
        <v>0</v>
      </c>
      <c r="V35" s="639">
        <v>0</v>
      </c>
      <c r="W35" s="639">
        <v>0</v>
      </c>
      <c r="X35" s="639">
        <v>10</v>
      </c>
      <c r="Y35" s="639" t="s">
        <v>111</v>
      </c>
      <c r="Z35" s="641" t="s">
        <v>111</v>
      </c>
    </row>
    <row r="36" spans="1:26" s="593" customFormat="1" ht="25.5">
      <c r="A36" s="592"/>
      <c r="B36" s="787">
        <v>12035</v>
      </c>
      <c r="C36" s="787">
        <v>2861</v>
      </c>
      <c r="D36" s="640" t="s">
        <v>950</v>
      </c>
      <c r="E36" s="639" t="s">
        <v>951</v>
      </c>
      <c r="F36" s="639" t="s">
        <v>952</v>
      </c>
      <c r="G36" s="639" t="s">
        <v>923</v>
      </c>
      <c r="H36" s="639" t="s">
        <v>924</v>
      </c>
      <c r="I36" s="639" t="s">
        <v>951</v>
      </c>
      <c r="J36" s="786">
        <v>40006</v>
      </c>
      <c r="K36" s="786">
        <v>40007</v>
      </c>
      <c r="L36" s="639" t="s">
        <v>925</v>
      </c>
      <c r="M36" s="639">
        <v>1562</v>
      </c>
      <c r="N36" s="639">
        <v>7029</v>
      </c>
      <c r="O36" s="639">
        <v>10041.428571428572</v>
      </c>
      <c r="P36" s="639">
        <v>20082.857142857145</v>
      </c>
      <c r="Q36" s="639">
        <v>0</v>
      </c>
      <c r="R36" s="639">
        <v>0</v>
      </c>
      <c r="S36" s="639">
        <v>0</v>
      </c>
      <c r="T36" s="639">
        <v>0</v>
      </c>
      <c r="U36" s="639">
        <v>0</v>
      </c>
      <c r="V36" s="639">
        <v>0</v>
      </c>
      <c r="W36" s="639">
        <v>0</v>
      </c>
      <c r="X36" s="639">
        <v>10</v>
      </c>
      <c r="Y36" s="639" t="s">
        <v>111</v>
      </c>
      <c r="Z36" s="641" t="s">
        <v>111</v>
      </c>
    </row>
    <row r="37" spans="1:26" s="593" customFormat="1" ht="25.5">
      <c r="A37" s="592"/>
      <c r="B37" s="787">
        <v>12035</v>
      </c>
      <c r="C37" s="787">
        <v>2860</v>
      </c>
      <c r="D37" s="640" t="s">
        <v>953</v>
      </c>
      <c r="E37" s="639" t="s">
        <v>954</v>
      </c>
      <c r="F37" s="639" t="s">
        <v>955</v>
      </c>
      <c r="G37" s="639" t="s">
        <v>923</v>
      </c>
      <c r="H37" s="639" t="s">
        <v>924</v>
      </c>
      <c r="I37" s="639" t="s">
        <v>954</v>
      </c>
      <c r="J37" s="786">
        <v>40058</v>
      </c>
      <c r="K37" s="786">
        <v>40058</v>
      </c>
      <c r="L37" s="639" t="s">
        <v>925</v>
      </c>
      <c r="M37" s="639">
        <v>2014</v>
      </c>
      <c r="N37" s="639">
        <v>9062.9999999999982</v>
      </c>
      <c r="O37" s="639">
        <v>12947.142857142855</v>
      </c>
      <c r="P37" s="639">
        <v>25894.28571428571</v>
      </c>
      <c r="Q37" s="639">
        <v>0</v>
      </c>
      <c r="R37" s="639">
        <v>0</v>
      </c>
      <c r="S37" s="639">
        <v>0</v>
      </c>
      <c r="T37" s="639">
        <v>0</v>
      </c>
      <c r="U37" s="639">
        <v>0</v>
      </c>
      <c r="V37" s="639">
        <v>0</v>
      </c>
      <c r="W37" s="639">
        <v>0</v>
      </c>
      <c r="X37" s="639">
        <v>10</v>
      </c>
      <c r="Y37" s="639" t="s">
        <v>111</v>
      </c>
      <c r="Z37" s="641" t="s">
        <v>111</v>
      </c>
    </row>
    <row r="38" spans="1:26" s="593" customFormat="1" ht="25.5">
      <c r="A38" s="592"/>
      <c r="B38" s="787">
        <v>12035</v>
      </c>
      <c r="C38" s="787">
        <v>2861</v>
      </c>
      <c r="D38" s="640" t="s">
        <v>956</v>
      </c>
      <c r="E38" s="639" t="s">
        <v>957</v>
      </c>
      <c r="F38" s="639" t="s">
        <v>958</v>
      </c>
      <c r="G38" s="639" t="s">
        <v>923</v>
      </c>
      <c r="H38" s="639" t="s">
        <v>924</v>
      </c>
      <c r="I38" s="639" t="s">
        <v>957</v>
      </c>
      <c r="J38" s="786">
        <v>40108</v>
      </c>
      <c r="K38" s="786">
        <v>40112</v>
      </c>
      <c r="L38" s="639" t="s">
        <v>925</v>
      </c>
      <c r="M38" s="639">
        <v>2014</v>
      </c>
      <c r="N38" s="639">
        <v>9062.9999999999982</v>
      </c>
      <c r="O38" s="639">
        <v>12947.142857142855</v>
      </c>
      <c r="P38" s="639">
        <v>25894.28571428571</v>
      </c>
      <c r="Q38" s="639">
        <v>0</v>
      </c>
      <c r="R38" s="639">
        <v>0</v>
      </c>
      <c r="S38" s="639">
        <v>0</v>
      </c>
      <c r="T38" s="639">
        <v>0</v>
      </c>
      <c r="U38" s="639">
        <v>0</v>
      </c>
      <c r="V38" s="639">
        <v>0</v>
      </c>
      <c r="W38" s="639">
        <v>0</v>
      </c>
      <c r="X38" s="639">
        <v>10</v>
      </c>
      <c r="Y38" s="639" t="s">
        <v>111</v>
      </c>
      <c r="Z38" s="641" t="s">
        <v>111</v>
      </c>
    </row>
    <row r="39" spans="1:26" s="593" customFormat="1" ht="25.5">
      <c r="A39" s="592"/>
      <c r="B39" s="787">
        <v>12035</v>
      </c>
      <c r="C39" s="787">
        <v>2860</v>
      </c>
      <c r="D39" s="640" t="s">
        <v>959</v>
      </c>
      <c r="E39" s="639" t="s">
        <v>960</v>
      </c>
      <c r="F39" s="639" t="s">
        <v>961</v>
      </c>
      <c r="G39" s="639" t="s">
        <v>923</v>
      </c>
      <c r="H39" s="639" t="s">
        <v>924</v>
      </c>
      <c r="I39" s="639" t="s">
        <v>962</v>
      </c>
      <c r="J39" s="786">
        <v>40193</v>
      </c>
      <c r="K39" s="786">
        <v>40193</v>
      </c>
      <c r="L39" s="639" t="s">
        <v>925</v>
      </c>
      <c r="M39" s="639">
        <v>2014</v>
      </c>
      <c r="N39" s="639">
        <v>9062.9999999999982</v>
      </c>
      <c r="O39" s="639">
        <v>12947.142857142855</v>
      </c>
      <c r="P39" s="639">
        <v>25894.28571428571</v>
      </c>
      <c r="Q39" s="639">
        <v>0</v>
      </c>
      <c r="R39" s="639">
        <v>0</v>
      </c>
      <c r="S39" s="639">
        <v>0</v>
      </c>
      <c r="T39" s="639">
        <v>0</v>
      </c>
      <c r="U39" s="639">
        <v>0</v>
      </c>
      <c r="V39" s="639">
        <v>0</v>
      </c>
      <c r="W39" s="639">
        <v>0</v>
      </c>
      <c r="X39" s="639">
        <v>10</v>
      </c>
      <c r="Y39" s="639" t="s">
        <v>111</v>
      </c>
      <c r="Z39" s="641" t="s">
        <v>111</v>
      </c>
    </row>
    <row r="40" spans="1:26" s="593" customFormat="1" ht="38.25">
      <c r="A40" s="592"/>
      <c r="B40" s="787">
        <v>12035</v>
      </c>
      <c r="C40" s="787">
        <v>2861</v>
      </c>
      <c r="D40" s="640" t="s">
        <v>963</v>
      </c>
      <c r="E40" s="639" t="s">
        <v>964</v>
      </c>
      <c r="F40" s="639" t="s">
        <v>965</v>
      </c>
      <c r="G40" s="639" t="s">
        <v>923</v>
      </c>
      <c r="H40" s="639" t="s">
        <v>944</v>
      </c>
      <c r="I40" s="639" t="s">
        <v>964</v>
      </c>
      <c r="J40" s="786">
        <v>40196</v>
      </c>
      <c r="K40" s="786">
        <v>40196</v>
      </c>
      <c r="L40" s="639" t="s">
        <v>925</v>
      </c>
      <c r="M40" s="639">
        <v>640</v>
      </c>
      <c r="N40" s="639">
        <v>2880</v>
      </c>
      <c r="O40" s="639">
        <v>3240</v>
      </c>
      <c r="P40" s="639">
        <v>0</v>
      </c>
      <c r="Q40" s="639">
        <v>0</v>
      </c>
      <c r="R40" s="639">
        <v>0</v>
      </c>
      <c r="S40" s="639">
        <v>1800</v>
      </c>
      <c r="T40" s="639">
        <v>5400</v>
      </c>
      <c r="U40" s="639">
        <v>0</v>
      </c>
      <c r="V40" s="639">
        <v>0</v>
      </c>
      <c r="W40" s="639">
        <v>0</v>
      </c>
      <c r="X40" s="639">
        <v>10</v>
      </c>
      <c r="Y40" s="639" t="s">
        <v>111</v>
      </c>
      <c r="Z40" s="641" t="s">
        <v>111</v>
      </c>
    </row>
    <row r="41" spans="1:26" s="593" customFormat="1" ht="38.25">
      <c r="A41" s="592"/>
      <c r="B41" s="787">
        <v>12035</v>
      </c>
      <c r="C41" s="787">
        <v>2860</v>
      </c>
      <c r="D41" s="640" t="s">
        <v>966</v>
      </c>
      <c r="E41" s="639" t="s">
        <v>967</v>
      </c>
      <c r="F41" s="639" t="s">
        <v>968</v>
      </c>
      <c r="G41" s="639" t="s">
        <v>923</v>
      </c>
      <c r="H41" s="639" t="s">
        <v>944</v>
      </c>
      <c r="I41" s="639" t="s">
        <v>967</v>
      </c>
      <c r="J41" s="786">
        <v>40315</v>
      </c>
      <c r="K41" s="786">
        <v>40315</v>
      </c>
      <c r="L41" s="639" t="s">
        <v>925</v>
      </c>
      <c r="M41" s="639">
        <v>1058</v>
      </c>
      <c r="N41" s="639">
        <v>4761</v>
      </c>
      <c r="O41" s="639">
        <v>5356.125</v>
      </c>
      <c r="P41" s="639">
        <v>0</v>
      </c>
      <c r="Q41" s="639">
        <v>0</v>
      </c>
      <c r="R41" s="639">
        <v>0</v>
      </c>
      <c r="S41" s="639">
        <v>2975.625</v>
      </c>
      <c r="T41" s="639">
        <v>8926.875</v>
      </c>
      <c r="U41" s="639">
        <v>0</v>
      </c>
      <c r="V41" s="639">
        <v>0</v>
      </c>
      <c r="W41" s="639">
        <v>0</v>
      </c>
      <c r="X41" s="639">
        <v>10</v>
      </c>
      <c r="Y41" s="639" t="s">
        <v>111</v>
      </c>
      <c r="Z41" s="641" t="s">
        <v>111</v>
      </c>
    </row>
    <row r="42" spans="1:26" s="593" customFormat="1" ht="25.5">
      <c r="A42" s="592"/>
      <c r="B42" s="787">
        <v>12035</v>
      </c>
      <c r="C42" s="787">
        <v>2860</v>
      </c>
      <c r="D42" s="640" t="s">
        <v>969</v>
      </c>
      <c r="E42" s="639" t="s">
        <v>970</v>
      </c>
      <c r="F42" s="639" t="s">
        <v>971</v>
      </c>
      <c r="G42" s="639" t="s">
        <v>923</v>
      </c>
      <c r="H42" s="639" t="s">
        <v>924</v>
      </c>
      <c r="I42" s="639" t="s">
        <v>970</v>
      </c>
      <c r="J42" s="786">
        <v>40396</v>
      </c>
      <c r="K42" s="786">
        <v>40399</v>
      </c>
      <c r="L42" s="639" t="s">
        <v>925</v>
      </c>
      <c r="M42" s="639">
        <v>1008</v>
      </c>
      <c r="N42" s="639">
        <v>4536</v>
      </c>
      <c r="O42" s="639">
        <v>6480</v>
      </c>
      <c r="P42" s="639">
        <v>12960</v>
      </c>
      <c r="Q42" s="639">
        <v>0</v>
      </c>
      <c r="R42" s="639">
        <v>0</v>
      </c>
      <c r="S42" s="639">
        <v>0</v>
      </c>
      <c r="T42" s="639">
        <v>0</v>
      </c>
      <c r="U42" s="639">
        <v>0</v>
      </c>
      <c r="V42" s="639">
        <v>0</v>
      </c>
      <c r="W42" s="639">
        <v>0</v>
      </c>
      <c r="X42" s="639">
        <v>10</v>
      </c>
      <c r="Y42" s="639" t="s">
        <v>111</v>
      </c>
      <c r="Z42" s="641" t="s">
        <v>111</v>
      </c>
    </row>
    <row r="43" spans="1:26" s="593" customFormat="1" ht="38.25">
      <c r="A43" s="592"/>
      <c r="B43" s="787">
        <v>12035</v>
      </c>
      <c r="C43" s="787">
        <v>2860</v>
      </c>
      <c r="D43" s="640" t="s">
        <v>972</v>
      </c>
      <c r="E43" s="639" t="s">
        <v>973</v>
      </c>
      <c r="F43" s="639" t="s">
        <v>974</v>
      </c>
      <c r="G43" s="639" t="s">
        <v>923</v>
      </c>
      <c r="H43" s="639" t="s">
        <v>924</v>
      </c>
      <c r="I43" s="639" t="s">
        <v>973</v>
      </c>
      <c r="J43" s="786">
        <v>40422</v>
      </c>
      <c r="K43" s="786">
        <v>40664</v>
      </c>
      <c r="L43" s="639" t="s">
        <v>925</v>
      </c>
      <c r="M43" s="639">
        <v>265</v>
      </c>
      <c r="N43" s="639">
        <v>1192.5</v>
      </c>
      <c r="O43" s="639">
        <v>1703.5714285714287</v>
      </c>
      <c r="P43" s="639">
        <v>3407.1428571428573</v>
      </c>
      <c r="Q43" s="639">
        <v>0</v>
      </c>
      <c r="R43" s="639">
        <v>0</v>
      </c>
      <c r="S43" s="639">
        <v>0</v>
      </c>
      <c r="T43" s="639">
        <v>0</v>
      </c>
      <c r="U43" s="639">
        <v>0</v>
      </c>
      <c r="V43" s="639">
        <v>0</v>
      </c>
      <c r="W43" s="639">
        <v>0</v>
      </c>
      <c r="X43" s="639">
        <v>10</v>
      </c>
      <c r="Y43" s="639" t="s">
        <v>111</v>
      </c>
      <c r="Z43" s="641" t="s">
        <v>111</v>
      </c>
    </row>
    <row r="44" spans="1:26" s="593" customFormat="1" ht="25.5">
      <c r="A44" s="592"/>
      <c r="B44" s="787">
        <v>12035</v>
      </c>
      <c r="C44" s="787">
        <v>2861</v>
      </c>
      <c r="D44" s="640" t="s">
        <v>975</v>
      </c>
      <c r="E44" s="639" t="s">
        <v>976</v>
      </c>
      <c r="F44" s="639" t="s">
        <v>977</v>
      </c>
      <c r="G44" s="639" t="s">
        <v>923</v>
      </c>
      <c r="H44" s="639" t="s">
        <v>924</v>
      </c>
      <c r="I44" s="639" t="s">
        <v>976</v>
      </c>
      <c r="J44" s="786">
        <v>40466</v>
      </c>
      <c r="K44" s="786">
        <v>40466</v>
      </c>
      <c r="L44" s="639" t="s">
        <v>925</v>
      </c>
      <c r="M44" s="639">
        <v>800</v>
      </c>
      <c r="N44" s="639">
        <v>3600</v>
      </c>
      <c r="O44" s="639">
        <v>5142.8571428571431</v>
      </c>
      <c r="P44" s="639">
        <v>10285.714285714286</v>
      </c>
      <c r="Q44" s="639">
        <v>0</v>
      </c>
      <c r="R44" s="639">
        <v>0</v>
      </c>
      <c r="S44" s="639">
        <v>0</v>
      </c>
      <c r="T44" s="639">
        <v>0</v>
      </c>
      <c r="U44" s="639">
        <v>0</v>
      </c>
      <c r="V44" s="639">
        <v>0</v>
      </c>
      <c r="W44" s="639">
        <v>0</v>
      </c>
      <c r="X44" s="639">
        <v>10</v>
      </c>
      <c r="Y44" s="639" t="s">
        <v>111</v>
      </c>
      <c r="Z44" s="641" t="s">
        <v>111</v>
      </c>
    </row>
    <row r="45" spans="1:26" s="593" customFormat="1" ht="25.5">
      <c r="A45" s="592"/>
      <c r="B45" s="787">
        <v>12035</v>
      </c>
      <c r="C45" s="787">
        <v>2861</v>
      </c>
      <c r="D45" s="640" t="s">
        <v>946</v>
      </c>
      <c r="E45" s="639" t="s">
        <v>947</v>
      </c>
      <c r="F45" s="639" t="s">
        <v>978</v>
      </c>
      <c r="G45" s="639" t="s">
        <v>923</v>
      </c>
      <c r="H45" s="639" t="s">
        <v>924</v>
      </c>
      <c r="I45" s="639" t="s">
        <v>979</v>
      </c>
      <c r="J45" s="786">
        <v>40472</v>
      </c>
      <c r="K45" s="786">
        <v>40478</v>
      </c>
      <c r="L45" s="639" t="s">
        <v>925</v>
      </c>
      <c r="M45" s="639">
        <v>2040</v>
      </c>
      <c r="N45" s="639">
        <v>9180</v>
      </c>
      <c r="O45" s="639">
        <v>13114.285714285714</v>
      </c>
      <c r="P45" s="639">
        <v>26228.571428571431</v>
      </c>
      <c r="Q45" s="639">
        <v>0</v>
      </c>
      <c r="R45" s="639">
        <v>0</v>
      </c>
      <c r="S45" s="639">
        <v>0</v>
      </c>
      <c r="T45" s="639">
        <v>0</v>
      </c>
      <c r="U45" s="639">
        <v>0</v>
      </c>
      <c r="V45" s="639">
        <v>0</v>
      </c>
      <c r="W45" s="639">
        <v>0</v>
      </c>
      <c r="X45" s="639">
        <v>10</v>
      </c>
      <c r="Y45" s="639" t="s">
        <v>111</v>
      </c>
      <c r="Z45" s="641" t="s">
        <v>111</v>
      </c>
    </row>
    <row r="46" spans="1:26" s="593" customFormat="1" ht="38.25">
      <c r="A46" s="592"/>
      <c r="B46" s="787">
        <v>12035</v>
      </c>
      <c r="C46" s="787">
        <v>2861</v>
      </c>
      <c r="D46" s="640" t="s">
        <v>980</v>
      </c>
      <c r="E46" s="639" t="s">
        <v>981</v>
      </c>
      <c r="F46" s="639" t="s">
        <v>982</v>
      </c>
      <c r="G46" s="639" t="s">
        <v>923</v>
      </c>
      <c r="H46" s="639" t="s">
        <v>944</v>
      </c>
      <c r="I46" s="639" t="s">
        <v>981</v>
      </c>
      <c r="J46" s="786">
        <v>40477</v>
      </c>
      <c r="K46" s="786">
        <v>40477</v>
      </c>
      <c r="L46" s="639" t="s">
        <v>945</v>
      </c>
      <c r="M46" s="639">
        <v>528</v>
      </c>
      <c r="N46" s="639">
        <v>2376</v>
      </c>
      <c r="O46" s="639">
        <v>2673</v>
      </c>
      <c r="P46" s="639">
        <v>0</v>
      </c>
      <c r="Q46" s="639">
        <v>0</v>
      </c>
      <c r="R46" s="639">
        <v>0</v>
      </c>
      <c r="S46" s="639">
        <v>1485</v>
      </c>
      <c r="T46" s="639">
        <v>4455</v>
      </c>
      <c r="U46" s="639">
        <v>0</v>
      </c>
      <c r="V46" s="639">
        <v>0</v>
      </c>
      <c r="W46" s="639">
        <v>0</v>
      </c>
      <c r="X46" s="639">
        <v>10</v>
      </c>
      <c r="Y46" s="639" t="s">
        <v>111</v>
      </c>
      <c r="Z46" s="641" t="s">
        <v>111</v>
      </c>
    </row>
    <row r="47" spans="1:26" s="593" customFormat="1" ht="25.5">
      <c r="A47" s="592"/>
      <c r="B47" s="787">
        <v>12035</v>
      </c>
      <c r="C47" s="787">
        <v>2860</v>
      </c>
      <c r="D47" s="640" t="s">
        <v>983</v>
      </c>
      <c r="E47" s="639" t="s">
        <v>984</v>
      </c>
      <c r="F47" s="639" t="s">
        <v>985</v>
      </c>
      <c r="G47" s="639" t="s">
        <v>923</v>
      </c>
      <c r="H47" s="639" t="s">
        <v>924</v>
      </c>
      <c r="I47" s="639" t="s">
        <v>984</v>
      </c>
      <c r="J47" s="786">
        <v>40480</v>
      </c>
      <c r="K47" s="786">
        <v>40480</v>
      </c>
      <c r="L47" s="639" t="s">
        <v>925</v>
      </c>
      <c r="M47" s="639">
        <v>2014</v>
      </c>
      <c r="N47" s="639">
        <v>9062.9999999999982</v>
      </c>
      <c r="O47" s="639">
        <v>12947.142857142855</v>
      </c>
      <c r="P47" s="639">
        <v>25894.28571428571</v>
      </c>
      <c r="Q47" s="639">
        <v>0</v>
      </c>
      <c r="R47" s="639">
        <v>0</v>
      </c>
      <c r="S47" s="639">
        <v>0</v>
      </c>
      <c r="T47" s="639">
        <v>0</v>
      </c>
      <c r="U47" s="639">
        <v>0</v>
      </c>
      <c r="V47" s="639">
        <v>0</v>
      </c>
      <c r="W47" s="639">
        <v>0</v>
      </c>
      <c r="X47" s="639">
        <v>10</v>
      </c>
      <c r="Y47" s="639" t="s">
        <v>111</v>
      </c>
      <c r="Z47" s="641" t="s">
        <v>111</v>
      </c>
    </row>
    <row r="48" spans="1:26" s="593" customFormat="1" ht="38.25">
      <c r="A48" s="592"/>
      <c r="B48" s="787">
        <v>12035</v>
      </c>
      <c r="C48" s="787">
        <v>2861</v>
      </c>
      <c r="D48" s="640" t="s">
        <v>986</v>
      </c>
      <c r="E48" s="639" t="s">
        <v>987</v>
      </c>
      <c r="F48" s="639" t="s">
        <v>988</v>
      </c>
      <c r="G48" s="639" t="s">
        <v>923</v>
      </c>
      <c r="H48" s="639" t="s">
        <v>944</v>
      </c>
      <c r="I48" s="639" t="s">
        <v>989</v>
      </c>
      <c r="J48" s="786">
        <v>40519</v>
      </c>
      <c r="K48" s="786">
        <v>40513</v>
      </c>
      <c r="L48" s="639" t="s">
        <v>925</v>
      </c>
      <c r="M48" s="639">
        <v>1000</v>
      </c>
      <c r="N48" s="639">
        <v>4500</v>
      </c>
      <c r="O48" s="639">
        <v>5062.5</v>
      </c>
      <c r="P48" s="639">
        <v>0</v>
      </c>
      <c r="Q48" s="639">
        <v>0</v>
      </c>
      <c r="R48" s="639">
        <v>0</v>
      </c>
      <c r="S48" s="639">
        <v>0</v>
      </c>
      <c r="T48" s="639">
        <v>11250</v>
      </c>
      <c r="U48" s="639">
        <v>0</v>
      </c>
      <c r="V48" s="639">
        <v>0</v>
      </c>
      <c r="W48" s="639">
        <v>0</v>
      </c>
      <c r="X48" s="639">
        <v>10</v>
      </c>
      <c r="Y48" s="639" t="s">
        <v>111</v>
      </c>
      <c r="Z48" s="641" t="s">
        <v>111</v>
      </c>
    </row>
    <row r="49" spans="1:26" s="593" customFormat="1" ht="38.25">
      <c r="A49" s="592"/>
      <c r="B49" s="787">
        <v>12035</v>
      </c>
      <c r="C49" s="787">
        <v>2860</v>
      </c>
      <c r="D49" s="640" t="s">
        <v>990</v>
      </c>
      <c r="E49" s="639" t="s">
        <v>991</v>
      </c>
      <c r="F49" s="639" t="s">
        <v>992</v>
      </c>
      <c r="G49" s="639" t="s">
        <v>923</v>
      </c>
      <c r="H49" s="639" t="s">
        <v>944</v>
      </c>
      <c r="I49" s="639" t="s">
        <v>991</v>
      </c>
      <c r="J49" s="786">
        <v>40568</v>
      </c>
      <c r="K49" s="786">
        <v>39203</v>
      </c>
      <c r="L49" s="639" t="s">
        <v>925</v>
      </c>
      <c r="M49" s="639">
        <v>1129</v>
      </c>
      <c r="N49" s="639">
        <v>5080.5</v>
      </c>
      <c r="O49" s="639">
        <v>5715.5625</v>
      </c>
      <c r="P49" s="639">
        <v>0</v>
      </c>
      <c r="Q49" s="639">
        <v>0</v>
      </c>
      <c r="R49" s="639">
        <v>0</v>
      </c>
      <c r="S49" s="639">
        <v>3175.3125</v>
      </c>
      <c r="T49" s="639">
        <v>9525.9375</v>
      </c>
      <c r="U49" s="639">
        <v>0</v>
      </c>
      <c r="V49" s="639">
        <v>0</v>
      </c>
      <c r="W49" s="639">
        <v>0</v>
      </c>
      <c r="X49" s="639">
        <v>10</v>
      </c>
      <c r="Y49" s="639" t="s">
        <v>111</v>
      </c>
      <c r="Z49" s="641" t="s">
        <v>111</v>
      </c>
    </row>
    <row r="50" spans="1:26" s="593" customFormat="1" ht="25.5">
      <c r="A50" s="592"/>
      <c r="B50" s="787">
        <v>12035</v>
      </c>
      <c r="C50" s="787">
        <v>2861</v>
      </c>
      <c r="D50" s="640" t="s">
        <v>993</v>
      </c>
      <c r="E50" s="639" t="s">
        <v>994</v>
      </c>
      <c r="F50" s="639" t="s">
        <v>995</v>
      </c>
      <c r="G50" s="639" t="s">
        <v>923</v>
      </c>
      <c r="H50" s="639" t="s">
        <v>924</v>
      </c>
      <c r="I50" s="639" t="s">
        <v>994</v>
      </c>
      <c r="J50" s="786">
        <v>40570</v>
      </c>
      <c r="K50" s="786">
        <v>39247</v>
      </c>
      <c r="L50" s="639" t="s">
        <v>925</v>
      </c>
      <c r="M50" s="639">
        <v>1752</v>
      </c>
      <c r="N50" s="639">
        <v>7884</v>
      </c>
      <c r="O50" s="639">
        <v>11262.857142857143</v>
      </c>
      <c r="P50" s="639">
        <v>22525.714285714286</v>
      </c>
      <c r="Q50" s="639">
        <v>0</v>
      </c>
      <c r="R50" s="639">
        <v>0</v>
      </c>
      <c r="S50" s="639">
        <v>0</v>
      </c>
      <c r="T50" s="639">
        <v>0</v>
      </c>
      <c r="U50" s="639">
        <v>0</v>
      </c>
      <c r="V50" s="639">
        <v>0</v>
      </c>
      <c r="W50" s="639">
        <v>0</v>
      </c>
      <c r="X50" s="639">
        <v>10</v>
      </c>
      <c r="Y50" s="639" t="s">
        <v>111</v>
      </c>
      <c r="Z50" s="641" t="s">
        <v>111</v>
      </c>
    </row>
    <row r="51" spans="1:26" s="593" customFormat="1" ht="25.5">
      <c r="A51" s="592"/>
      <c r="B51" s="787">
        <v>12035</v>
      </c>
      <c r="C51" s="787">
        <v>2860</v>
      </c>
      <c r="D51" s="640" t="s">
        <v>996</v>
      </c>
      <c r="E51" s="639" t="s">
        <v>997</v>
      </c>
      <c r="F51" s="639" t="s">
        <v>998</v>
      </c>
      <c r="G51" s="639" t="s">
        <v>923</v>
      </c>
      <c r="H51" s="639" t="s">
        <v>924</v>
      </c>
      <c r="I51" s="639" t="s">
        <v>997</v>
      </c>
      <c r="J51" s="786">
        <v>40784</v>
      </c>
      <c r="K51" s="786">
        <v>40784</v>
      </c>
      <c r="L51" s="639" t="s">
        <v>925</v>
      </c>
      <c r="M51" s="639">
        <v>1160</v>
      </c>
      <c r="N51" s="639">
        <v>5220</v>
      </c>
      <c r="O51" s="639">
        <v>7457.1428571428569</v>
      </c>
      <c r="P51" s="639">
        <v>14914.285714285716</v>
      </c>
      <c r="Q51" s="639">
        <v>0</v>
      </c>
      <c r="R51" s="639">
        <v>0</v>
      </c>
      <c r="S51" s="639">
        <v>0</v>
      </c>
      <c r="T51" s="639">
        <v>0</v>
      </c>
      <c r="U51" s="639">
        <v>0</v>
      </c>
      <c r="V51" s="639">
        <v>0</v>
      </c>
      <c r="W51" s="639">
        <v>0</v>
      </c>
      <c r="X51" s="639">
        <v>10</v>
      </c>
      <c r="Y51" s="639" t="s">
        <v>111</v>
      </c>
      <c r="Z51" s="641" t="s">
        <v>111</v>
      </c>
    </row>
    <row r="52" spans="1:26" s="593" customFormat="1" ht="25.5">
      <c r="A52" s="592"/>
      <c r="B52" s="787">
        <v>12035</v>
      </c>
      <c r="C52" s="787">
        <v>2861</v>
      </c>
      <c r="D52" s="640" t="s">
        <v>999</v>
      </c>
      <c r="E52" s="639" t="s">
        <v>1000</v>
      </c>
      <c r="F52" s="639" t="s">
        <v>1001</v>
      </c>
      <c r="G52" s="639" t="s">
        <v>923</v>
      </c>
      <c r="H52" s="639" t="s">
        <v>924</v>
      </c>
      <c r="I52" s="639" t="s">
        <v>1000</v>
      </c>
      <c r="J52" s="786">
        <v>40858</v>
      </c>
      <c r="K52" s="786">
        <v>41000</v>
      </c>
      <c r="L52" s="639" t="s">
        <v>925</v>
      </c>
      <c r="M52" s="639">
        <v>9</v>
      </c>
      <c r="N52" s="639">
        <v>40.5</v>
      </c>
      <c r="O52" s="639">
        <v>57.857142857142861</v>
      </c>
      <c r="P52" s="639">
        <v>0</v>
      </c>
      <c r="Q52" s="639">
        <v>0</v>
      </c>
      <c r="R52" s="639">
        <v>0</v>
      </c>
      <c r="S52" s="639">
        <v>0</v>
      </c>
      <c r="T52" s="639">
        <v>0</v>
      </c>
      <c r="U52" s="639">
        <v>0</v>
      </c>
      <c r="V52" s="639">
        <v>115.71428571428572</v>
      </c>
      <c r="W52" s="639">
        <v>0</v>
      </c>
      <c r="X52" s="639">
        <v>10</v>
      </c>
      <c r="Y52" s="639" t="s">
        <v>111</v>
      </c>
      <c r="Z52" s="641" t="s">
        <v>111</v>
      </c>
    </row>
    <row r="53" spans="1:26" s="593" customFormat="1" ht="38.25">
      <c r="A53" s="592"/>
      <c r="B53" s="787">
        <v>12035</v>
      </c>
      <c r="C53" s="787">
        <v>2861</v>
      </c>
      <c r="D53" s="640" t="s">
        <v>1002</v>
      </c>
      <c r="E53" s="639" t="s">
        <v>1003</v>
      </c>
      <c r="F53" s="639" t="s">
        <v>1004</v>
      </c>
      <c r="G53" s="639" t="s">
        <v>923</v>
      </c>
      <c r="H53" s="639" t="s">
        <v>924</v>
      </c>
      <c r="I53" s="639" t="s">
        <v>1003</v>
      </c>
      <c r="J53" s="786">
        <v>40921</v>
      </c>
      <c r="K53" s="786">
        <v>39455</v>
      </c>
      <c r="L53" s="639" t="s">
        <v>925</v>
      </c>
      <c r="M53" s="639">
        <v>2566</v>
      </c>
      <c r="N53" s="639">
        <v>11547</v>
      </c>
      <c r="O53" s="639">
        <v>16495.714285714286</v>
      </c>
      <c r="P53" s="639">
        <v>32991.428571428572</v>
      </c>
      <c r="Q53" s="639">
        <v>0</v>
      </c>
      <c r="R53" s="639">
        <v>0</v>
      </c>
      <c r="S53" s="639">
        <v>0</v>
      </c>
      <c r="T53" s="639">
        <v>0</v>
      </c>
      <c r="U53" s="639">
        <v>0</v>
      </c>
      <c r="V53" s="639">
        <v>0</v>
      </c>
      <c r="W53" s="639">
        <v>0</v>
      </c>
      <c r="X53" s="639">
        <v>10</v>
      </c>
      <c r="Y53" s="639" t="s">
        <v>111</v>
      </c>
      <c r="Z53" s="641" t="s">
        <v>111</v>
      </c>
    </row>
    <row r="54" spans="1:26" s="593" customFormat="1" ht="25.5">
      <c r="A54" s="592"/>
      <c r="B54" s="787">
        <v>12035</v>
      </c>
      <c r="C54" s="787">
        <v>2861</v>
      </c>
      <c r="D54" s="640" t="s">
        <v>1005</v>
      </c>
      <c r="E54" s="639" t="s">
        <v>1006</v>
      </c>
      <c r="F54" s="639" t="s">
        <v>1007</v>
      </c>
      <c r="G54" s="639" t="s">
        <v>923</v>
      </c>
      <c r="H54" s="639" t="s">
        <v>924</v>
      </c>
      <c r="I54" s="639" t="s">
        <v>1006</v>
      </c>
      <c r="J54" s="786">
        <v>41031</v>
      </c>
      <c r="K54" s="786">
        <v>41031</v>
      </c>
      <c r="L54" s="639" t="s">
        <v>925</v>
      </c>
      <c r="M54" s="639">
        <v>1200</v>
      </c>
      <c r="N54" s="639">
        <v>5400</v>
      </c>
      <c r="O54" s="639">
        <v>7714.2857142857147</v>
      </c>
      <c r="P54" s="639">
        <v>15428.571428571429</v>
      </c>
      <c r="Q54" s="639">
        <v>0</v>
      </c>
      <c r="R54" s="639">
        <v>0</v>
      </c>
      <c r="S54" s="639">
        <v>0</v>
      </c>
      <c r="T54" s="639">
        <v>0</v>
      </c>
      <c r="U54" s="639">
        <v>0</v>
      </c>
      <c r="V54" s="639">
        <v>0</v>
      </c>
      <c r="W54" s="639">
        <v>0</v>
      </c>
      <c r="X54" s="639">
        <v>1300</v>
      </c>
      <c r="Y54" s="639" t="s">
        <v>53</v>
      </c>
      <c r="Z54" s="641" t="s">
        <v>155</v>
      </c>
    </row>
    <row r="55" spans="1:26" s="593" customFormat="1" ht="25.5">
      <c r="A55" s="592"/>
      <c r="B55" s="787">
        <v>12035</v>
      </c>
      <c r="C55" s="787">
        <v>2861</v>
      </c>
      <c r="D55" s="640" t="s">
        <v>1008</v>
      </c>
      <c r="E55" s="639" t="s">
        <v>964</v>
      </c>
      <c r="F55" s="639" t="s">
        <v>1009</v>
      </c>
      <c r="G55" s="639" t="s">
        <v>923</v>
      </c>
      <c r="H55" s="639" t="s">
        <v>924</v>
      </c>
      <c r="I55" s="639" t="s">
        <v>964</v>
      </c>
      <c r="J55" s="786">
        <v>41033</v>
      </c>
      <c r="K55" s="786">
        <v>41033</v>
      </c>
      <c r="L55" s="639" t="s">
        <v>925</v>
      </c>
      <c r="M55" s="639">
        <v>800</v>
      </c>
      <c r="N55" s="639">
        <v>3600</v>
      </c>
      <c r="O55" s="639">
        <v>5142.8571428571431</v>
      </c>
      <c r="P55" s="639">
        <v>10285.714285714286</v>
      </c>
      <c r="Q55" s="639">
        <v>0</v>
      </c>
      <c r="R55" s="639">
        <v>0</v>
      </c>
      <c r="S55" s="639">
        <v>0</v>
      </c>
      <c r="T55" s="639">
        <v>0</v>
      </c>
      <c r="U55" s="639">
        <v>0</v>
      </c>
      <c r="V55" s="639">
        <v>0</v>
      </c>
      <c r="W55" s="639">
        <v>0</v>
      </c>
      <c r="X55" s="639">
        <v>10</v>
      </c>
      <c r="Y55" s="639" t="s">
        <v>111</v>
      </c>
      <c r="Z55" s="641" t="s">
        <v>111</v>
      </c>
    </row>
    <row r="56" spans="1:26" s="576" customFormat="1">
      <c r="A56" s="595" t="s">
        <v>279</v>
      </c>
      <c r="B56" s="596"/>
      <c r="C56" s="596"/>
      <c r="D56" s="596"/>
      <c r="E56" s="596"/>
      <c r="F56" s="596"/>
      <c r="G56" s="596"/>
      <c r="H56" s="596"/>
      <c r="I56" s="596"/>
      <c r="J56" s="596"/>
      <c r="K56" s="596"/>
      <c r="L56" s="597"/>
      <c r="M56" s="597">
        <f>SUM(M28:M55)</f>
        <v>37472</v>
      </c>
      <c r="N56" s="597">
        <f>SUM(N28:N55)</f>
        <v>168624</v>
      </c>
      <c r="O56" s="597">
        <f>SUM(O28:O55)</f>
        <v>233886.2142857142</v>
      </c>
      <c r="P56" s="597">
        <f>SUM(P28:P55)</f>
        <v>415735.71428571426</v>
      </c>
      <c r="Q56" s="597">
        <f>SUM(Q28:Q55)</f>
        <v>0</v>
      </c>
      <c r="R56" s="597">
        <f>SUM(R28:R55)</f>
        <v>0</v>
      </c>
      <c r="S56" s="597">
        <f>SUM(S28:S55)</f>
        <v>11610</v>
      </c>
      <c r="T56" s="597">
        <f>SUM(T28:T55)</f>
        <v>46080</v>
      </c>
      <c r="U56" s="597">
        <f>SUM(U28:U55)</f>
        <v>0</v>
      </c>
      <c r="V56" s="597">
        <f>SUM(V28:V55)</f>
        <v>115.71428571428572</v>
      </c>
      <c r="W56" s="597">
        <f>SUM(W28:W55)</f>
        <v>0</v>
      </c>
      <c r="X56" s="598"/>
      <c r="Y56" s="598"/>
      <c r="Z56" s="599"/>
    </row>
    <row r="57" spans="1:26" s="576" customFormat="1">
      <c r="A57" s="595" t="s">
        <v>286</v>
      </c>
      <c r="B57" s="596"/>
      <c r="C57" s="596"/>
      <c r="D57" s="596"/>
      <c r="E57" s="596"/>
      <c r="F57" s="596"/>
      <c r="G57" s="596"/>
      <c r="H57" s="596"/>
      <c r="I57" s="596"/>
      <c r="J57" s="596"/>
      <c r="K57" s="596"/>
      <c r="L57" s="597"/>
      <c r="M57" s="597">
        <f>SUMIF($Z$28:$Z$55,"industrie",M28:M55)</f>
        <v>0</v>
      </c>
      <c r="N57" s="597">
        <f>SUMIF($Z$28:$Z$55,"industrie",N28:N55)</f>
        <v>0</v>
      </c>
      <c r="O57" s="597">
        <f>SUMIF($Z$28:$Z$55,"industrie",O28:O55)</f>
        <v>0</v>
      </c>
      <c r="P57" s="597">
        <f>SUMIF($Z$28:$Z$55,"industrie",P28:P55)</f>
        <v>0</v>
      </c>
      <c r="Q57" s="597">
        <f>SUMIF($Z$28:$Z$55,"industrie",Q28:Q55)</f>
        <v>0</v>
      </c>
      <c r="R57" s="597">
        <f>SUMIF($Z$28:$Z$55,"industrie",R28:R55)</f>
        <v>0</v>
      </c>
      <c r="S57" s="597">
        <f>SUMIF($Z$28:$Z$55,"industrie",S28:S55)</f>
        <v>0</v>
      </c>
      <c r="T57" s="597">
        <f>SUMIF($Z$28:$Z$55,"industrie",T28:T55)</f>
        <v>0</v>
      </c>
      <c r="U57" s="597">
        <f>SUMIF($Z$28:$Z$55,"industrie",U28:U55)</f>
        <v>0</v>
      </c>
      <c r="V57" s="597">
        <f>SUMIF($Z$28:$Z$55,"industrie",V28:V55)</f>
        <v>0</v>
      </c>
      <c r="W57" s="597">
        <f>SUMIF($Z$28:$Z$55,"industrie",W28:W55)</f>
        <v>0</v>
      </c>
      <c r="X57" s="598"/>
      <c r="Y57" s="598"/>
      <c r="Z57" s="599"/>
    </row>
    <row r="58" spans="1:26" s="576" customFormat="1">
      <c r="A58" s="595" t="s">
        <v>287</v>
      </c>
      <c r="B58" s="596"/>
      <c r="C58" s="596"/>
      <c r="D58" s="596"/>
      <c r="E58" s="596"/>
      <c r="F58" s="596"/>
      <c r="G58" s="596"/>
      <c r="H58" s="596"/>
      <c r="I58" s="596"/>
      <c r="J58" s="596"/>
      <c r="K58" s="596"/>
      <c r="L58" s="597"/>
      <c r="M58" s="597">
        <f ca="1">SUMIF($Z$28:AC55,"tertiair",M28:M55)</f>
        <v>1200</v>
      </c>
      <c r="N58" s="597">
        <f ca="1">SUMIF($Z$28:AD55,"tertiair",N28:N55)</f>
        <v>5400</v>
      </c>
      <c r="O58" s="597">
        <f ca="1">SUMIF($Z$28:AE55,"tertiair",O28:O55)</f>
        <v>7714.2857142857147</v>
      </c>
      <c r="P58" s="597">
        <f ca="1">SUMIF($Z$28:AF55,"tertiair",P28:P55)</f>
        <v>15428.571428571429</v>
      </c>
      <c r="Q58" s="597">
        <f ca="1">SUMIF($Z$28:AG55,"tertiair",Q28:Q55)</f>
        <v>0</v>
      </c>
      <c r="R58" s="597">
        <f ca="1">SUMIF($Z$28:AH55,"tertiair",R28:R55)</f>
        <v>0</v>
      </c>
      <c r="S58" s="597">
        <f ca="1">SUMIF($Z$28:AI55,"tertiair",S28:S55)</f>
        <v>0</v>
      </c>
      <c r="T58" s="597">
        <f ca="1">SUMIF($Z$28:AJ55,"tertiair",T28:T55)</f>
        <v>0</v>
      </c>
      <c r="U58" s="597">
        <f ca="1">SUMIF($Z$28:AK55,"tertiair",U28:U55)</f>
        <v>0</v>
      </c>
      <c r="V58" s="597">
        <f ca="1">SUMIF($Z$28:AL55,"tertiair",V28:V55)</f>
        <v>0</v>
      </c>
      <c r="W58" s="597">
        <f ca="1">SUMIF($Z$28:AM55,"tertiair",W28:W55)</f>
        <v>0</v>
      </c>
      <c r="X58" s="598"/>
      <c r="Y58" s="598"/>
      <c r="Z58" s="599"/>
    </row>
    <row r="59" spans="1:26" s="576" customFormat="1" ht="15.75" thickBot="1">
      <c r="A59" s="600" t="s">
        <v>288</v>
      </c>
      <c r="B59" s="601"/>
      <c r="C59" s="601"/>
      <c r="D59" s="601"/>
      <c r="E59" s="601"/>
      <c r="F59" s="601"/>
      <c r="G59" s="601"/>
      <c r="H59" s="601"/>
      <c r="I59" s="601"/>
      <c r="J59" s="601"/>
      <c r="K59" s="601"/>
      <c r="L59" s="602"/>
      <c r="M59" s="602">
        <f>SUMIF($Z$28:$Z$55,"landbouw",M28:M55)</f>
        <v>36272</v>
      </c>
      <c r="N59" s="602">
        <f>SUMIF($Z$28:$Z$55,"landbouw",N28:N55)</f>
        <v>163224</v>
      </c>
      <c r="O59" s="602">
        <f>SUMIF($Z$28:$Z$55,"landbouw",O28:O55)</f>
        <v>226171.92857142849</v>
      </c>
      <c r="P59" s="602">
        <f>SUMIF($Z$28:$Z$55,"landbouw",P28:P55)</f>
        <v>400307.14285714284</v>
      </c>
      <c r="Q59" s="602">
        <f>SUMIF($Z$28:$Z$55,"landbouw",Q28:Q55)</f>
        <v>0</v>
      </c>
      <c r="R59" s="602">
        <f>SUMIF($Z$28:$Z$55,"landbouw",R28:R55)</f>
        <v>0</v>
      </c>
      <c r="S59" s="602">
        <f>SUMIF($Z$28:$Z$55,"landbouw",S28:S55)</f>
        <v>11610</v>
      </c>
      <c r="T59" s="602">
        <f>SUMIF($Z$28:$Z$55,"landbouw",T28:T55)</f>
        <v>46080</v>
      </c>
      <c r="U59" s="602">
        <f>SUMIF($Z$28:$Z$55,"landbouw",U28:U55)</f>
        <v>0</v>
      </c>
      <c r="V59" s="602">
        <f>SUMIF($Z$28:$Z$55,"landbouw",V28:V55)</f>
        <v>115.71428571428572</v>
      </c>
      <c r="W59" s="602">
        <f>SUMIF($Z$28:$Z$55,"landbouw",W28:W55)</f>
        <v>0</v>
      </c>
      <c r="X59" s="603"/>
      <c r="Y59" s="603"/>
      <c r="Z59" s="604"/>
    </row>
    <row r="60" spans="1:26" s="544" customFormat="1" ht="15.75" thickBot="1">
      <c r="A60" s="605"/>
      <c r="B60" s="606"/>
      <c r="C60" s="606"/>
      <c r="D60" s="606"/>
      <c r="E60" s="606"/>
      <c r="F60" s="606"/>
      <c r="G60" s="606"/>
      <c r="H60" s="606"/>
      <c r="I60" s="606"/>
      <c r="J60" s="606"/>
      <c r="K60" s="606"/>
      <c r="L60" s="589"/>
      <c r="M60" s="589"/>
      <c r="N60" s="589"/>
      <c r="O60" s="590"/>
      <c r="P60" s="590"/>
    </row>
    <row r="61" spans="1:26" s="544" customFormat="1" ht="45">
      <c r="A61" s="607" t="s">
        <v>280</v>
      </c>
      <c r="B61" s="636" t="s">
        <v>89</v>
      </c>
      <c r="C61" s="636" t="s">
        <v>90</v>
      </c>
      <c r="D61" s="636" t="s">
        <v>91</v>
      </c>
      <c r="E61" s="636" t="s">
        <v>92</v>
      </c>
      <c r="F61" s="636" t="s">
        <v>93</v>
      </c>
      <c r="G61" s="636" t="s">
        <v>94</v>
      </c>
      <c r="H61" s="636" t="s">
        <v>95</v>
      </c>
      <c r="I61" s="636" t="s">
        <v>96</v>
      </c>
      <c r="J61" s="636" t="s">
        <v>97</v>
      </c>
      <c r="K61" s="636" t="s">
        <v>98</v>
      </c>
      <c r="L61" s="636" t="s">
        <v>99</v>
      </c>
      <c r="M61" s="637" t="s">
        <v>297</v>
      </c>
      <c r="N61" s="637" t="s">
        <v>100</v>
      </c>
      <c r="O61" s="637" t="s">
        <v>101</v>
      </c>
      <c r="P61" s="637" t="s">
        <v>546</v>
      </c>
      <c r="Q61" s="637" t="s">
        <v>102</v>
      </c>
      <c r="R61" s="637" t="s">
        <v>103</v>
      </c>
      <c r="S61" s="637" t="s">
        <v>104</v>
      </c>
      <c r="T61" s="637" t="s">
        <v>105</v>
      </c>
      <c r="U61" s="637" t="s">
        <v>106</v>
      </c>
      <c r="V61" s="637" t="s">
        <v>107</v>
      </c>
      <c r="W61" s="636" t="s">
        <v>108</v>
      </c>
      <c r="X61" s="636" t="s">
        <v>298</v>
      </c>
      <c r="Y61" s="636" t="s">
        <v>109</v>
      </c>
      <c r="Z61" s="638" t="s">
        <v>299</v>
      </c>
    </row>
    <row r="62" spans="1:26" s="608" customFormat="1" ht="12.75">
      <c r="A62" s="594"/>
      <c r="B62" s="787"/>
      <c r="C62" s="787"/>
      <c r="D62" s="642"/>
      <c r="E62" s="642"/>
      <c r="F62" s="642"/>
      <c r="G62" s="642"/>
      <c r="H62" s="642"/>
      <c r="I62" s="642"/>
      <c r="J62" s="786"/>
      <c r="K62" s="786"/>
      <c r="L62" s="642"/>
      <c r="M62" s="642"/>
      <c r="N62" s="642"/>
      <c r="O62" s="642"/>
      <c r="P62" s="642"/>
      <c r="Q62" s="642"/>
      <c r="R62" s="642"/>
      <c r="S62" s="642"/>
      <c r="T62" s="642"/>
      <c r="U62" s="642"/>
      <c r="V62" s="642"/>
      <c r="W62" s="642"/>
      <c r="X62" s="642"/>
      <c r="Y62" s="642"/>
      <c r="Z62" s="643"/>
    </row>
    <row r="63" spans="1:26" s="576" customFormat="1">
      <c r="A63" s="595" t="s">
        <v>279</v>
      </c>
      <c r="B63" s="596"/>
      <c r="C63" s="596"/>
      <c r="D63" s="596"/>
      <c r="E63" s="596"/>
      <c r="F63" s="596"/>
      <c r="G63" s="596"/>
      <c r="H63" s="596"/>
      <c r="I63" s="596"/>
      <c r="J63" s="596"/>
      <c r="K63" s="596"/>
      <c r="L63" s="597"/>
      <c r="M63" s="597">
        <f>SUM(M62:M62)</f>
        <v>0</v>
      </c>
      <c r="N63" s="597">
        <f>SUM(N62:N62)</f>
        <v>0</v>
      </c>
      <c r="O63" s="597">
        <f>SUM(O62:O62)</f>
        <v>0</v>
      </c>
      <c r="P63" s="597">
        <f>SUM(P62:P62)</f>
        <v>0</v>
      </c>
      <c r="Q63" s="597">
        <f>SUM(Q62:Q62)</f>
        <v>0</v>
      </c>
      <c r="R63" s="597">
        <f>SUM(R62:R62)</f>
        <v>0</v>
      </c>
      <c r="S63" s="597">
        <f>SUM(S62:S62)</f>
        <v>0</v>
      </c>
      <c r="T63" s="597">
        <f>SUM(T62:T62)</f>
        <v>0</v>
      </c>
      <c r="U63" s="597">
        <f>SUM(U62:U62)</f>
        <v>0</v>
      </c>
      <c r="V63" s="597">
        <f>SUM(V62:V62)</f>
        <v>0</v>
      </c>
      <c r="W63" s="597">
        <f>SUM(W62:W62)</f>
        <v>0</v>
      </c>
      <c r="X63" s="598"/>
      <c r="Y63" s="598"/>
      <c r="Z63" s="599"/>
    </row>
    <row r="64" spans="1:26" s="576" customFormat="1">
      <c r="A64" s="595" t="s">
        <v>286</v>
      </c>
      <c r="B64" s="596"/>
      <c r="C64" s="596"/>
      <c r="D64" s="596"/>
      <c r="E64" s="596"/>
      <c r="F64" s="596"/>
      <c r="G64" s="596"/>
      <c r="H64" s="596"/>
      <c r="I64" s="596"/>
      <c r="J64" s="596"/>
      <c r="K64" s="596"/>
      <c r="L64" s="597"/>
      <c r="M64" s="597">
        <f>SUMIF($Z$62:$Z$62,"industrie",M62:M62)</f>
        <v>0</v>
      </c>
      <c r="N64" s="597">
        <f>SUMIF($Z$62:$Z$62,"industrie",N62:N62)</f>
        <v>0</v>
      </c>
      <c r="O64" s="597">
        <f>SUMIF($Z$62:$Z$62,"industrie",O62:O62)</f>
        <v>0</v>
      </c>
      <c r="P64" s="597">
        <f>SUMIF($Z$62:$Z$62,"industrie",P62:P62)</f>
        <v>0</v>
      </c>
      <c r="Q64" s="597">
        <f>SUMIF($Z$62:$Z$62,"industrie",Q62:Q62)</f>
        <v>0</v>
      </c>
      <c r="R64" s="597">
        <f>SUMIF($Z$62:$Z$62,"industrie",R62:R62)</f>
        <v>0</v>
      </c>
      <c r="S64" s="597">
        <f>SUMIF($Z$62:$Z$62,"industrie",S62:S62)</f>
        <v>0</v>
      </c>
      <c r="T64" s="597">
        <f>SUMIF($Z$62:$Z$62,"industrie",T62:T62)</f>
        <v>0</v>
      </c>
      <c r="U64" s="597">
        <f>SUMIF($Z$62:$Z$62,"industrie",U62:U62)</f>
        <v>0</v>
      </c>
      <c r="V64" s="597">
        <f>SUMIF($Z$62:$Z$62,"industrie",V62:V62)</f>
        <v>0</v>
      </c>
      <c r="W64" s="597">
        <f>SUMIF($Z$62:$Z$62,"industrie",W62:W62)</f>
        <v>0</v>
      </c>
      <c r="X64" s="598"/>
      <c r="Y64" s="598"/>
      <c r="Z64" s="599"/>
    </row>
    <row r="65" spans="1:27" s="576" customFormat="1">
      <c r="A65" s="595" t="s">
        <v>287</v>
      </c>
      <c r="B65" s="596"/>
      <c r="C65" s="596"/>
      <c r="D65" s="596"/>
      <c r="E65" s="596"/>
      <c r="F65" s="596"/>
      <c r="G65" s="596"/>
      <c r="H65" s="596"/>
      <c r="I65" s="596"/>
      <c r="J65" s="596"/>
      <c r="K65" s="596"/>
      <c r="L65" s="597"/>
      <c r="M65" s="597">
        <f>SUMIF($Z$62:$Z$63,"tertiair",M62:M63)</f>
        <v>0</v>
      </c>
      <c r="N65" s="597">
        <f>SUMIF($Z$62:$Z$63,"tertiair",N62:N63)</f>
        <v>0</v>
      </c>
      <c r="O65" s="597">
        <f>SUMIF($Z$62:$Z$63,"tertiair",O62:O63)</f>
        <v>0</v>
      </c>
      <c r="P65" s="597">
        <f>SUMIF($Z$62:$Z$63,"tertiair",P62:P63)</f>
        <v>0</v>
      </c>
      <c r="Q65" s="597">
        <f>SUMIF($Z$62:$Z$63,"tertiair",Q62:Q63)</f>
        <v>0</v>
      </c>
      <c r="R65" s="597">
        <f>SUMIF($Z$62:$Z$63,"tertiair",R62:R63)</f>
        <v>0</v>
      </c>
      <c r="S65" s="597">
        <f>SUMIF($Z$62:$Z$63,"tertiair",S62:S63)</f>
        <v>0</v>
      </c>
      <c r="T65" s="597">
        <f>SUMIF($Z$62:$Z$63,"tertiair",T62:T63)</f>
        <v>0</v>
      </c>
      <c r="U65" s="597">
        <f>SUMIF($Z$62:$Z$63,"tertiair",U62:U63)</f>
        <v>0</v>
      </c>
      <c r="V65" s="597">
        <f>SUMIF($Z$62:$Z$63,"tertiair",V62:V63)</f>
        <v>0</v>
      </c>
      <c r="W65" s="597">
        <f>SUMIF($Z$62:$Z$63,"tertiair",W62:W63)</f>
        <v>0</v>
      </c>
      <c r="X65" s="598"/>
      <c r="Y65" s="598"/>
      <c r="Z65" s="599"/>
    </row>
    <row r="66" spans="1:27" s="576" customFormat="1" ht="15.75" thickBot="1">
      <c r="A66" s="600" t="s">
        <v>288</v>
      </c>
      <c r="B66" s="601"/>
      <c r="C66" s="601"/>
      <c r="D66" s="601"/>
      <c r="E66" s="601"/>
      <c r="F66" s="601"/>
      <c r="G66" s="601"/>
      <c r="H66" s="601"/>
      <c r="I66" s="601"/>
      <c r="J66" s="601"/>
      <c r="K66" s="601"/>
      <c r="L66" s="602"/>
      <c r="M66" s="602">
        <f>SUMIF($Z$62:$Z$64,"landbouw",M62:M64)</f>
        <v>0</v>
      </c>
      <c r="N66" s="602">
        <f>SUMIF($Z$62:$Z$64,"landbouw",N62:N64)</f>
        <v>0</v>
      </c>
      <c r="O66" s="602">
        <f>SUMIF($Z$62:$Z$64,"landbouw",O62:O64)</f>
        <v>0</v>
      </c>
      <c r="P66" s="602">
        <f>SUMIF($Z$62:$Z$64,"landbouw",P62:P64)</f>
        <v>0</v>
      </c>
      <c r="Q66" s="602">
        <f>SUMIF($Z$62:$Z$64,"landbouw",Q62:Q64)</f>
        <v>0</v>
      </c>
      <c r="R66" s="602">
        <f>SUMIF($Z$62:$Z$64,"landbouw",R62:R64)</f>
        <v>0</v>
      </c>
      <c r="S66" s="602">
        <f>SUMIF($Z$62:$Z$64,"landbouw",S62:S64)</f>
        <v>0</v>
      </c>
      <c r="T66" s="602">
        <f>SUMIF($Z$62:$Z$64,"landbouw",T62:T64)</f>
        <v>0</v>
      </c>
      <c r="U66" s="602">
        <f>SUMIF($Z$62:$Z$64,"landbouw",U62:U64)</f>
        <v>0</v>
      </c>
      <c r="V66" s="602">
        <f>SUMIF($Z$62:$Z$64,"landbouw",V62:V64)</f>
        <v>0</v>
      </c>
      <c r="W66" s="602">
        <f>SUMIF($Z$62:$Z$64,"landbouw",W62:W64)</f>
        <v>0</v>
      </c>
      <c r="X66" s="603"/>
      <c r="Y66" s="603"/>
      <c r="Z66" s="604"/>
    </row>
    <row r="67" spans="1:27" s="609" customFormat="1">
      <c r="A67" s="605"/>
      <c r="B67" s="589"/>
      <c r="C67" s="589"/>
      <c r="D67" s="589"/>
      <c r="E67" s="589"/>
      <c r="F67" s="589"/>
      <c r="G67" s="589"/>
      <c r="H67" s="589"/>
      <c r="I67" s="589"/>
      <c r="J67" s="589"/>
      <c r="K67" s="589"/>
      <c r="L67" s="589"/>
      <c r="M67" s="589"/>
      <c r="N67" s="589"/>
      <c r="O67" s="589"/>
      <c r="P67" s="589"/>
      <c r="Q67" s="589"/>
      <c r="R67" s="589"/>
      <c r="S67" s="589"/>
      <c r="T67" s="589"/>
      <c r="U67" s="589"/>
      <c r="V67" s="589"/>
      <c r="W67" s="589"/>
      <c r="X67" s="589"/>
      <c r="Y67" s="589"/>
    </row>
    <row r="68" spans="1:27" s="609" customFormat="1" ht="15.75" thickBot="1">
      <c r="A68" s="605"/>
      <c r="B68" s="589"/>
      <c r="C68" s="589"/>
      <c r="D68" s="589"/>
      <c r="E68" s="589"/>
      <c r="F68" s="589"/>
      <c r="G68" s="589"/>
      <c r="H68" s="589"/>
      <c r="I68" s="589"/>
      <c r="J68" s="589"/>
      <c r="K68" s="589"/>
      <c r="L68" s="589"/>
      <c r="M68" s="589"/>
      <c r="N68" s="589"/>
      <c r="O68" s="589"/>
      <c r="P68" s="589"/>
      <c r="Q68" s="589"/>
      <c r="R68" s="589"/>
      <c r="S68" s="589"/>
      <c r="T68" s="589"/>
      <c r="U68" s="589"/>
      <c r="V68" s="589"/>
      <c r="W68" s="589"/>
      <c r="X68" s="589"/>
      <c r="Y68" s="589"/>
      <c r="Z68" s="589"/>
      <c r="AA68" s="589"/>
    </row>
    <row r="69" spans="1:27">
      <c r="A69" s="610" t="s">
        <v>281</v>
      </c>
      <c r="B69" s="611"/>
      <c r="C69" s="611"/>
      <c r="D69" s="611"/>
      <c r="E69" s="611"/>
      <c r="F69" s="611"/>
      <c r="G69" s="611"/>
      <c r="H69" s="611"/>
      <c r="I69" s="612"/>
      <c r="J69" s="613"/>
      <c r="K69" s="613"/>
      <c r="L69" s="614"/>
      <c r="M69" s="614"/>
      <c r="N69" s="614"/>
      <c r="O69" s="614"/>
      <c r="P69" s="614"/>
    </row>
    <row r="70" spans="1:27">
      <c r="A70" s="616"/>
      <c r="B70" s="606"/>
      <c r="C70" s="606"/>
      <c r="D70" s="606"/>
      <c r="E70" s="606"/>
      <c r="F70" s="606"/>
      <c r="G70" s="606"/>
      <c r="H70" s="606"/>
      <c r="I70" s="617"/>
      <c r="J70" s="606"/>
      <c r="K70" s="606"/>
      <c r="L70" s="614"/>
      <c r="M70" s="614"/>
      <c r="N70" s="614"/>
      <c r="O70" s="614"/>
      <c r="P70" s="614"/>
    </row>
    <row r="71" spans="1:27">
      <c r="A71" s="618"/>
      <c r="B71" s="619" t="s">
        <v>282</v>
      </c>
      <c r="C71" s="619" t="s">
        <v>283</v>
      </c>
      <c r="D71" s="619"/>
      <c r="E71" s="619"/>
      <c r="F71" s="619"/>
      <c r="G71" s="619"/>
      <c r="H71" s="619"/>
      <c r="I71" s="620"/>
      <c r="J71" s="619"/>
      <c r="K71" s="619"/>
      <c r="L71" s="619"/>
      <c r="M71" s="619"/>
      <c r="N71" s="619"/>
      <c r="O71" s="619"/>
      <c r="P71" s="614"/>
    </row>
    <row r="72" spans="1:27">
      <c r="A72" s="616" t="s">
        <v>279</v>
      </c>
      <c r="B72" s="621">
        <f>IF(ISERROR(O56/(O56+N56)),0,O56/(O56+N56))</f>
        <v>0.58106901634971808</v>
      </c>
      <c r="C72" s="622">
        <f>IF(ISERROR(N56/(O56+N56)),0,N56/(N56+O56))</f>
        <v>0.41893098365028192</v>
      </c>
      <c r="D72" s="589"/>
      <c r="E72" s="589"/>
      <c r="F72" s="589"/>
      <c r="G72" s="589"/>
      <c r="H72" s="589"/>
      <c r="I72" s="623"/>
      <c r="J72" s="589"/>
      <c r="K72" s="589"/>
      <c r="L72" s="624"/>
      <c r="M72" s="624"/>
      <c r="N72" s="624"/>
      <c r="O72" s="624"/>
      <c r="P72" s="614"/>
    </row>
    <row r="73" spans="1:27">
      <c r="A73" s="616"/>
      <c r="B73" s="625"/>
      <c r="C73" s="625"/>
      <c r="D73" s="625"/>
      <c r="E73" s="625"/>
      <c r="F73" s="625"/>
      <c r="G73" s="625"/>
      <c r="H73" s="625"/>
      <c r="I73" s="626"/>
      <c r="J73" s="625"/>
      <c r="K73" s="625"/>
      <c r="L73" s="627"/>
      <c r="M73" s="627"/>
      <c r="N73" s="627"/>
      <c r="O73" s="627"/>
      <c r="P73" s="614"/>
    </row>
    <row r="74" spans="1:27" ht="30">
      <c r="A74" s="628"/>
      <c r="B74" s="629" t="s">
        <v>546</v>
      </c>
      <c r="C74" s="629" t="s">
        <v>102</v>
      </c>
      <c r="D74" s="629" t="s">
        <v>103</v>
      </c>
      <c r="E74" s="629" t="s">
        <v>104</v>
      </c>
      <c r="F74" s="629" t="s">
        <v>105</v>
      </c>
      <c r="G74" s="629" t="s">
        <v>106</v>
      </c>
      <c r="H74" s="629" t="s">
        <v>107</v>
      </c>
      <c r="I74" s="630" t="s">
        <v>108</v>
      </c>
      <c r="J74" s="619"/>
      <c r="K74" s="619"/>
      <c r="L74" s="627"/>
      <c r="M74" s="627"/>
      <c r="N74" s="627"/>
      <c r="O74" s="614"/>
      <c r="P74" s="614"/>
    </row>
    <row r="75" spans="1:27">
      <c r="A75" s="618" t="s">
        <v>284</v>
      </c>
      <c r="B75" s="631">
        <f t="shared" ref="B75:I75" si="2">$C$72*P56</f>
        <v>174164.57172426683</v>
      </c>
      <c r="C75" s="631">
        <f t="shared" si="2"/>
        <v>0</v>
      </c>
      <c r="D75" s="631">
        <f t="shared" si="2"/>
        <v>0</v>
      </c>
      <c r="E75" s="631">
        <f t="shared" si="2"/>
        <v>4863.788720179773</v>
      </c>
      <c r="F75" s="631">
        <f t="shared" si="2"/>
        <v>19304.339726604991</v>
      </c>
      <c r="G75" s="631">
        <f t="shared" si="2"/>
        <v>0</v>
      </c>
      <c r="H75" s="631">
        <f t="shared" si="2"/>
        <v>48.476299536675484</v>
      </c>
      <c r="I75" s="632">
        <f t="shared" si="2"/>
        <v>0</v>
      </c>
      <c r="J75" s="589"/>
      <c r="K75" s="589"/>
      <c r="L75" s="627"/>
      <c r="M75" s="627"/>
      <c r="N75" s="627"/>
      <c r="O75" s="614"/>
      <c r="P75" s="614"/>
    </row>
    <row r="76" spans="1:27" ht="15.75" thickBot="1">
      <c r="A76" s="633" t="s">
        <v>285</v>
      </c>
      <c r="B76" s="634">
        <f t="shared" ref="B76:I76" si="3">$B$72*P56</f>
        <v>241571.14256144743</v>
      </c>
      <c r="C76" s="634">
        <f t="shared" si="3"/>
        <v>0</v>
      </c>
      <c r="D76" s="634">
        <f t="shared" si="3"/>
        <v>0</v>
      </c>
      <c r="E76" s="634">
        <f t="shared" si="3"/>
        <v>6746.211279820227</v>
      </c>
      <c r="F76" s="634">
        <f t="shared" si="3"/>
        <v>26775.660273395009</v>
      </c>
      <c r="G76" s="634">
        <f t="shared" si="3"/>
        <v>0</v>
      </c>
      <c r="H76" s="634">
        <f t="shared" si="3"/>
        <v>67.237986177610239</v>
      </c>
      <c r="I76" s="635">
        <f t="shared" si="3"/>
        <v>0</v>
      </c>
      <c r="J76" s="589"/>
      <c r="K76" s="589"/>
      <c r="L76" s="627"/>
      <c r="M76" s="627"/>
      <c r="N76" s="627"/>
      <c r="O76" s="614"/>
      <c r="P76" s="614"/>
    </row>
    <row r="77" spans="1:27">
      <c r="J77" s="574"/>
      <c r="K77" s="574"/>
      <c r="L77" s="574"/>
      <c r="M77" s="574"/>
      <c r="N77" s="574"/>
    </row>
    <row r="78" spans="1:27">
      <c r="J78" s="574"/>
      <c r="K78" s="574"/>
      <c r="L78" s="574"/>
      <c r="M78" s="574"/>
      <c r="N78"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36229.375356780576</v>
      </c>
      <c r="C4" s="458">
        <f>huishoudens!C8</f>
        <v>0</v>
      </c>
      <c r="D4" s="458">
        <f>huishoudens!D8</f>
        <v>88617.801465884593</v>
      </c>
      <c r="E4" s="458">
        <f>huishoudens!E8</f>
        <v>3743.7981855759535</v>
      </c>
      <c r="F4" s="458">
        <f>huishoudens!F8</f>
        <v>34986.426082473576</v>
      </c>
      <c r="G4" s="458">
        <f>huishoudens!G8</f>
        <v>0</v>
      </c>
      <c r="H4" s="458">
        <f>huishoudens!H8</f>
        <v>0</v>
      </c>
      <c r="I4" s="458">
        <f>huishoudens!I8</f>
        <v>0</v>
      </c>
      <c r="J4" s="458">
        <f>huishoudens!J8</f>
        <v>1253.9083988154116</v>
      </c>
      <c r="K4" s="458">
        <f>huishoudens!K8</f>
        <v>0</v>
      </c>
      <c r="L4" s="458">
        <f>huishoudens!L8</f>
        <v>0</v>
      </c>
      <c r="M4" s="458">
        <f>huishoudens!M8</f>
        <v>0</v>
      </c>
      <c r="N4" s="458">
        <f>huishoudens!N8</f>
        <v>10764.540899628346</v>
      </c>
      <c r="O4" s="458">
        <f>huishoudens!O8</f>
        <v>247.00666666666669</v>
      </c>
      <c r="P4" s="459">
        <f>huishoudens!P8</f>
        <v>629.20000000000005</v>
      </c>
      <c r="Q4" s="460">
        <f>SUM(B4:P4)</f>
        <v>176472.05705582511</v>
      </c>
    </row>
    <row r="5" spans="1:17">
      <c r="A5" s="457" t="s">
        <v>155</v>
      </c>
      <c r="B5" s="458">
        <f ca="1">tertiair!B16</f>
        <v>58877.45758879192</v>
      </c>
      <c r="C5" s="458">
        <f ca="1">tertiair!C16</f>
        <v>7714.2857142857147</v>
      </c>
      <c r="D5" s="458">
        <f ca="1">tertiair!D16</f>
        <v>38753.031186212502</v>
      </c>
      <c r="E5" s="458">
        <f>tertiair!E16</f>
        <v>781.12679083479077</v>
      </c>
      <c r="F5" s="458">
        <f ca="1">tertiair!F16</f>
        <v>10116.302729390532</v>
      </c>
      <c r="G5" s="458">
        <f>tertiair!G16</f>
        <v>0</v>
      </c>
      <c r="H5" s="458">
        <f>tertiair!H16</f>
        <v>0</v>
      </c>
      <c r="I5" s="458">
        <f>tertiair!I16</f>
        <v>0</v>
      </c>
      <c r="J5" s="458">
        <f>tertiair!J16</f>
        <v>0</v>
      </c>
      <c r="K5" s="458">
        <f>tertiair!K16</f>
        <v>0</v>
      </c>
      <c r="L5" s="458">
        <f ca="1">tertiair!L16</f>
        <v>0</v>
      </c>
      <c r="M5" s="458">
        <f>tertiair!M16</f>
        <v>0</v>
      </c>
      <c r="N5" s="458">
        <f ca="1">tertiair!N16</f>
        <v>1832.1550718148308</v>
      </c>
      <c r="O5" s="458">
        <f>tertiair!O16</f>
        <v>4.6900000000000004</v>
      </c>
      <c r="P5" s="459">
        <f>tertiair!P16</f>
        <v>19.066666666666666</v>
      </c>
      <c r="Q5" s="457">
        <f t="shared" ref="Q5:Q14" ca="1" si="0">SUM(B5:P5)</f>
        <v>118098.11574799697</v>
      </c>
    </row>
    <row r="6" spans="1:17">
      <c r="A6" s="457" t="s">
        <v>193</v>
      </c>
      <c r="B6" s="458">
        <f>'openbare verlichting'!B8</f>
        <v>1636.816</v>
      </c>
      <c r="C6" s="458"/>
      <c r="D6" s="458"/>
      <c r="E6" s="458"/>
      <c r="F6" s="458"/>
      <c r="G6" s="458"/>
      <c r="H6" s="458"/>
      <c r="I6" s="458"/>
      <c r="J6" s="458"/>
      <c r="K6" s="458"/>
      <c r="L6" s="458"/>
      <c r="M6" s="458"/>
      <c r="N6" s="458"/>
      <c r="O6" s="458"/>
      <c r="P6" s="459"/>
      <c r="Q6" s="457">
        <f t="shared" si="0"/>
        <v>1636.816</v>
      </c>
    </row>
    <row r="7" spans="1:17">
      <c r="A7" s="457" t="s">
        <v>111</v>
      </c>
      <c r="B7" s="458">
        <f>landbouw!B8</f>
        <v>6416.9821020043601</v>
      </c>
      <c r="C7" s="458">
        <f>landbouw!C8</f>
        <v>226171.92857142849</v>
      </c>
      <c r="D7" s="458">
        <f>landbouw!D8</f>
        <v>44724.394837182306</v>
      </c>
      <c r="E7" s="458">
        <f>landbouw!E8</f>
        <v>80.862241239003467</v>
      </c>
      <c r="F7" s="458">
        <f>landbouw!F8</f>
        <v>10530.195801986658</v>
      </c>
      <c r="G7" s="458">
        <f>landbouw!G8</f>
        <v>0</v>
      </c>
      <c r="H7" s="458">
        <f>landbouw!H8</f>
        <v>0</v>
      </c>
      <c r="I7" s="458">
        <f>landbouw!I8</f>
        <v>0</v>
      </c>
      <c r="J7" s="458">
        <f>landbouw!J8</f>
        <v>965.04116246341289</v>
      </c>
      <c r="K7" s="458">
        <f>landbouw!K8</f>
        <v>0</v>
      </c>
      <c r="L7" s="458">
        <f>landbouw!L8</f>
        <v>0</v>
      </c>
      <c r="M7" s="458">
        <f>landbouw!M8</f>
        <v>0</v>
      </c>
      <c r="N7" s="458">
        <f>landbouw!N8</f>
        <v>0</v>
      </c>
      <c r="O7" s="458">
        <f>landbouw!O8</f>
        <v>0</v>
      </c>
      <c r="P7" s="459">
        <f>landbouw!P8</f>
        <v>0</v>
      </c>
      <c r="Q7" s="457">
        <f t="shared" si="0"/>
        <v>288889.40471630427</v>
      </c>
    </row>
    <row r="8" spans="1:17">
      <c r="A8" s="457" t="s">
        <v>655</v>
      </c>
      <c r="B8" s="458">
        <f>industrie!B18</f>
        <v>5514.2339510498323</v>
      </c>
      <c r="C8" s="458">
        <f>industrie!C18</f>
        <v>0</v>
      </c>
      <c r="D8" s="458">
        <f>industrie!D18</f>
        <v>8098.9505441728015</v>
      </c>
      <c r="E8" s="458">
        <f>industrie!E18</f>
        <v>558.03434391545557</v>
      </c>
      <c r="F8" s="458">
        <f>industrie!F18</f>
        <v>2752.4643246561172</v>
      </c>
      <c r="G8" s="458">
        <f>industrie!G18</f>
        <v>0</v>
      </c>
      <c r="H8" s="458">
        <f>industrie!H18</f>
        <v>0</v>
      </c>
      <c r="I8" s="458">
        <f>industrie!I18</f>
        <v>0</v>
      </c>
      <c r="J8" s="458">
        <f>industrie!J18</f>
        <v>7.8381522378213058</v>
      </c>
      <c r="K8" s="458">
        <f>industrie!K18</f>
        <v>0</v>
      </c>
      <c r="L8" s="458">
        <f>industrie!L18</f>
        <v>0</v>
      </c>
      <c r="M8" s="458">
        <f>industrie!M18</f>
        <v>0</v>
      </c>
      <c r="N8" s="458">
        <f>industrie!N18</f>
        <v>476.06625392401611</v>
      </c>
      <c r="O8" s="458">
        <f>industrie!O18</f>
        <v>0</v>
      </c>
      <c r="P8" s="459">
        <f>industrie!P18</f>
        <v>0</v>
      </c>
      <c r="Q8" s="457">
        <f t="shared" si="0"/>
        <v>17407.587569956046</v>
      </c>
    </row>
    <row r="9" spans="1:17" s="463" customFormat="1">
      <c r="A9" s="461" t="s">
        <v>573</v>
      </c>
      <c r="B9" s="462">
        <f>transport!B14</f>
        <v>3.2254888816681251</v>
      </c>
      <c r="C9" s="462">
        <f>transport!C14</f>
        <v>0</v>
      </c>
      <c r="D9" s="462">
        <f>transport!D14</f>
        <v>5.428799405851108</v>
      </c>
      <c r="E9" s="462">
        <f>transport!E14</f>
        <v>191.3603253685967</v>
      </c>
      <c r="F9" s="462">
        <f>transport!F14</f>
        <v>0</v>
      </c>
      <c r="G9" s="462">
        <f>transport!G14</f>
        <v>50136.873425491758</v>
      </c>
      <c r="H9" s="462">
        <f>transport!H14</f>
        <v>9883.3249341641367</v>
      </c>
      <c r="I9" s="462">
        <f>transport!I14</f>
        <v>0</v>
      </c>
      <c r="J9" s="462">
        <f>transport!J14</f>
        <v>0</v>
      </c>
      <c r="K9" s="462">
        <f>transport!K14</f>
        <v>0</v>
      </c>
      <c r="L9" s="462">
        <f>transport!L14</f>
        <v>0</v>
      </c>
      <c r="M9" s="462">
        <f>transport!M14</f>
        <v>2714.2622512712514</v>
      </c>
      <c r="N9" s="462">
        <f>transport!N14</f>
        <v>0</v>
      </c>
      <c r="O9" s="462">
        <f>transport!O14</f>
        <v>0</v>
      </c>
      <c r="P9" s="462">
        <f>transport!P14</f>
        <v>0</v>
      </c>
      <c r="Q9" s="461">
        <f>SUM(B9:P9)</f>
        <v>62934.475224583264</v>
      </c>
    </row>
    <row r="10" spans="1:17">
      <c r="A10" s="457" t="s">
        <v>563</v>
      </c>
      <c r="B10" s="458">
        <f>transport!B54</f>
        <v>0</v>
      </c>
      <c r="C10" s="458">
        <f>transport!C54</f>
        <v>0</v>
      </c>
      <c r="D10" s="458">
        <f>transport!D54</f>
        <v>0</v>
      </c>
      <c r="E10" s="458">
        <f>transport!E54</f>
        <v>0</v>
      </c>
      <c r="F10" s="458">
        <f>transport!F54</f>
        <v>0</v>
      </c>
      <c r="G10" s="458">
        <f>transport!G54</f>
        <v>2458.9178272689146</v>
      </c>
      <c r="H10" s="458">
        <f>transport!H54</f>
        <v>0</v>
      </c>
      <c r="I10" s="458">
        <f>transport!I54</f>
        <v>0</v>
      </c>
      <c r="J10" s="458">
        <f>transport!J54</f>
        <v>0</v>
      </c>
      <c r="K10" s="458">
        <f>transport!K54</f>
        <v>0</v>
      </c>
      <c r="L10" s="458">
        <f>transport!L54</f>
        <v>0</v>
      </c>
      <c r="M10" s="458">
        <f>transport!M54</f>
        <v>109.44846673523905</v>
      </c>
      <c r="N10" s="458">
        <f>transport!N54</f>
        <v>0</v>
      </c>
      <c r="O10" s="458">
        <f>transport!O54</f>
        <v>0</v>
      </c>
      <c r="P10" s="459">
        <f>transport!P54</f>
        <v>0</v>
      </c>
      <c r="Q10" s="457">
        <f t="shared" si="0"/>
        <v>2568.3662940041536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1002.03698115444</v>
      </c>
      <c r="C14" s="465"/>
      <c r="D14" s="465">
        <f>'SEAP template'!E25</f>
        <v>3483.1362063711499</v>
      </c>
      <c r="E14" s="465"/>
      <c r="F14" s="465"/>
      <c r="G14" s="465"/>
      <c r="H14" s="465"/>
      <c r="I14" s="465"/>
      <c r="J14" s="465"/>
      <c r="K14" s="465"/>
      <c r="L14" s="465"/>
      <c r="M14" s="465"/>
      <c r="N14" s="465"/>
      <c r="O14" s="465"/>
      <c r="P14" s="466"/>
      <c r="Q14" s="457">
        <f t="shared" si="0"/>
        <v>4485.17318752559</v>
      </c>
    </row>
    <row r="15" spans="1:17" s="470" customFormat="1">
      <c r="A15" s="467" t="s">
        <v>567</v>
      </c>
      <c r="B15" s="468">
        <f ca="1">SUM(B4:B14)</f>
        <v>109680.1274686628</v>
      </c>
      <c r="C15" s="468">
        <f t="shared" ref="C15:Q15" ca="1" si="1">SUM(C4:C14)</f>
        <v>233886.2142857142</v>
      </c>
      <c r="D15" s="468">
        <f t="shared" ca="1" si="1"/>
        <v>183682.74303922922</v>
      </c>
      <c r="E15" s="468">
        <f t="shared" si="1"/>
        <v>5355.1818869338003</v>
      </c>
      <c r="F15" s="468">
        <f t="shared" ca="1" si="1"/>
        <v>58385.388938506883</v>
      </c>
      <c r="G15" s="468">
        <f t="shared" si="1"/>
        <v>52595.791252760675</v>
      </c>
      <c r="H15" s="468">
        <f t="shared" si="1"/>
        <v>9883.3249341641367</v>
      </c>
      <c r="I15" s="468">
        <f t="shared" si="1"/>
        <v>0</v>
      </c>
      <c r="J15" s="468">
        <f t="shared" si="1"/>
        <v>2226.7877135166459</v>
      </c>
      <c r="K15" s="468">
        <f t="shared" si="1"/>
        <v>0</v>
      </c>
      <c r="L15" s="468">
        <f t="shared" ca="1" si="1"/>
        <v>0</v>
      </c>
      <c r="M15" s="468">
        <f t="shared" si="1"/>
        <v>2823.7107180064904</v>
      </c>
      <c r="N15" s="468">
        <f t="shared" ca="1" si="1"/>
        <v>13072.762225367193</v>
      </c>
      <c r="O15" s="468">
        <f t="shared" si="1"/>
        <v>251.69666666666669</v>
      </c>
      <c r="P15" s="468">
        <f t="shared" si="1"/>
        <v>648.26666666666677</v>
      </c>
      <c r="Q15" s="468">
        <f t="shared" ca="1" si="1"/>
        <v>672491.99579619546</v>
      </c>
    </row>
    <row r="17" spans="1:17">
      <c r="A17" s="471" t="s">
        <v>568</v>
      </c>
      <c r="B17" s="777">
        <f ca="1">huishoudens!B10</f>
        <v>0.2056191219920516</v>
      </c>
      <c r="C17" s="777">
        <f ca="1">huishoudens!C10</f>
        <v>0.21633857029005302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7449.4523511816933</v>
      </c>
      <c r="C22" s="458">
        <f t="shared" ref="C22:C32" ca="1" si="3">C4*$C$17</f>
        <v>0</v>
      </c>
      <c r="D22" s="458">
        <f t="shared" ref="D22:D32" si="4">D4*$D$17</f>
        <v>17900.795896108688</v>
      </c>
      <c r="E22" s="458">
        <f t="shared" ref="E22:E32" si="5">E4*$E$17</f>
        <v>849.84218812574147</v>
      </c>
      <c r="F22" s="458">
        <f t="shared" ref="F22:F32" si="6">F4*$F$17</f>
        <v>9341.3757640204458</v>
      </c>
      <c r="G22" s="458">
        <f t="shared" ref="G22:G32" si="7">G4*$G$17</f>
        <v>0</v>
      </c>
      <c r="H22" s="458">
        <f t="shared" ref="H22:H32" si="8">H4*$H$17</f>
        <v>0</v>
      </c>
      <c r="I22" s="458">
        <f t="shared" ref="I22:I32" si="9">I4*$I$17</f>
        <v>0</v>
      </c>
      <c r="J22" s="458">
        <f t="shared" ref="J22:J32" si="10">J4*$J$17</f>
        <v>443.88357318065567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35985.349772617221</v>
      </c>
    </row>
    <row r="23" spans="1:17">
      <c r="A23" s="457" t="s">
        <v>155</v>
      </c>
      <c r="B23" s="458">
        <f t="shared" ca="1" si="2"/>
        <v>12106.331134531651</v>
      </c>
      <c r="C23" s="458">
        <f t="shared" ca="1" si="3"/>
        <v>1668.897542237552</v>
      </c>
      <c r="D23" s="458">
        <f t="shared" ca="1" si="4"/>
        <v>7828.1122996149261</v>
      </c>
      <c r="E23" s="458">
        <f t="shared" si="5"/>
        <v>177.31578151949751</v>
      </c>
      <c r="F23" s="458">
        <f t="shared" ca="1" si="6"/>
        <v>2701.0528287472725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24481.709586650897</v>
      </c>
    </row>
    <row r="24" spans="1:17">
      <c r="A24" s="457" t="s">
        <v>193</v>
      </c>
      <c r="B24" s="458">
        <f t="shared" ca="1" si="2"/>
        <v>336.56066878254194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336.56066878254194</v>
      </c>
    </row>
    <row r="25" spans="1:17">
      <c r="A25" s="457" t="s">
        <v>111</v>
      </c>
      <c r="B25" s="458">
        <f t="shared" ca="1" si="2"/>
        <v>1319.4542256528462</v>
      </c>
      <c r="C25" s="458">
        <f t="shared" ca="1" si="3"/>
        <v>48929.711666886833</v>
      </c>
      <c r="D25" s="458">
        <f t="shared" si="4"/>
        <v>9034.3277571108265</v>
      </c>
      <c r="E25" s="458">
        <f t="shared" si="5"/>
        <v>18.355728761253786</v>
      </c>
      <c r="F25" s="458">
        <f t="shared" si="6"/>
        <v>2811.5622791304377</v>
      </c>
      <c r="G25" s="458">
        <f t="shared" si="7"/>
        <v>0</v>
      </c>
      <c r="H25" s="458">
        <f t="shared" si="8"/>
        <v>0</v>
      </c>
      <c r="I25" s="458">
        <f t="shared" si="9"/>
        <v>0</v>
      </c>
      <c r="J25" s="458">
        <f t="shared" si="10"/>
        <v>341.62457151204813</v>
      </c>
      <c r="K25" s="458">
        <f t="shared" si="11"/>
        <v>0</v>
      </c>
      <c r="L25" s="458">
        <f t="shared" si="12"/>
        <v>0</v>
      </c>
      <c r="M25" s="458">
        <f t="shared" si="13"/>
        <v>0</v>
      </c>
      <c r="N25" s="458">
        <f t="shared" si="14"/>
        <v>0</v>
      </c>
      <c r="O25" s="458">
        <f t="shared" si="15"/>
        <v>0</v>
      </c>
      <c r="P25" s="459">
        <f t="shared" si="16"/>
        <v>0</v>
      </c>
      <c r="Q25" s="457">
        <f t="shared" ca="1" si="17"/>
        <v>62455.03622905424</v>
      </c>
    </row>
    <row r="26" spans="1:17">
      <c r="A26" s="457" t="s">
        <v>655</v>
      </c>
      <c r="B26" s="458">
        <f t="shared" ca="1" si="2"/>
        <v>1133.8319434736281</v>
      </c>
      <c r="C26" s="458">
        <f t="shared" ca="1" si="3"/>
        <v>0</v>
      </c>
      <c r="D26" s="458">
        <f t="shared" si="4"/>
        <v>1635.988009922906</v>
      </c>
      <c r="E26" s="458">
        <f t="shared" si="5"/>
        <v>126.67379606880841</v>
      </c>
      <c r="F26" s="458">
        <f t="shared" si="6"/>
        <v>734.9079746831834</v>
      </c>
      <c r="G26" s="458">
        <f t="shared" si="7"/>
        <v>0</v>
      </c>
      <c r="H26" s="458">
        <f t="shared" si="8"/>
        <v>0</v>
      </c>
      <c r="I26" s="458">
        <f t="shared" si="9"/>
        <v>0</v>
      </c>
      <c r="J26" s="458">
        <f t="shared" si="10"/>
        <v>2.774705892188742</v>
      </c>
      <c r="K26" s="458">
        <f t="shared" si="11"/>
        <v>0</v>
      </c>
      <c r="L26" s="458">
        <f t="shared" si="12"/>
        <v>0</v>
      </c>
      <c r="M26" s="458">
        <f t="shared" si="13"/>
        <v>0</v>
      </c>
      <c r="N26" s="458">
        <f t="shared" si="14"/>
        <v>0</v>
      </c>
      <c r="O26" s="458">
        <f t="shared" si="15"/>
        <v>0</v>
      </c>
      <c r="P26" s="459">
        <f t="shared" si="16"/>
        <v>0</v>
      </c>
      <c r="Q26" s="457">
        <f t="shared" ca="1" si="17"/>
        <v>3634.1764300407149</v>
      </c>
    </row>
    <row r="27" spans="1:17" s="463" customFormat="1">
      <c r="A27" s="461" t="s">
        <v>573</v>
      </c>
      <c r="B27" s="771">
        <f t="shared" ca="1" si="2"/>
        <v>0.66322219184372433</v>
      </c>
      <c r="C27" s="462">
        <f t="shared" ca="1" si="3"/>
        <v>0</v>
      </c>
      <c r="D27" s="462">
        <f t="shared" si="4"/>
        <v>1.0966174799819239</v>
      </c>
      <c r="E27" s="462">
        <f t="shared" si="5"/>
        <v>43.438793858671453</v>
      </c>
      <c r="F27" s="462">
        <f t="shared" si="6"/>
        <v>0</v>
      </c>
      <c r="G27" s="462">
        <f t="shared" si="7"/>
        <v>13386.5452046063</v>
      </c>
      <c r="H27" s="462">
        <f t="shared" si="8"/>
        <v>2460.94790860687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15892.691746743667</v>
      </c>
    </row>
    <row r="28" spans="1:17">
      <c r="A28" s="457" t="s">
        <v>563</v>
      </c>
      <c r="B28" s="458">
        <f t="shared" ca="1" si="2"/>
        <v>0</v>
      </c>
      <c r="C28" s="458">
        <f t="shared" ca="1" si="3"/>
        <v>0</v>
      </c>
      <c r="D28" s="458">
        <f t="shared" si="4"/>
        <v>0</v>
      </c>
      <c r="E28" s="458">
        <f t="shared" si="5"/>
        <v>0</v>
      </c>
      <c r="F28" s="458">
        <f t="shared" si="6"/>
        <v>0</v>
      </c>
      <c r="G28" s="458">
        <f t="shared" si="7"/>
        <v>656.53105988080029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656.53105988080029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206.03796426854191</v>
      </c>
      <c r="C32" s="458">
        <f t="shared" ca="1" si="3"/>
        <v>0</v>
      </c>
      <c r="D32" s="458">
        <f t="shared" si="4"/>
        <v>703.5935136869723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909.63147795551424</v>
      </c>
    </row>
    <row r="33" spans="1:17" s="470" customFormat="1">
      <c r="A33" s="467" t="s">
        <v>567</v>
      </c>
      <c r="B33" s="468">
        <f ca="1">SUM(B22:B32)</f>
        <v>22552.331510082746</v>
      </c>
      <c r="C33" s="468">
        <f t="shared" ref="C33:Q33" ca="1" si="18">SUM(C22:C32)</f>
        <v>50598.609209124385</v>
      </c>
      <c r="D33" s="468">
        <f t="shared" ca="1" si="18"/>
        <v>37103.914093924301</v>
      </c>
      <c r="E33" s="468">
        <f t="shared" si="18"/>
        <v>1215.6262883339728</v>
      </c>
      <c r="F33" s="468">
        <f t="shared" ca="1" si="18"/>
        <v>15588.89884658134</v>
      </c>
      <c r="G33" s="468">
        <f t="shared" si="18"/>
        <v>14043.076264487101</v>
      </c>
      <c r="H33" s="468">
        <f t="shared" si="18"/>
        <v>2460.94790860687</v>
      </c>
      <c r="I33" s="468">
        <f t="shared" si="18"/>
        <v>0</v>
      </c>
      <c r="J33" s="468">
        <f t="shared" si="18"/>
        <v>788.28285058489257</v>
      </c>
      <c r="K33" s="468">
        <f t="shared" si="18"/>
        <v>0</v>
      </c>
      <c r="L33" s="468">
        <f t="shared" ca="1" si="18"/>
        <v>0</v>
      </c>
      <c r="M33" s="468">
        <f t="shared" si="18"/>
        <v>0</v>
      </c>
      <c r="N33" s="468">
        <f t="shared" ca="1" si="18"/>
        <v>0</v>
      </c>
      <c r="O33" s="468">
        <f t="shared" si="18"/>
        <v>0</v>
      </c>
      <c r="P33" s="468">
        <f t="shared" si="18"/>
        <v>0</v>
      </c>
      <c r="Q33" s="468">
        <f t="shared" ca="1" si="18"/>
        <v>144351.6869717256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8790.7984057633621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16449.893622220414</v>
      </c>
      <c r="C8" s="1034">
        <f>'SEAP template'!C76</f>
        <v>152174.10637777959</v>
      </c>
      <c r="D8" s="1034">
        <f>'SEAP template'!D76</f>
        <v>174164.57172426683</v>
      </c>
      <c r="E8" s="1034">
        <f>'SEAP template'!E76</f>
        <v>0</v>
      </c>
      <c r="F8" s="1034">
        <f>'SEAP template'!F76</f>
        <v>4863.788720179773</v>
      </c>
      <c r="G8" s="1034">
        <f>'SEAP template'!G76</f>
        <v>0</v>
      </c>
      <c r="H8" s="1034">
        <f>'SEAP template'!H76</f>
        <v>0</v>
      </c>
      <c r="I8" s="1034">
        <f>'SEAP template'!I76</f>
        <v>19304.339726604991</v>
      </c>
      <c r="J8" s="1034">
        <f>'SEAP template'!J76</f>
        <v>48.476299536675484</v>
      </c>
      <c r="K8" s="1034">
        <f>'SEAP template'!K76</f>
        <v>0</v>
      </c>
      <c r="L8" s="1034">
        <f>'SEAP template'!L76</f>
        <v>0</v>
      </c>
      <c r="M8" s="1034">
        <f>'SEAP template'!M76</f>
        <v>0</v>
      </c>
      <c r="N8" s="1034">
        <f>'SEAP template'!N76</f>
        <v>0</v>
      </c>
      <c r="O8" s="1034">
        <f>'SEAP template'!O76</f>
        <v>0</v>
      </c>
      <c r="P8" s="1035">
        <f>'SEAP template'!Q76</f>
        <v>36479.875076589902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25240.692027983776</v>
      </c>
      <c r="C10" s="1038">
        <f>SUM(C4:C9)</f>
        <v>152174.10637777959</v>
      </c>
      <c r="D10" s="1038">
        <f t="shared" ref="D10:H10" si="0">SUM(D8:D9)</f>
        <v>174164.57172426683</v>
      </c>
      <c r="E10" s="1038">
        <f t="shared" si="0"/>
        <v>0</v>
      </c>
      <c r="F10" s="1038">
        <f t="shared" si="0"/>
        <v>4863.788720179773</v>
      </c>
      <c r="G10" s="1038">
        <f t="shared" si="0"/>
        <v>0</v>
      </c>
      <c r="H10" s="1038">
        <f t="shared" si="0"/>
        <v>0</v>
      </c>
      <c r="I10" s="1038">
        <f>SUM(I8:I9)</f>
        <v>19304.339726604991</v>
      </c>
      <c r="J10" s="1038">
        <f>SUM(J8:J9)</f>
        <v>48.476299536675484</v>
      </c>
      <c r="K10" s="1038">
        <f t="shared" ref="K10:L10" si="1">SUM(K8:K9)</f>
        <v>0</v>
      </c>
      <c r="L10" s="1038">
        <f t="shared" si="1"/>
        <v>0</v>
      </c>
      <c r="M10" s="1038">
        <f>SUM(M8:M9)</f>
        <v>0</v>
      </c>
      <c r="N10" s="1038">
        <f>SUM(N8:N9)</f>
        <v>0</v>
      </c>
      <c r="O10" s="1038">
        <f>SUM(O8:O9)</f>
        <v>0</v>
      </c>
      <c r="P10" s="1038">
        <f>SUM(P8:P9)</f>
        <v>36479.875076589902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0.2056191219920516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22816.463520636724</v>
      </c>
      <c r="C17" s="1040">
        <f>'SEAP template'!C87</f>
        <v>211069.75076507745</v>
      </c>
      <c r="D17" s="1035">
        <f>'SEAP template'!D87</f>
        <v>241571.14256144743</v>
      </c>
      <c r="E17" s="1035">
        <f>'SEAP template'!E87</f>
        <v>0</v>
      </c>
      <c r="F17" s="1035">
        <f>'SEAP template'!F87</f>
        <v>6746.211279820227</v>
      </c>
      <c r="G17" s="1035">
        <f>'SEAP template'!G87</f>
        <v>0</v>
      </c>
      <c r="H17" s="1035">
        <f>'SEAP template'!H87</f>
        <v>0</v>
      </c>
      <c r="I17" s="1035">
        <f>'SEAP template'!I87</f>
        <v>26775.660273395009</v>
      </c>
      <c r="J17" s="1035">
        <f>'SEAP template'!J87</f>
        <v>67.237986177610239</v>
      </c>
      <c r="K17" s="1035">
        <f>'SEAP template'!K87</f>
        <v>0</v>
      </c>
      <c r="L17" s="1035">
        <f>'SEAP template'!L87</f>
        <v>0</v>
      </c>
      <c r="M17" s="1035">
        <f>'SEAP template'!M87</f>
        <v>0</v>
      </c>
      <c r="N17" s="1035">
        <f>'SEAP template'!N87</f>
        <v>0</v>
      </c>
      <c r="O17" s="1035">
        <f>'SEAP template'!O87</f>
        <v>0</v>
      </c>
      <c r="P17" s="1035">
        <f>'SEAP template'!Q87</f>
        <v>50598.609209124385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22816.463520636724</v>
      </c>
      <c r="C20" s="1038">
        <f>SUM(C17:C19)</f>
        <v>211069.75076507745</v>
      </c>
      <c r="D20" s="1038">
        <f t="shared" ref="D20:H20" si="2">SUM(D17:D19)</f>
        <v>241571.14256144743</v>
      </c>
      <c r="E20" s="1038">
        <f t="shared" si="2"/>
        <v>0</v>
      </c>
      <c r="F20" s="1038">
        <f t="shared" si="2"/>
        <v>6746.211279820227</v>
      </c>
      <c r="G20" s="1038">
        <f t="shared" si="2"/>
        <v>0</v>
      </c>
      <c r="H20" s="1038">
        <f t="shared" si="2"/>
        <v>0</v>
      </c>
      <c r="I20" s="1038">
        <f>SUM(I17:I19)</f>
        <v>26775.660273395009</v>
      </c>
      <c r="J20" s="1038">
        <f>SUM(J17:J19)</f>
        <v>67.237986177610239</v>
      </c>
      <c r="K20" s="1038">
        <f t="shared" ref="K20:L20" si="3">SUM(K17:K19)</f>
        <v>0</v>
      </c>
      <c r="L20" s="1038">
        <f t="shared" si="3"/>
        <v>0</v>
      </c>
      <c r="M20" s="1038">
        <f>SUM(M17:M19)</f>
        <v>0</v>
      </c>
      <c r="N20" s="1038">
        <f>SUM(N17:N19)</f>
        <v>0</v>
      </c>
      <c r="O20" s="1038">
        <f>SUM(O17:O19)</f>
        <v>0</v>
      </c>
      <c r="P20" s="1038">
        <f>SUM(P17:P19)</f>
        <v>50598.609209124385</v>
      </c>
    </row>
    <row r="22" spans="1:16">
      <c r="A22" s="471" t="s">
        <v>879</v>
      </c>
      <c r="B22" s="777" t="s">
        <v>873</v>
      </c>
      <c r="C22" s="777">
        <f ca="1">'EF ele_warmte'!B22</f>
        <v>0.21633857029005302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0.2056191219920516</v>
      </c>
      <c r="C17" s="508">
        <f ca="1">'EF ele_warmte'!B22</f>
        <v>0.21633857029005302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2020-06-20T16:14:36Z</dcterms:modified>
</cp:coreProperties>
</file>