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I17" i="18" s="1"/>
  <c r="I20" i="18" s="1"/>
  <c r="F49" i="18"/>
  <c r="C49" i="18"/>
  <c r="B49" i="18"/>
  <c r="C17" i="18" s="1"/>
  <c r="C20" i="18" s="1"/>
  <c r="B20" i="18"/>
  <c r="C45" i="18"/>
  <c r="E48" i="18" s="1"/>
  <c r="E8" i="18" s="1"/>
  <c r="E10" i="18" s="1"/>
  <c r="F20" i="18"/>
  <c r="O18" i="18"/>
  <c r="H20" i="18"/>
  <c r="G20" i="18"/>
  <c r="K20" i="18"/>
  <c r="B10" i="18"/>
  <c r="O19" i="18"/>
  <c r="O9" i="18"/>
  <c r="D49" i="18"/>
  <c r="H49" i="18"/>
  <c r="E49" i="18"/>
  <c r="E17" i="18" s="1"/>
  <c r="E20" i="18" s="1"/>
  <c r="N6" i="17"/>
  <c r="I48" i="18" l="1"/>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O4" i="48"/>
  <c r="O22" i="48" s="1"/>
  <c r="P11" i="14"/>
  <c r="D4" i="48"/>
  <c r="D22" i="48" s="1"/>
  <c r="E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E23" i="48"/>
  <c r="E33" i="48" s="1"/>
  <c r="E15" i="48"/>
  <c r="Q5" i="48"/>
  <c r="H63" i="14"/>
  <c r="N63" i="14"/>
  <c r="E22" i="16"/>
  <c r="F43" i="14" s="1"/>
  <c r="F46" i="14" s="1"/>
  <c r="F61" i="14" s="1"/>
  <c r="J22" i="16"/>
  <c r="K43" i="14" s="1"/>
  <c r="K46" i="14" s="1"/>
  <c r="K61"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F63" i="14"/>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<sst xmlns="http://schemas.openxmlformats.org/spreadsheetml/2006/main" count="2456" uniqueCount="926">
  <si>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</si>
  <si>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</si>
  <si>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</si>
  <si>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</si>
  <si>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</si>
  <si>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</si>
  <si>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</si>
  <si>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</si>
  <si>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</si>
  <si>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</si>
  <si>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</si>
  <si>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</si>
  <si>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</si>
  <si>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</si>
  <si>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</si>
  <si>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</si>
  <si>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</si>
  <si>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</si>
  <si>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</si>
  <si>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</si>
  <si>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</si>
  <si>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</si>
  <si>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</si>
  <si>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</si>
  <si>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</si>
  <si>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</si>
  <si>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</si>
  <si>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</si>
  <si>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</si>
  <si>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</si>
  <si>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</si>
  <si>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</si>
  <si>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</si>
  <si>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</si>
  <si>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</si>
  <si>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</si>
  <si>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</si>
  <si>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</si>
  <si>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</si>
  <si>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</si>
  <si>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</si>
  <si>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</si>
  <si>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</si>
  <si>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</si>
  <si>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</si>
  <si>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</si>
  <si>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</si>
  <si>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</si>
  <si>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</si>
  <si>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</si>
  <si>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</si>
  <si>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</si>
  <si>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</si>
  <si>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</si>
  <si>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</si>
  <si>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</si>
  <si>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</si>
  <si>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</si>
  <si>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</si>
  <si>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</si>
  <si>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</si>
  <si>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</si>
  <si>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</si>
  <si>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</si>
  <si>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</si>
  <si>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</si>
  <si>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</si>
  <si>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</si>
  <si>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</si>
  <si>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</si>
  <si>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</si>
  <si>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</si>
  <si>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</si>
  <si>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</si>
  <si>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</si>
  <si>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</si>
  <si>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</si>
  <si>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</si>
  <si>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</si>
  <si>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</si>
  <si>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</si>
  <si>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</si>
  <si>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</si>
  <si>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</si>
  <si>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</si>
  <si>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</si>
  <si>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</si>
  <si>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</si>
  <si>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</si>
  <si>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</si>
  <si>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</si>
  <si>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</si>
  <si>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</si>
  <si>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</si>
  <si>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</si>
  <si>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</si>
  <si>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</si>
  <si>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</si>
  <si>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</si>
  <si>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</si>
  <si>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</si>
  <si>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</si>
  <si>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</si>
  <si>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</si>
  <si>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</si>
  <si>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</si>
  <si>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</si>
  <si>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</si>
  <si>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</si>
  <si>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</si>
  <si>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</si>
  <si>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</si>
  <si>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</si>
  <si>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</si>
  <si>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</si>
  <si>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</si>
  <si>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</si>
  <si>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</si>
  <si>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</si>
  <si>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</si>
  <si>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</si>
  <si>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</si>
  <si>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</si>
  <si>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</si>
  <si>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</si>
  <si>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</si>
  <si>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</si>
  <si>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</si>
  <si>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</si>
  <si>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</si>
  <si>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</si>
  <si>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</si>
  <si>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</si>
  <si>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</si>
  <si>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</si>
  <si>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</si>
  <si>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</si>
  <si>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</si>
  <si>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</si>
  <si>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</si>
  <si>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</si>
  <si>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</si>
  <si>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</si>
  <si>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</si>
  <si>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</si>
  <si>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</si>
  <si>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</si>
  <si>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</si>
  <si>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</si>
  <si>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</si>
  <si>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</si>
  <si>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</si>
  <si>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</si>
  <si>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</si>
  <si>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</si>
  <si>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</si>
  <si>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</si>
  <si>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</si>
  <si>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</si>
  <si>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</si>
  <si>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</si>
  <si>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</si>
  <si>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</si>
  <si>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</si>
  <si>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</si>
  <si>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</si>
  <si>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</si>
  <si>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</si>
  <si>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</si>
  <si>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</si>
  <si>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</si>
  <si>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</si>
  <si>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</si>
  <si>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</si>
  <si>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</si>
  <si>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</si>
  <si>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</si>
  <si>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</si>
  <si>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</si>
  <si>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</si>
  <si>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</si>
  <si>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</si>
  <si>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</si>
  <si>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</si>
  <si>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</si>
  <si>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</si>
  <si>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</si>
  <si>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</si>
  <si>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</si>
  <si>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</si>
  <si>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</si>
  <si>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</si>
  <si>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</si>
  <si>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</si>
  <si>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</si>
  <si>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</si>
  <si>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</si>
  <si>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</si>
  <si>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</si>
  <si>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</si>
  <si>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</si>
  <si>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</si>
  <si>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</si>
  <si>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</si>
  <si>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</si>
  <si>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</si>
  <si>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</si>
  <si>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</si>
  <si>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</si>
  <si>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</si>
  <si>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</si>
  <si>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</si>
  <si>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</si>
  <si>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</si>
  <si>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</si>
  <si>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</si>
  <si>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</si>
  <si>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</si>
  <si>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</si>
  <si>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</si>
  <si>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</si>
  <si>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</si>
  <si>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</si>
  <si>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</si>
  <si>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</si>
  <si>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</si>
  <si>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</si>
  <si>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</si>
  <si>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</si>
  <si>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</si>
  <si>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</si>
  <si>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</si>
  <si>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</si>
  <si>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</si>
  <si>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</si>
  <si>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</si>
  <si>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</si>
  <si>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</si>
  <si>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</si>
  <si>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</si>
  <si>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</si>
  <si>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</si>
  <si>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</si>
  <si>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</si>
  <si>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</si>
  <si>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</si>
  <si>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</si>
  <si>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</si>
  <si>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</si>
  <si>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</si>
  <si>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</si>
  <si>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</si>
  <si>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</si>
  <si>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</si>
  <si>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</si>
  <si>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</si>
  <si>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</si>
  <si>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</si>
  <si>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</si>
  <si>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</si>
  <si>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</si>
  <si>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</si>
  <si>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</si>
  <si>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</si>
  <si>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</si>
  <si>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</si>
  <si>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</si>
  <si>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</si>
  <si>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</si>
  <si>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</si>
  <si>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</si>
  <si>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</si>
  <si>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</si>
  <si>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</si>
  <si>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</si>
  <si>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</si>
  <si>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</si>
  <si>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</si>
  <si>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</si>
  <si>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</si>
  <si>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</si>
  <si>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</si>
  <si>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</si>
  <si>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</si>
  <si>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</si>
  <si>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</si>
  <si>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</si>
  <si>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</si>
  <si>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</si>
  <si>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</si>
  <si>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</si>
  <si>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</si>
  <si>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</si>
  <si>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</si>
  <si>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</si>
  <si>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</si>
  <si>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</si>
  <si>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</si>
  <si>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</si>
  <si>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</si>
  <si>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</si>
  <si>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</si>
  <si>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</si>
  <si>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</si>
  <si>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</si>
  <si>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</si>
  <si>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</si>
  <si>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</si>
  <si>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</si>
  <si>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</si>
  <si>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</si>
  <si>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</si>
  <si>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</si>
  <si>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</si>
  <si>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</si>
  <si>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</si>
  <si>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</si>
  <si>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</si>
  <si>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</si>
  <si>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</si>
  <si>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</si>
  <si>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</si>
  <si>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</si>
  <si>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</si>
  <si>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</si>
  <si>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</si>
  <si>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</si>
  <si>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</si>
  <si>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</si>
  <si>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</si>
  <si>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</si>
  <si>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</si>
  <si>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</si>
  <si>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</si>
  <si>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</si>
  <si>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</si>
  <si>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</si>
  <si>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</si>
  <si>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</si>
  <si>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</si>
  <si>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</si>
  <si>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</si>
  <si>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</si>
  <si>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</si>
  <si>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</si>
  <si>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</si>
  <si>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</si>
  <si>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</si>
  <si>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</si>
  <si>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</si>
  <si>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</si>
  <si>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</si>
  <si>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</si>
  <si>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</si>
  <si>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</si>
  <si>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</si>
  <si>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</si>
  <si>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</si>
  <si>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</si>
  <si>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</si>
  <si>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</si>
  <si>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</si>
  <si>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</si>
  <si>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</si>
  <si>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</si>
  <si>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</si>
  <si>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</si>
  <si>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</si>
  <si>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</si>
  <si>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</si>
  <si>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</si>
  <si>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</si>
  <si>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</si>
  <si>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</si>
  <si>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</si>
  <si>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</si>
  <si>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</si>
  <si>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</si>
  <si>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</si>
  <si>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</si>
  <si>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</si>
  <si>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</si>
  <si>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</si>
  <si>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</si>
  <si>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</si>
  <si>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</si>
  <si>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</si>
  <si>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</si>
  <si>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</si>
  <si>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</si>
  <si>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</si>
  <si>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</si>
  <si>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</si>
  <si>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</si>
  <si>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</si>
  <si>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</si>
  <si>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</si>
  <si>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</si>
  <si>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</si>
  <si>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</si>
  <si>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</si>
  <si>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</si>
  <si>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</si>
  <si>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</si>
  <si>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</si>
  <si>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</si>
  <si>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</si>
  <si>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</si>
  <si>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</si>
  <si>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</si>
  <si>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</si>
  <si>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</si>
  <si>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</si>
  <si>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</si>
  <si>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</si>
  <si>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</si>
  <si>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</si>
  <si>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</si>
  <si>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</si>
  <si>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</si>
  <si>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</si>
  <si>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</si>
  <si>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</si>
  <si>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</si>
  <si>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</si>
  <si>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</si>
  <si>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</si>
  <si>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</si>
  <si>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</si>
  <si>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</si>
  <si>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</si>
  <si>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</si>
  <si>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</si>
  <si>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</si>
  <si>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</si>
  <si>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</si>
  <si>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</si>
  <si>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</si>
  <si>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</si>
  <si>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</si>
  <si>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</si>
  <si>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</si>
  <si>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</si>
  <si>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</si>
  <si>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</si>
  <si>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</si>
  <si>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</si>
  <si>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</si>
  <si>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</si>
  <si>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</si>
  <si>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</si>
  <si>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</si>
  <si>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</si>
  <si>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</si>
  <si>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</si>
  <si>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</si>
  <si>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</si>
  <si>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</si>
  <si>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</si>
  <si>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</si>
  <si>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</si>
  <si>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</si>
  <si>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</si>
  <si>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</si>
  <si>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</si>
  <si>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</si>
  <si>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</si>
  <si>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</si>
  <si>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</si>
  <si>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</si>
  <si>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</si>
  <si>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</si>
  <si>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</si>
  <si>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</si>
  <si>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</si>
  <si>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</si>
  <si>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</si>
  <si>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</si>
  <si>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</si>
  <si>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</si>
  <si>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</si>
  <si>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</si>
  <si>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</si>
  <si>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</si>
  <si>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</si>
  <si>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</si>
  <si>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</si>
  <si>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</si>
  <si>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</si>
  <si>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</si>
  <si>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</si>
  <si>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</si>
  <si>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</si>
  <si>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</si>
  <si>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</si>
  <si>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</si>
  <si>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</si>
  <si>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</si>
  <si>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</si>
  <si>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</si>
  <si>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</si>
  <si>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</si>
  <si>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</si>
  <si>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</si>
  <si>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</si>
  <si>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</si>
  <si>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</si>
  <si>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</si>
  <si>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</si>
  <si>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</si>
  <si>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</si>
  <si>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</si>
  <si>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</si>
  <si>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</si>
  <si>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</si>
  <si>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</si>
  <si>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</si>
  <si>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</si>
  <si>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</si>
  <si>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</si>
  <si>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</si>
  <si>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</si>
  <si>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</si>
  <si>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</si>
  <si>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</si>
  <si>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</si>
  <si>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</si>
  <si>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</si>
  <si>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</si>
  <si>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</si>
  <si>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</si>
  <si>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</si>
  <si>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</si>
  <si>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</si>
  <si>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</si>
  <si>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</si>
  <si>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</si>
  <si>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</si>
  <si>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</si>
  <si>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</si>
  <si>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</si>
  <si>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</si>
  <si>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</si>
  <si>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</si>
  <si>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</si>
  <si>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</si>
  <si>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</si>
  <si>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</si>
  <si>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</si>
  <si>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</si>
  <si>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</si>
  <si>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</si>
  <si>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</si>
  <si>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</si>
  <si>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</si>
  <si>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</si>
  <si>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</si>
  <si>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</si>
  <si>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</si>
  <si>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</si>
  <si>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</si>
  <si>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</si>
  <si>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</si>
  <si>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</si>
  <si>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</si>
  <si>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</si>
  <si>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</si>
  <si>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</si>
  <si>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</si>
  <si>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</si>
  <si>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</si>
  <si>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</si>
  <si>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</si>
  <si>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</si>
  <si>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</si>
  <si>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</si>
  <si>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</si>
  <si>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</si>
  <si>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</si>
  <si>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</si>
  <si>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</si>
  <si>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</si>
  <si>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</si>
  <si>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</si>
  <si>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</si>
  <si>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</si>
  <si>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</si>
  <si>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</si>
  <si>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</si>
  <si>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</si>
  <si>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</si>
  <si>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</si>
  <si>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</si>
  <si>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</si>
  <si>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</si>
  <si>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</si>
  <si>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</si>
  <si>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</si>
  <si>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</si>
  <si>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</si>
  <si>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</si>
  <si>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</si>
  <si>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</si>
  <si>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</si>
  <si>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</si>
  <si>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</si>
  <si>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</si>
  <si>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</si>
  <si>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</si>
  <si>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</si>
  <si>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</si>
  <si>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</si>
  <si>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</si>
  <si>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</si>
  <si>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</si>
  <si>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</si>
  <si>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</si>
  <si>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</si>
  <si>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</si>
  <si>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</si>
  <si>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</si>
  <si>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</si>
  <si>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</si>
  <si>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</si>
  <si>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</si>
  <si>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</si>
  <si>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</si>
  <si>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</si>
  <si>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</si>
  <si>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</si>
  <si>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</si>
  <si>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</si>
  <si>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</si>
  <si>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</si>
  <si>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</si>
  <si>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</si>
  <si>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</si>
  <si>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</si>
  <si>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</si>
  <si>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</si>
  <si>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</si>
  <si>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</si>
  <si>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</si>
  <si>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</si>
  <si>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</si>
  <si>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</si>
  <si>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</si>
  <si>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</si>
  <si>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</si>
  <si>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</si>
  <si>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</si>
  <si>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</si>
  <si>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</si>
  <si>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</si>
  <si>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</si>
  <si>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</si>
  <si>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</si>
  <si>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</si>
  <si>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</si>
  <si>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</si>
  <si>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</si>
  <si>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</si>
  <si>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</si>
  <si>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</si>
  <si>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</si>
  <si>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</si>
  <si>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</si>
  <si>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</si>
  <si>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</si>
  <si>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</si>
  <si>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</si>
  <si>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</si>
  <si>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</si>
  <si>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</si>
  <si>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</si>
  <si>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</si>
  <si>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</si>
  <si>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</si>
  <si>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</si>
  <si>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</si>
  <si>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</si>
  <si>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</si>
  <si>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</si>
  <si>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</si>
  <si>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</si>
  <si>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</si>
  <si>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</si>
  <si>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</si>
  <si>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</si>
  <si>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</si>
  <si>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</si>
  <si>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</si>
  <si>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</si>
  <si>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</si>
  <si>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</si>
  <si>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</si>
  <si>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</si>
  <si>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</si>
  <si>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</si>
  <si>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</si>
  <si>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</si>
  <si>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</si>
  <si>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</si>
  <si>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</si>
  <si>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</si>
  <si>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</si>
  <si>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</si>
  <si>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</si>
  <si>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</si>
  <si>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</si>
  <si>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</si>
  <si>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</si>
  <si>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</si>
  <si>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</si>
  <si>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</si>
  <si>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</si>
  <si>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</si>
  <si>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</si>
  <si>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</si>
  <si>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</si>
  <si>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</si>
  <si>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</si>
  <si>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</si>
  <si>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</si>
  <si>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</si>
  <si>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</si>
  <si>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</si>
  <si>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</si>
  <si>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</si>
  <si>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</si>
  <si>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</si>
  <si>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</si>
  <si>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</si>
  <si>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</si>
  <si>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</si>
  <si>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</si>
  <si>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</si>
  <si>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</si>
  <si>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</si>
  <si>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</si>
  <si>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</si>
  <si>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</si>
  <si>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</si>
  <si>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</si>
  <si>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</si>
  <si>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</si>
  <si>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</si>
  <si>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</si>
  <si>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</si>
  <si>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</si>
  <si>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</si>
  <si>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</si>
  <si>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</si>
  <si>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</si>
  <si>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</si>
  <si>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</si>
  <si>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</si>
  <si>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</si>
  <si>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</si>
  <si>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</si>
  <si>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</si>
  <si>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</si>
  <si>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</si>
  <si>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</si>
  <si>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</si>
  <si>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</si>
  <si>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</si>
  <si>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</si>
  <si>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</si>
  <si>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</si>
  <si>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</si>
  <si>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</si>
  <si>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</si>
  <si>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</si>
  <si>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</si>
  <si>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</si>
  <si>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</si>
  <si>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</si>
  <si>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</si>
  <si>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</si>
  <si>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</si>
  <si>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</si>
  <si>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</si>
  <si>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</si>
  <si>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</si>
  <si>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</si>
  <si>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</si>
  <si>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</si>
  <si>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</si>
  <si>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</si>
  <si>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</si>
  <si>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</si>
  <si>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</si>
  <si>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</si>
  <si>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</si>
  <si>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</si>
  <si>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</si>
  <si>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</si>
  <si>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</si>
  <si>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</si>
  <si>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</si>
  <si>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</si>
  <si>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</si>
  <si>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</si>
  <si>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</si>
  <si>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</si>
  <si>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</si>
  <si>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</si>
  <si>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</si>
  <si>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</si>
  <si>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</si>
  <si>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</si>
  <si>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</si>
  <si>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</si>
  <si>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</si>
  <si>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</si>
  <si>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</si>
  <si>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</si>
  <si>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</si>
  <si>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</si>
  <si>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</si>
  <si>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</si>
  <si>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</si>
  <si>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</si>
  <si>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</si>
  <si>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</si>
  <si>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</si>
  <si>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</si>
  <si>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</si>
  <si>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</si>
  <si>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</si>
  <si>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</si>
  <si>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</si>
  <si>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</si>
  <si>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</si>
  <si>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</si>
  <si>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</si>
  <si>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</si>
  <si>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</si>
  <si>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</si>
  <si>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</si>
  <si>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</si>
  <si>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</si>
  <si>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</si>
  <si>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</si>
  <si>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</si>
  <si>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</si>
  <si>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</si>
  <si>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</si>
  <si>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</si>
  <si>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</si>
  <si>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</si>
  <si>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</si>
  <si>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</si>
  <si>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</si>
  <si>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</si>
  <si>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</si>
  <si>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</si>
  <si>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</si>
  <si>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</si>
  <si>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</si>
  <si>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</si>
  <si>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</si>
  <si>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</si>
  <si>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</si>
  <si>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</si>
  <si>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</si>
  <si>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</si>
  <si>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</si>
  <si>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</si>
  <si>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</si>
  <si>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</si>
  <si>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</si>
  <si>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</si>
  <si>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</si>
  <si>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</si>
  <si>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</si>
  <si>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</si>
  <si>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</si>
  <si>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</si>
  <si>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</si>
  <si>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</si>
  <si>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</si>
  <si>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</si>
  <si>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</si>
  <si>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</si>
  <si>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</si>
  <si>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</si>
  <si>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</si>
  <si>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</si>
  <si>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</si>
  <si>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</si>
  <si>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</si>
  <si>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</si>
  <si>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</si>
  <si>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</si>
  <si>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</si>
  <si>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</si>
  <si>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</si>
  <si>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</si>
  <si>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</si>
  <si>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</si>
  <si>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</si>
  <si>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</si>
  <si>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</si>
  <si>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</si>
  <si>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</si>
  <si>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</si>
  <si>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</si>
  <si>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</si>
  <si>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</si>
  <si>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</si>
  <si>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</si>
  <si>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12034</t>
  </si>
  <si>
    <t>SINT-AMANDS</t>
  </si>
  <si>
    <t>Cultuurgrond (ha)</t>
  </si>
  <si>
    <t>Paarden&amp;pony's 200 - 600 kg</t>
  </si>
  <si>
    <t>Paarden&amp;pony's &lt; 200 kg</t>
  </si>
  <si>
    <t>Fluvius</t>
  </si>
  <si>
    <t>referentietaak LNE (2017); Jaarverslag De Lijn</t>
  </si>
  <si>
    <t>BVBA LVR (Lanckpaep Geert)</t>
  </si>
  <si>
    <t>Pandgatheide 13, 2890 Sint-Amands</t>
  </si>
  <si>
    <t xml:space="preserve">WKK-0075 Geert Lanckpaep </t>
  </si>
  <si>
    <t>interne verbrandingsmotor</t>
  </si>
  <si>
    <t>WKK interne verbrandinsgmotor (gas)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</si>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</sst>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68893.906490313559</c:v>
                </c:pt>
                <c:pt idx="1">
                  <c:v>16346.87510611681</c:v>
                </c:pt>
                <c:pt idx="2">
                  <c:v>553.827</c:v>
                </c:pt>
                <c:pt idx="3">
                  <c:v>12747.746857284375</c:v>
                </c:pt>
                <c:pt idx="4">
                  <c:v>4195.3387195763635</c:v>
                </c:pt>
                <c:pt idx="5">
                  <c:v>51864.28622378315</c:v>
                </c:pt>
                <c:pt idx="6">
                  <c:v>378.01733043301124</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68893.906490313559</c:v>
                </c:pt>
                <c:pt idx="1">
                  <c:v>16346.87510611681</c:v>
                </c:pt>
                <c:pt idx="2">
                  <c:v>553.827</c:v>
                </c:pt>
                <c:pt idx="3">
                  <c:v>12747.746857284375</c:v>
                </c:pt>
                <c:pt idx="4">
                  <c:v>4195.3387195763635</c:v>
                </c:pt>
                <c:pt idx="5">
                  <c:v>51864.28622378315</c:v>
                </c:pt>
                <c:pt idx="6">
                  <c:v>378.01733043301124</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12434.049025740136</c:v>
                </c:pt>
                <c:pt idx="2">
                  <c:v>3261.1986404468053</c:v>
                </c:pt>
                <c:pt idx="3">
                  <c:v>113.54735374717878</c:v>
                </c:pt>
                <c:pt idx="4">
                  <c:v>3026.7622214149274</c:v>
                </c:pt>
                <c:pt idx="5">
                  <c:v>883.15358738048758</c:v>
                </c:pt>
                <c:pt idx="6">
                  <c:v>13091.158435889172</c:v>
                </c:pt>
                <c:pt idx="7">
                  <c:v>96.629565331810952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12434.049025740136</c:v>
                </c:pt>
                <c:pt idx="2">
                  <c:v>3261.1986404468053</c:v>
                </c:pt>
                <c:pt idx="3">
                  <c:v>113.54735374717878</c:v>
                </c:pt>
                <c:pt idx="4">
                  <c:v>3026.7622214149274</c:v>
                </c:pt>
                <c:pt idx="5">
                  <c:v>883.15358738048758</c:v>
                </c:pt>
                <c:pt idx="6">
                  <c:v>13091.158435889172</c:v>
                </c:pt>
                <c:pt idx="7">
                  <c:v>96.629565331810952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12034</v>
      </c>
      <c r="B6" s="395"/>
      <c r="C6" s="396"/>
    </row>
    <row r="7" spans="1:7" s="393" customFormat="1" ht="15.75" customHeight="1">
      <c r="A7" s="397" t="str">
        <f>txtMunicipality</f>
        <v>SINT-AMANDS</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0.20502314576064146</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0.20502314576064146</v>
      </c>
      <c r="C29" s="509">
        <f ca="1">'EF ele_warmte'!B22</f>
        <v>0.23764705882352946</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3162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786</v>
      </c>
      <c r="C14" s="332"/>
      <c r="D14" s="332"/>
      <c r="E14" s="332"/>
      <c r="F14" s="332"/>
    </row>
    <row r="15" spans="1:6">
      <c r="A15" s="1306" t="s">
        <v>183</v>
      </c>
      <c r="B15" s="1307">
        <v>5</v>
      </c>
      <c r="C15" s="332"/>
      <c r="D15" s="332"/>
      <c r="E15" s="332"/>
      <c r="F15" s="332"/>
    </row>
    <row r="16" spans="1:6">
      <c r="A16" s="1306" t="s">
        <v>6</v>
      </c>
      <c r="B16" s="1307">
        <v>273</v>
      </c>
      <c r="C16" s="332"/>
      <c r="D16" s="332"/>
      <c r="E16" s="332"/>
      <c r="F16" s="332"/>
    </row>
    <row r="17" spans="1:6">
      <c r="A17" s="1306" t="s">
        <v>7</v>
      </c>
      <c r="B17" s="1307">
        <v>83</v>
      </c>
      <c r="C17" s="332"/>
      <c r="D17" s="332"/>
      <c r="E17" s="332"/>
      <c r="F17" s="332"/>
    </row>
    <row r="18" spans="1:6">
      <c r="A18" s="1306" t="s">
        <v>8</v>
      </c>
      <c r="B18" s="1307">
        <v>218</v>
      </c>
      <c r="C18" s="332"/>
      <c r="D18" s="332"/>
      <c r="E18" s="332"/>
      <c r="F18" s="332"/>
    </row>
    <row r="19" spans="1:6">
      <c r="A19" s="1306" t="s">
        <v>9</v>
      </c>
      <c r="B19" s="1307">
        <v>170</v>
      </c>
      <c r="C19" s="332"/>
      <c r="D19" s="332"/>
      <c r="E19" s="332"/>
      <c r="F19" s="332"/>
    </row>
    <row r="20" spans="1:6">
      <c r="A20" s="1306" t="s">
        <v>10</v>
      </c>
      <c r="B20" s="1307">
        <v>136</v>
      </c>
      <c r="C20" s="332"/>
      <c r="D20" s="332"/>
      <c r="E20" s="332"/>
      <c r="F20" s="332"/>
    </row>
    <row r="21" spans="1:6">
      <c r="A21" s="1306" t="s">
        <v>11</v>
      </c>
      <c r="B21" s="1307">
        <v>637</v>
      </c>
      <c r="C21" s="332"/>
      <c r="D21" s="332"/>
      <c r="E21" s="332"/>
      <c r="F21" s="332"/>
    </row>
    <row r="22" spans="1:6">
      <c r="A22" s="1306" t="s">
        <v>12</v>
      </c>
      <c r="B22" s="1307">
        <v>2193</v>
      </c>
      <c r="C22" s="332"/>
      <c r="D22" s="332"/>
      <c r="E22" s="332"/>
      <c r="F22" s="332"/>
    </row>
    <row r="23" spans="1:6">
      <c r="A23" s="1306" t="s">
        <v>13</v>
      </c>
      <c r="B23" s="1307">
        <v>28</v>
      </c>
      <c r="C23" s="332"/>
      <c r="D23" s="332"/>
      <c r="E23" s="332"/>
      <c r="F23" s="332"/>
    </row>
    <row r="24" spans="1:6">
      <c r="A24" s="1306" t="s">
        <v>14</v>
      </c>
      <c r="B24" s="1307">
        <v>1</v>
      </c>
      <c r="C24" s="332"/>
      <c r="D24" s="332"/>
      <c r="E24" s="332"/>
      <c r="F24" s="332"/>
    </row>
    <row r="25" spans="1:6">
      <c r="A25" s="1306" t="s">
        <v>15</v>
      </c>
      <c r="B25" s="1307">
        <v>187</v>
      </c>
      <c r="C25" s="332"/>
      <c r="D25" s="332"/>
      <c r="E25" s="332"/>
      <c r="F25" s="332"/>
    </row>
    <row r="26" spans="1:6">
      <c r="A26" s="1306" t="s">
        <v>16</v>
      </c>
      <c r="B26" s="1307">
        <v>467</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94</v>
      </c>
      <c r="C29" s="338"/>
      <c r="D29" s="338"/>
      <c r="E29" s="338"/>
      <c r="F29" s="338"/>
    </row>
    <row r="30" spans="1:6">
      <c r="A30" s="1301" t="s">
        <v>917</v>
      </c>
      <c r="B30" s="1310">
        <v>13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4555.5607809920002</v>
      </c>
    </row>
    <row r="39" spans="1:6">
      <c r="A39" s="1306" t="s">
        <v>29</v>
      </c>
      <c r="B39" s="1306" t="s">
        <v>30</v>
      </c>
      <c r="C39" s="1307">
        <v>2369</v>
      </c>
      <c r="D39" s="1307">
        <v>45516887.929765001</v>
      </c>
      <c r="E39" s="1307">
        <v>3135</v>
      </c>
      <c r="F39" s="1307">
        <v>12057440.306774</v>
      </c>
    </row>
    <row r="40" spans="1:6">
      <c r="A40" s="1306" t="s">
        <v>29</v>
      </c>
      <c r="B40" s="1306" t="s">
        <v>28</v>
      </c>
      <c r="C40" s="1307">
        <v>0</v>
      </c>
      <c r="D40" s="1307">
        <v>0</v>
      </c>
      <c r="E40" s="1307">
        <v>0</v>
      </c>
      <c r="F40" s="1307">
        <v>0</v>
      </c>
    </row>
    <row r="41" spans="1:6">
      <c r="A41" s="1306" t="s">
        <v>31</v>
      </c>
      <c r="B41" s="1306" t="s">
        <v>32</v>
      </c>
      <c r="C41" s="1307">
        <v>20</v>
      </c>
      <c r="D41" s="1307">
        <v>547178.76448337897</v>
      </c>
      <c r="E41" s="1307">
        <v>45</v>
      </c>
      <c r="F41" s="1307">
        <v>435456.04933063302</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69234.566964570098</v>
      </c>
      <c r="E44" s="1307">
        <v>4</v>
      </c>
      <c r="F44" s="1307">
        <v>8937.0682728226002</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10</v>
      </c>
      <c r="D48" s="1307">
        <v>659268.90668714896</v>
      </c>
      <c r="E48" s="1307">
        <v>14</v>
      </c>
      <c r="F48" s="1307">
        <v>899388.91919599997</v>
      </c>
    </row>
    <row r="49" spans="1:6">
      <c r="A49" s="1306" t="s">
        <v>31</v>
      </c>
      <c r="B49" s="1306" t="s">
        <v>39</v>
      </c>
      <c r="C49" s="1307">
        <v>0</v>
      </c>
      <c r="D49" s="1307">
        <v>0</v>
      </c>
      <c r="E49" s="1307">
        <v>0</v>
      </c>
      <c r="F49" s="1307">
        <v>0</v>
      </c>
    </row>
    <row r="50" spans="1:6">
      <c r="A50" s="1306" t="s">
        <v>31</v>
      </c>
      <c r="B50" s="1306" t="s">
        <v>40</v>
      </c>
      <c r="C50" s="1307">
        <v>5</v>
      </c>
      <c r="D50" s="1307">
        <v>287120.93241483998</v>
      </c>
      <c r="E50" s="1307">
        <v>5</v>
      </c>
      <c r="F50" s="1307">
        <v>240272.93271796501</v>
      </c>
    </row>
    <row r="51" spans="1:6">
      <c r="A51" s="1306" t="s">
        <v>41</v>
      </c>
      <c r="B51" s="1306" t="s">
        <v>42</v>
      </c>
      <c r="C51" s="1307">
        <v>0</v>
      </c>
      <c r="D51" s="1307">
        <v>0</v>
      </c>
      <c r="E51" s="1307">
        <v>28</v>
      </c>
      <c r="F51" s="1307">
        <v>349159.27308241499</v>
      </c>
    </row>
    <row r="52" spans="1:6">
      <c r="A52" s="1306" t="s">
        <v>41</v>
      </c>
      <c r="B52" s="1306" t="s">
        <v>28</v>
      </c>
      <c r="C52" s="1307">
        <v>3</v>
      </c>
      <c r="D52" s="1307">
        <v>22996188.088721801</v>
      </c>
      <c r="E52" s="1307">
        <v>4</v>
      </c>
      <c r="F52" s="1307">
        <v>52674.677628366597</v>
      </c>
    </row>
    <row r="53" spans="1:6">
      <c r="A53" s="1306" t="s">
        <v>43</v>
      </c>
      <c r="B53" s="1306" t="s">
        <v>44</v>
      </c>
      <c r="C53" s="1307">
        <v>60</v>
      </c>
      <c r="D53" s="1307">
        <v>1500735.6156695201</v>
      </c>
      <c r="E53" s="1307">
        <v>93</v>
      </c>
      <c r="F53" s="1307">
        <v>406089.27398538799</v>
      </c>
    </row>
    <row r="54" spans="1:6">
      <c r="A54" s="1306" t="s">
        <v>45</v>
      </c>
      <c r="B54" s="1306" t="s">
        <v>46</v>
      </c>
      <c r="C54" s="1307">
        <v>0</v>
      </c>
      <c r="D54" s="1307">
        <v>0</v>
      </c>
      <c r="E54" s="1307">
        <v>1</v>
      </c>
      <c r="F54" s="1307">
        <v>553827</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8</v>
      </c>
      <c r="D57" s="1307">
        <v>221479.32684711399</v>
      </c>
      <c r="E57" s="1307">
        <v>25</v>
      </c>
      <c r="F57" s="1307">
        <v>682067.112885696</v>
      </c>
    </row>
    <row r="58" spans="1:6">
      <c r="A58" s="1306" t="s">
        <v>48</v>
      </c>
      <c r="B58" s="1306" t="s">
        <v>50</v>
      </c>
      <c r="C58" s="1307">
        <v>13</v>
      </c>
      <c r="D58" s="1307">
        <v>471086.27420700702</v>
      </c>
      <c r="E58" s="1307">
        <v>15</v>
      </c>
      <c r="F58" s="1307">
        <v>115384.23360044201</v>
      </c>
    </row>
    <row r="59" spans="1:6">
      <c r="A59" s="1306" t="s">
        <v>48</v>
      </c>
      <c r="B59" s="1306" t="s">
        <v>51</v>
      </c>
      <c r="C59" s="1307">
        <v>21</v>
      </c>
      <c r="D59" s="1307">
        <v>970428.87453880999</v>
      </c>
      <c r="E59" s="1307">
        <v>56</v>
      </c>
      <c r="F59" s="1307">
        <v>735020.77781260503</v>
      </c>
    </row>
    <row r="60" spans="1:6">
      <c r="A60" s="1306" t="s">
        <v>48</v>
      </c>
      <c r="B60" s="1306" t="s">
        <v>52</v>
      </c>
      <c r="C60" s="1307">
        <v>20</v>
      </c>
      <c r="D60" s="1307">
        <v>1146556.1841763901</v>
      </c>
      <c r="E60" s="1307">
        <v>28</v>
      </c>
      <c r="F60" s="1307">
        <v>589537.32017996896</v>
      </c>
    </row>
    <row r="61" spans="1:6">
      <c r="A61" s="1306" t="s">
        <v>48</v>
      </c>
      <c r="B61" s="1306" t="s">
        <v>53</v>
      </c>
      <c r="C61" s="1307">
        <v>66</v>
      </c>
      <c r="D61" s="1307">
        <v>3230119.2324044099</v>
      </c>
      <c r="E61" s="1307">
        <v>131</v>
      </c>
      <c r="F61" s="1307">
        <v>894602.83839694597</v>
      </c>
    </row>
    <row r="62" spans="1:6">
      <c r="A62" s="1306" t="s">
        <v>48</v>
      </c>
      <c r="B62" s="1306" t="s">
        <v>54</v>
      </c>
      <c r="C62" s="1307">
        <v>7</v>
      </c>
      <c r="D62" s="1307">
        <v>653277.71352404496</v>
      </c>
      <c r="E62" s="1307">
        <v>7</v>
      </c>
      <c r="F62" s="1307">
        <v>92910.867354199407</v>
      </c>
    </row>
    <row r="63" spans="1:6">
      <c r="A63" s="1306" t="s">
        <v>48</v>
      </c>
      <c r="B63" s="1306" t="s">
        <v>28</v>
      </c>
      <c r="C63" s="1307">
        <v>62</v>
      </c>
      <c r="D63" s="1307">
        <v>3315062.4596815798</v>
      </c>
      <c r="E63" s="1307">
        <v>85</v>
      </c>
      <c r="F63" s="1307">
        <v>2319743.71505536</v>
      </c>
    </row>
    <row r="64" spans="1:6">
      <c r="A64" s="1306" t="s">
        <v>55</v>
      </c>
      <c r="B64" s="1306" t="s">
        <v>56</v>
      </c>
      <c r="C64" s="1307">
        <v>0</v>
      </c>
      <c r="D64" s="1307">
        <v>0</v>
      </c>
      <c r="E64" s="1307">
        <v>0</v>
      </c>
      <c r="F64" s="1307">
        <v>0</v>
      </c>
    </row>
    <row r="65" spans="1:6">
      <c r="A65" s="1306" t="s">
        <v>55</v>
      </c>
      <c r="B65" s="1306" t="s">
        <v>28</v>
      </c>
      <c r="C65" s="1307">
        <v>1</v>
      </c>
      <c r="D65" s="1307">
        <v>34801.560419601003</v>
      </c>
      <c r="E65" s="1307">
        <v>2</v>
      </c>
      <c r="F65" s="1307">
        <v>14591.542340866001</v>
      </c>
    </row>
    <row r="66" spans="1:6">
      <c r="A66" s="1306" t="s">
        <v>55</v>
      </c>
      <c r="B66" s="1306" t="s">
        <v>57</v>
      </c>
      <c r="C66" s="1307">
        <v>0</v>
      </c>
      <c r="D66" s="1307">
        <v>0</v>
      </c>
      <c r="E66" s="1307">
        <v>3</v>
      </c>
      <c r="F66" s="1307">
        <v>17842.600263408101</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47756849</v>
      </c>
      <c r="E73" s="456"/>
      <c r="F73" s="332"/>
    </row>
    <row r="74" spans="1:6">
      <c r="A74" s="1306" t="s">
        <v>63</v>
      </c>
      <c r="B74" s="1306" t="s">
        <v>724</v>
      </c>
      <c r="C74" s="1320" t="s">
        <v>725</v>
      </c>
      <c r="D74" s="1321">
        <v>3105158.0237480192</v>
      </c>
      <c r="E74" s="456"/>
      <c r="F74" s="332"/>
    </row>
    <row r="75" spans="1:6">
      <c r="A75" s="1306" t="s">
        <v>64</v>
      </c>
      <c r="B75" s="1306" t="s">
        <v>722</v>
      </c>
      <c r="C75" s="1320" t="s">
        <v>726</v>
      </c>
      <c r="D75" s="1321">
        <v>14782125</v>
      </c>
      <c r="E75" s="456"/>
      <c r="F75" s="332"/>
    </row>
    <row r="76" spans="1:6">
      <c r="A76" s="1306" t="s">
        <v>64</v>
      </c>
      <c r="B76" s="1306" t="s">
        <v>724</v>
      </c>
      <c r="C76" s="1320" t="s">
        <v>727</v>
      </c>
      <c r="D76" s="1321">
        <v>120618.02374801935</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100025.95250396131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1927.7655047311475</v>
      </c>
      <c r="C91" s="332"/>
      <c r="D91" s="332"/>
      <c r="E91" s="332"/>
      <c r="F91" s="332"/>
    </row>
    <row r="92" spans="1:6">
      <c r="A92" s="1301" t="s">
        <v>68</v>
      </c>
      <c r="B92" s="1302">
        <v>208.22932832029099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1634</v>
      </c>
      <c r="C97" s="332"/>
      <c r="D97" s="332"/>
      <c r="E97" s="332"/>
      <c r="F97" s="332"/>
    </row>
    <row r="98" spans="1:6">
      <c r="A98" s="1306" t="s">
        <v>71</v>
      </c>
      <c r="B98" s="1307">
        <v>4</v>
      </c>
      <c r="C98" s="332"/>
      <c r="D98" s="332"/>
      <c r="E98" s="332"/>
      <c r="F98" s="332"/>
    </row>
    <row r="99" spans="1:6">
      <c r="A99" s="1306" t="s">
        <v>72</v>
      </c>
      <c r="B99" s="1307">
        <v>13</v>
      </c>
      <c r="C99" s="332"/>
      <c r="D99" s="332"/>
      <c r="E99" s="332"/>
      <c r="F99" s="332"/>
    </row>
    <row r="100" spans="1:6">
      <c r="A100" s="1306" t="s">
        <v>73</v>
      </c>
      <c r="B100" s="1307">
        <v>192</v>
      </c>
      <c r="C100" s="332"/>
      <c r="D100" s="332"/>
      <c r="E100" s="332"/>
      <c r="F100" s="332"/>
    </row>
    <row r="101" spans="1:6">
      <c r="A101" s="1306" t="s">
        <v>74</v>
      </c>
      <c r="B101" s="1307">
        <v>46</v>
      </c>
      <c r="C101" s="332"/>
      <c r="D101" s="332"/>
      <c r="E101" s="332"/>
      <c r="F101" s="332"/>
    </row>
    <row r="102" spans="1:6">
      <c r="A102" s="1306" t="s">
        <v>75</v>
      </c>
      <c r="B102" s="1307">
        <v>24</v>
      </c>
      <c r="C102" s="332"/>
      <c r="D102" s="332"/>
      <c r="E102" s="332"/>
      <c r="F102" s="332"/>
    </row>
    <row r="103" spans="1:6">
      <c r="A103" s="1306" t="s">
        <v>76</v>
      </c>
      <c r="B103" s="1307">
        <v>57</v>
      </c>
      <c r="C103" s="332"/>
      <c r="D103" s="332"/>
      <c r="E103" s="332"/>
      <c r="F103" s="332"/>
    </row>
    <row r="104" spans="1:6">
      <c r="A104" s="1306" t="s">
        <v>77</v>
      </c>
      <c r="B104" s="1307">
        <v>838</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v>
      </c>
      <c r="C123" s="1307">
        <v>6</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41</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22362.977668956966</v>
      </c>
      <c r="C3" s="43" t="s">
        <v>169</v>
      </c>
      <c r="D3" s="43"/>
      <c r="E3" s="156"/>
      <c r="F3" s="43"/>
      <c r="G3" s="43"/>
      <c r="H3" s="43"/>
      <c r="I3" s="43"/>
      <c r="J3" s="43"/>
      <c r="K3" s="96"/>
    </row>
    <row r="4" spans="1:11">
      <c r="A4" s="363" t="s">
        <v>170</v>
      </c>
      <c r="B4" s="49">
        <f>IF(ISERROR('SEAP template'!B78+'SEAP template'!C78),0,'SEAP template'!B78+'SEAP template'!C78)</f>
        <v>9029.994833051438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1638.3388235294121</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0.20502314576064146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2340.4840336134462</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9848.5714285714294</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0.23764705882352946</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553.827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553.827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0.20502314576064146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113.54735374717878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12057.440306774</v>
      </c>
      <c r="C5" s="17">
        <f>IF(ISERROR('Eigen informatie GS &amp; warmtenet'!B57),0,'Eigen informatie GS &amp; warmtenet'!B57)</f>
        <v>0</v>
      </c>
      <c r="D5" s="30">
        <f>(SUM(HH_hh_gas_kWh,HH_rest_gas_kWh)/1000)*0.902</f>
        <v>41056.232912648033</v>
      </c>
      <c r="E5" s="17">
        <f>B46*B57</f>
        <v>723.88894854096759</v>
      </c>
      <c r="F5" s="17">
        <f>B51*B62</f>
        <v>4153.8438070473476</v>
      </c>
      <c r="G5" s="18"/>
      <c r="H5" s="17"/>
      <c r="I5" s="17"/>
      <c r="J5" s="17">
        <f>B50*B61+C50*C61</f>
        <v>0</v>
      </c>
      <c r="K5" s="17"/>
      <c r="L5" s="17"/>
      <c r="M5" s="17"/>
      <c r="N5" s="17">
        <f>B48*B59+C48*C59</f>
        <v>8767.7916772387398</v>
      </c>
      <c r="O5" s="17">
        <f>B69*B70*B71</f>
        <v>73.476666666666674</v>
      </c>
      <c r="P5" s="17">
        <f>B77*B78*B79/1000-B77*B78*B79/1000/B80</f>
        <v>133.46666666666667</v>
      </c>
    </row>
    <row r="6" spans="1:16">
      <c r="A6" s="16" t="s">
        <v>633</v>
      </c>
      <c r="B6" s="779">
        <f>kWh_PV_kleiner_dan_10kW</f>
        <v>1927.7655047311475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13985.205811505148</v>
      </c>
      <c r="C8" s="21">
        <f>C5</f>
        <v>0</v>
      </c>
      <c r="D8" s="21">
        <f>D5</f>
        <v>41056.232912648033</v>
      </c>
      <c r="E8" s="21">
        <f>E5</f>
        <v>723.88894854096759</v>
      </c>
      <c r="F8" s="21">
        <f>F5</f>
        <v>4153.8438070473476</v>
      </c>
      <c r="G8" s="21"/>
      <c r="H8" s="21"/>
      <c r="I8" s="21"/>
      <c r="J8" s="21">
        <f>J5</f>
        <v>0</v>
      </c>
      <c r="K8" s="21"/>
      <c r="L8" s="21">
        <f>L5</f>
        <v>0</v>
      </c>
      <c r="M8" s="21">
        <f>M5</f>
        <v>0</v>
      </c>
      <c r="N8" s="21">
        <f>N5</f>
        <v>8767.7916772387398</v>
      </c>
      <c r="O8" s="21">
        <f>O5</f>
        <v>73.476666666666674</v>
      </c>
      <c r="P8" s="21">
        <f>P5</f>
        <v>133.46666666666667</v>
      </c>
    </row>
    <row r="9" spans="1:16">
      <c r="B9" s="19"/>
      <c r="C9" s="19"/>
      <c r="D9" s="261"/>
      <c r="E9" s="19"/>
      <c r="F9" s="19"/>
      <c r="G9" s="19"/>
      <c r="H9" s="19"/>
      <c r="I9" s="19"/>
      <c r="J9" s="19"/>
      <c r="K9" s="19"/>
      <c r="L9" s="19"/>
      <c r="M9" s="19"/>
      <c r="N9" s="19"/>
      <c r="O9" s="19"/>
      <c r="P9" s="19"/>
    </row>
    <row r="10" spans="1:16">
      <c r="A10" s="24" t="s">
        <v>213</v>
      </c>
      <c r="B10" s="25">
        <f ca="1">'EF ele_warmte'!B12</f>
        <v>0.20502314576064146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2867.29088958479</v>
      </c>
      <c r="C12" s="23">
        <f ca="1">C10*C8</f>
        <v>0</v>
      </c>
      <c r="D12" s="23">
        <f>D8*D10</f>
        <v>8293.3590483549033</v>
      </c>
      <c r="E12" s="23">
        <f>E10*E8</f>
        <v>164.32279131879966</v>
      </c>
      <c r="F12" s="23">
        <f>F10*F8</f>
        <v>1109.076296481642</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1634</v>
      </c>
      <c r="C18" s="168" t="s">
        <v>110</v>
      </c>
      <c r="D18" s="230"/>
      <c r="E18" s="15"/>
    </row>
    <row r="19" spans="1:7">
      <c r="A19" s="173" t="s">
        <v>71</v>
      </c>
      <c r="B19" s="37">
        <f>aantalw2001_ander</f>
        <v>4</v>
      </c>
      <c r="C19" s="168" t="s">
        <v>110</v>
      </c>
      <c r="D19" s="231"/>
      <c r="E19" s="15"/>
    </row>
    <row r="20" spans="1:7">
      <c r="A20" s="173" t="s">
        <v>72</v>
      </c>
      <c r="B20" s="37">
        <f>aantalw2001_propaan</f>
        <v>13</v>
      </c>
      <c r="C20" s="169">
        <f>IF(ISERROR(B20/SUM($B$20,$B$21,$B$22)*100),0,B20/SUM($B$20,$B$21,$B$22)*100)</f>
        <v>5.1792828685258963</v>
      </c>
      <c r="D20" s="231"/>
      <c r="E20" s="15"/>
    </row>
    <row r="21" spans="1:7">
      <c r="A21" s="173" t="s">
        <v>73</v>
      </c>
      <c r="B21" s="37">
        <f>aantalw2001_elektriciteit</f>
        <v>192</v>
      </c>
      <c r="C21" s="169">
        <f>IF(ISERROR(B21/SUM($B$20,$B$21,$B$22)*100),0,B21/SUM($B$20,$B$21,$B$22)*100)</f>
        <v>76.494023904382473</v>
      </c>
      <c r="D21" s="231"/>
      <c r="E21" s="15"/>
    </row>
    <row r="22" spans="1:7">
      <c r="A22" s="173" t="s">
        <v>74</v>
      </c>
      <c r="B22" s="37">
        <f>aantalw2001_hout</f>
        <v>46</v>
      </c>
      <c r="C22" s="169">
        <f>IF(ISERROR(B22/SUM($B$20,$B$21,$B$22)*100),0,B22/SUM($B$20,$B$21,$B$22)*100)</f>
        <v>18.326693227091635</v>
      </c>
      <c r="D22" s="231"/>
      <c r="E22" s="15"/>
    </row>
    <row r="23" spans="1:7">
      <c r="A23" s="173" t="s">
        <v>75</v>
      </c>
      <c r="B23" s="37">
        <f>aantalw2001_niet_gespec</f>
        <v>24</v>
      </c>
      <c r="C23" s="168" t="s">
        <v>110</v>
      </c>
      <c r="D23" s="230"/>
      <c r="E23" s="15"/>
    </row>
    <row r="24" spans="1:7">
      <c r="A24" s="173" t="s">
        <v>76</v>
      </c>
      <c r="B24" s="37">
        <f>aantalw2001_steenkool</f>
        <v>57</v>
      </c>
      <c r="C24" s="168" t="s">
        <v>110</v>
      </c>
      <c r="D24" s="231"/>
      <c r="E24" s="15"/>
    </row>
    <row r="25" spans="1:7">
      <c r="A25" s="173" t="s">
        <v>77</v>
      </c>
      <c r="B25" s="37">
        <f>aantalw2001_stookolie</f>
        <v>838</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3162</v>
      </c>
      <c r="C28" s="36"/>
      <c r="D28" s="230"/>
    </row>
    <row r="29" spans="1:7" s="15" customFormat="1">
      <c r="A29" s="232" t="s">
        <v>743</v>
      </c>
      <c r="B29" s="37">
        <f>SUM(HH_hh_gas_aantal,HH_rest_gas_aantal)</f>
        <v>2369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2369</v>
      </c>
      <c r="C32" s="169">
        <f>IF(ISERROR(B32/SUM($B$32,$B$34,$B$35,$B$36,$B$38,$B$39)*100),0,B32/SUM($B$32,$B$34,$B$35,$B$36,$B$38,$B$39)*100)</f>
        <v>75.087163232963562</v>
      </c>
      <c r="D32" s="235"/>
      <c r="G32" s="15"/>
    </row>
    <row r="33" spans="1:7">
      <c r="A33" s="173" t="s">
        <v>71</v>
      </c>
      <c r="B33" s="34" t="s">
        <v>110</v>
      </c>
      <c r="C33" s="169"/>
      <c r="D33" s="235"/>
      <c r="G33" s="15"/>
    </row>
    <row r="34" spans="1:7">
      <c r="A34" s="173" t="s">
        <v>72</v>
      </c>
      <c r="B34" s="33">
        <f>IF((($B$28-$B$32-$B$39-$B$77-$B$38)*C20/100)&lt;0,0,($B$28-$B$32-$B$39-$B$77-$B$38)*C20/100)</f>
        <v>31.567729083665334</v>
      </c>
      <c r="C34" s="169">
        <f>IF(ISERROR(B34/SUM($B$32,$B$34,$B$35,$B$36,$B$38,$B$39)*100),0,B34/SUM($B$32,$B$34,$B$35,$B$36,$B$38,$B$39)*100)</f>
        <v>1.0005619360908189</v>
      </c>
      <c r="D34" s="235"/>
      <c r="G34" s="15"/>
    </row>
    <row r="35" spans="1:7">
      <c r="A35" s="173" t="s">
        <v>73</v>
      </c>
      <c r="B35" s="33">
        <f>IF((($B$28-$B$32-$B$39-$B$77-$B$38)*C21/100)&lt;0,0,($B$28-$B$32-$B$39-$B$77-$B$38)*C21/100)</f>
        <v>466.23107569721122</v>
      </c>
      <c r="C35" s="169">
        <f>IF(ISERROR(B35/SUM($B$32,$B$34,$B$35,$B$36,$B$38,$B$39)*100),0,B35/SUM($B$32,$B$34,$B$35,$B$36,$B$38,$B$39)*100)</f>
        <v>14.77753013303364</v>
      </c>
      <c r="D35" s="235"/>
      <c r="G35" s="15"/>
    </row>
    <row r="36" spans="1:7">
      <c r="A36" s="173" t="s">
        <v>74</v>
      </c>
      <c r="B36" s="33">
        <f>IF((($B$28-$B$32-$B$39-$B$77-$B$38)*C22/100)&lt;0,0,($B$28-$B$32-$B$39-$B$77-$B$38)*C22/100)</f>
        <v>111.70119521912351</v>
      </c>
      <c r="C36" s="169">
        <f>IF(ISERROR(B36/SUM($B$32,$B$34,$B$35,$B$36,$B$38,$B$39)*100),0,B36/SUM($B$32,$B$34,$B$35,$B$36,$B$38,$B$39)*100)</f>
        <v>3.5404499277059758</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176.5</v>
      </c>
      <c r="C39" s="169">
        <f>IF(ISERROR(B39/SUM($B$32,$B$34,$B$35,$B$36,$B$38,$B$39)*100),0,B39/SUM($B$32,$B$34,$B$35,$B$36,$B$38,$B$39)*100)</f>
        <v>5.5942947702060231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2369</v>
      </c>
      <c r="C44" s="34" t="s">
        <v>110</v>
      </c>
      <c r="D44" s="176"/>
    </row>
    <row r="45" spans="1:7">
      <c r="A45" s="173" t="s">
        <v>71</v>
      </c>
      <c r="B45" s="33" t="str">
        <f t="shared" si="0"/>
        <v>-</v>
      </c>
      <c r="C45" s="34" t="s">
        <v>110</v>
      </c>
      <c r="D45" s="176"/>
    </row>
    <row r="46" spans="1:7">
      <c r="A46" s="173" t="s">
        <v>72</v>
      </c>
      <c r="B46" s="33">
        <f t="shared" si="0"/>
        <v>31.567729083665334</v>
      </c>
      <c r="C46" s="34" t="s">
        <v>110</v>
      </c>
      <c r="D46" s="176"/>
    </row>
    <row r="47" spans="1:7">
      <c r="A47" s="173" t="s">
        <v>73</v>
      </c>
      <c r="B47" s="33">
        <f t="shared" si="0"/>
        <v>466.23107569721122</v>
      </c>
      <c r="C47" s="34" t="s">
        <v>110</v>
      </c>
      <c r="D47" s="176"/>
    </row>
    <row r="48" spans="1:7">
      <c r="A48" s="173" t="s">
        <v>74</v>
      </c>
      <c r="B48" s="33">
        <f t="shared" si="0"/>
        <v>111.70119521912351</v>
      </c>
      <c r="C48" s="33">
        <f>B48*10</f>
        <v>1117.011952191235</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176.5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47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5429.2668652852171</v>
      </c>
      <c r="C5" s="17">
        <f>IF(ISERROR('Eigen informatie GS &amp; warmtenet'!B58),0,'Eigen informatie GS &amp; warmtenet'!B58)</f>
        <v>0</v>
      </c>
      <c r="D5" s="30">
        <f>SUM(D6:D12)</f>
        <v>9027.2250789721802</v>
      </c>
      <c r="E5" s="17">
        <f>SUM(E6:E12)</f>
        <v>78.762167605539105</v>
      </c>
      <c r="F5" s="17">
        <f>SUM(F6:F12)</f>
        <v>1148.669627539984</v>
      </c>
      <c r="G5" s="18"/>
      <c r="H5" s="17"/>
      <c r="I5" s="17"/>
      <c r="J5" s="17">
        <f>SUM(J6:J12)</f>
        <v>0</v>
      </c>
      <c r="K5" s="17"/>
      <c r="L5" s="17"/>
      <c r="M5" s="17"/>
      <c r="N5" s="17">
        <f>SUM(N6:N12)</f>
        <v>662.95136671388957</v>
      </c>
      <c r="O5" s="17">
        <f>B38*B39*B40</f>
        <v>0</v>
      </c>
      <c r="P5" s="17">
        <f>B46*B47*B48/1000-B46*B47*B48/1000/B49</f>
        <v>0</v>
      </c>
      <c r="R5" s="32"/>
    </row>
    <row r="6" spans="1:18">
      <c r="A6" s="32" t="s">
        <v>53</v>
      </c>
      <c r="B6" s="37">
        <f>B26</f>
        <v>894.60283839694591</v>
      </c>
      <c r="C6" s="33"/>
      <c r="D6" s="37">
        <f>IF(ISERROR(TER_kantoor_gas_kWh/1000),0,TER_kantoor_gas_kWh/1000)*0.902</f>
        <v>2913.5675476287779</v>
      </c>
      <c r="E6" s="33">
        <f>$C$26*'E Balans VL '!I12/100/3.6*1000000</f>
        <v>3.475721425628294</v>
      </c>
      <c r="F6" s="33">
        <f>$C$26*('E Balans VL '!L12+'E Balans VL '!N12)/100/3.6*1000000</f>
        <v>136.06095148334202</v>
      </c>
      <c r="G6" s="34"/>
      <c r="H6" s="33"/>
      <c r="I6" s="33"/>
      <c r="J6" s="33">
        <f>$C$26*('E Balans VL '!D12+'E Balans VL '!E12)/100/3.6*1000000</f>
        <v>0</v>
      </c>
      <c r="K6" s="33"/>
      <c r="L6" s="33"/>
      <c r="M6" s="33"/>
      <c r="N6" s="33">
        <f>$C$26*'E Balans VL '!Y12/100/3.6*1000000</f>
        <v>0.49303333473746835</v>
      </c>
      <c r="O6" s="33"/>
      <c r="P6" s="33"/>
      <c r="R6" s="32"/>
    </row>
    <row r="7" spans="1:18">
      <c r="A7" s="32" t="s">
        <v>52</v>
      </c>
      <c r="B7" s="37">
        <f t="shared" ref="B7:B12" si="0">B27</f>
        <v>589.5373201799689</v>
      </c>
      <c r="C7" s="33"/>
      <c r="D7" s="37">
        <f>IF(ISERROR(TER_horeca_gas_kWh/1000),0,TER_horeca_gas_kWh/1000)*0.902</f>
        <v>1034.193678127104</v>
      </c>
      <c r="E7" s="33">
        <f>$C$27*'E Balans VL '!I9/100/3.6*1000000</f>
        <v>33.208794861902824</v>
      </c>
      <c r="F7" s="33">
        <f>$C$27*('E Balans VL '!L9+'E Balans VL '!N9)/100/3.6*1000000</f>
        <v>169.98726826105337</v>
      </c>
      <c r="G7" s="34"/>
      <c r="H7" s="33"/>
      <c r="I7" s="33"/>
      <c r="J7" s="33">
        <f>$C$27*('E Balans VL '!D9+'E Balans VL '!E9)/100/3.6*1000000</f>
        <v>0</v>
      </c>
      <c r="K7" s="33"/>
      <c r="L7" s="33"/>
      <c r="M7" s="33"/>
      <c r="N7" s="33">
        <f>$C$27*'E Balans VL '!Y9/100/3.6*1000000</f>
        <v>0.16276819057753614</v>
      </c>
      <c r="O7" s="33"/>
      <c r="P7" s="33"/>
      <c r="R7" s="32"/>
    </row>
    <row r="8" spans="1:18">
      <c r="A8" s="6" t="s">
        <v>51</v>
      </c>
      <c r="B8" s="37">
        <f t="shared" si="0"/>
        <v>735.02077781260505</v>
      </c>
      <c r="C8" s="33"/>
      <c r="D8" s="37">
        <f>IF(ISERROR(TER_handel_gas_kWh/1000),0,TER_handel_gas_kWh/1000)*0.902</f>
        <v>875.32684483400658</v>
      </c>
      <c r="E8" s="33">
        <f>$C$28*'E Balans VL '!I13/100/3.6*1000000</f>
        <v>10.594143085718509</v>
      </c>
      <c r="F8" s="33">
        <f>$C$28*('E Balans VL '!L13+'E Balans VL '!N13)/100/3.6*1000000</f>
        <v>127.69022658489692</v>
      </c>
      <c r="G8" s="34"/>
      <c r="H8" s="33"/>
      <c r="I8" s="33"/>
      <c r="J8" s="33">
        <f>$C$28*('E Balans VL '!D13+'E Balans VL '!E13)/100/3.6*1000000</f>
        <v>0</v>
      </c>
      <c r="K8" s="33"/>
      <c r="L8" s="33"/>
      <c r="M8" s="33"/>
      <c r="N8" s="33">
        <f>$C$28*'E Balans VL '!Y13/100/3.6*1000000</f>
        <v>2.2022040745251417</v>
      </c>
      <c r="O8" s="33"/>
      <c r="P8" s="33"/>
      <c r="R8" s="32"/>
    </row>
    <row r="9" spans="1:18">
      <c r="A9" s="32" t="s">
        <v>50</v>
      </c>
      <c r="B9" s="37">
        <f t="shared" si="0"/>
        <v>115.384233600442</v>
      </c>
      <c r="C9" s="33"/>
      <c r="D9" s="37">
        <f>IF(ISERROR(TER_gezond_gas_kWh/1000),0,TER_gezond_gas_kWh/1000)*0.902</f>
        <v>424.91981933472033</v>
      </c>
      <c r="E9" s="33">
        <f>$C$29*'E Balans VL '!I10/100/3.6*1000000</f>
        <v>0.12326026798034008</v>
      </c>
      <c r="F9" s="33">
        <f>$C$29*('E Balans VL '!L10+'E Balans VL '!N10)/100/3.6*1000000</f>
        <v>18.822675158679409</v>
      </c>
      <c r="G9" s="34"/>
      <c r="H9" s="33"/>
      <c r="I9" s="33"/>
      <c r="J9" s="33">
        <f>$C$29*('E Balans VL '!D10+'E Balans VL '!E10)/100/3.6*1000000</f>
        <v>0</v>
      </c>
      <c r="K9" s="33"/>
      <c r="L9" s="33"/>
      <c r="M9" s="33"/>
      <c r="N9" s="33">
        <f>$C$29*'E Balans VL '!Y10/100/3.6*1000000</f>
        <v>1.1878148479863251</v>
      </c>
      <c r="O9" s="33"/>
      <c r="P9" s="33"/>
      <c r="R9" s="32"/>
    </row>
    <row r="10" spans="1:18">
      <c r="A10" s="32" t="s">
        <v>49</v>
      </c>
      <c r="B10" s="37">
        <f t="shared" si="0"/>
        <v>682.06711288569602</v>
      </c>
      <c r="C10" s="33"/>
      <c r="D10" s="37">
        <f>IF(ISERROR(TER_ander_gas_kWh/1000),0,TER_ander_gas_kWh/1000)*0.902</f>
        <v>199.77435281609681</v>
      </c>
      <c r="E10" s="33">
        <f>$C$30*'E Balans VL '!I14/100/3.6*1000000</f>
        <v>3.136722902051698</v>
      </c>
      <c r="F10" s="33">
        <f>$C$30*('E Balans VL '!L14+'E Balans VL '!N14)/100/3.6*1000000</f>
        <v>204.43702806225491</v>
      </c>
      <c r="G10" s="34"/>
      <c r="H10" s="33"/>
      <c r="I10" s="33"/>
      <c r="J10" s="33">
        <f>$C$30*('E Balans VL '!D14+'E Balans VL '!E14)/100/3.6*1000000</f>
        <v>0</v>
      </c>
      <c r="K10" s="33"/>
      <c r="L10" s="33"/>
      <c r="M10" s="33"/>
      <c r="N10" s="33">
        <f>$C$30*'E Balans VL '!Y14/100/3.6*1000000</f>
        <v>474.76373434286114</v>
      </c>
      <c r="O10" s="33"/>
      <c r="P10" s="33"/>
      <c r="R10" s="32"/>
    </row>
    <row r="11" spans="1:18">
      <c r="A11" s="32" t="s">
        <v>54</v>
      </c>
      <c r="B11" s="37">
        <f t="shared" si="0"/>
        <v>92.910867354199411</v>
      </c>
      <c r="C11" s="33"/>
      <c r="D11" s="37">
        <f>IF(ISERROR(TER_onderwijs_gas_kWh/1000),0,TER_onderwijs_gas_kWh/1000)*0.902</f>
        <v>589.25649759868861</v>
      </c>
      <c r="E11" s="33">
        <f>$C$31*'E Balans VL '!I11/100/3.6*1000000</f>
        <v>8.6187048065669375E-2</v>
      </c>
      <c r="F11" s="33">
        <f>$C$31*('E Balans VL '!L11+'E Balans VL '!N11)/100/3.6*1000000</f>
        <v>32.637452298771478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2319.7437150553601</v>
      </c>
      <c r="C12" s="33"/>
      <c r="D12" s="37">
        <f>IF(ISERROR(TER_rest_gas_kWh/1000),0,TER_rest_gas_kWh/1000)*0.902</f>
        <v>2990.186338632785</v>
      </c>
      <c r="E12" s="33">
        <f>$C$32*'E Balans VL '!I8/100/3.6*1000000</f>
        <v>28.137338014191776</v>
      </c>
      <c r="F12" s="33">
        <f>$C$32*('E Balans VL '!L8+'E Balans VL '!N8)/100/3.6*1000000</f>
        <v>459.03402569098603</v>
      </c>
      <c r="G12" s="34"/>
      <c r="H12" s="33"/>
      <c r="I12" s="33"/>
      <c r="J12" s="33">
        <f>$C$32*('E Balans VL '!D8+'E Balans VL '!E8)/100/3.6*1000000</f>
        <v>0</v>
      </c>
      <c r="K12" s="33"/>
      <c r="L12" s="33"/>
      <c r="M12" s="33"/>
      <c r="N12" s="33">
        <f>$C$32*'E Balans VL '!Y8/100/3.6*1000000</f>
        <v>184.14181192320194</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5429.2668652852171</v>
      </c>
      <c r="C16" s="21">
        <f t="shared" ca="1" si="1"/>
        <v>0</v>
      </c>
      <c r="D16" s="21">
        <f t="shared" ca="1" si="1"/>
        <v>9027.2250789721802</v>
      </c>
      <c r="E16" s="21">
        <f t="shared" si="1"/>
        <v>78.762167605539105</v>
      </c>
      <c r="F16" s="21">
        <f t="shared" ca="1" si="1"/>
        <v>1148.669627539984</v>
      </c>
      <c r="G16" s="21">
        <f t="shared" si="1"/>
        <v>0</v>
      </c>
      <c r="H16" s="21">
        <f t="shared" si="1"/>
        <v>0</v>
      </c>
      <c r="I16" s="21">
        <f t="shared" si="1"/>
        <v>0</v>
      </c>
      <c r="J16" s="21">
        <f t="shared" si="1"/>
        <v>0</v>
      </c>
      <c r="K16" s="21">
        <f t="shared" si="1"/>
        <v>0</v>
      </c>
      <c r="L16" s="21">
        <f t="shared" ca="1" si="1"/>
        <v>0</v>
      </c>
      <c r="M16" s="21">
        <f t="shared" si="1"/>
        <v>0</v>
      </c>
      <c r="N16" s="21">
        <f t="shared" ca="1" si="1"/>
        <v>662.95136671388957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0.20502314576064146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1113.1253718947919</v>
      </c>
      <c r="C20" s="23">
        <f t="shared" ref="C20:P20" ca="1" si="2">C16*C18</f>
        <v>0</v>
      </c>
      <c r="D20" s="23">
        <f t="shared" ca="1" si="2"/>
        <v>1823.4994659523804</v>
      </c>
      <c r="E20" s="23">
        <f t="shared" si="2"/>
        <v>17.879012046457376</v>
      </c>
      <c r="F20" s="23">
        <f t="shared" ca="1" si="2"/>
        <v>306.69479055317578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894.60283839694591</v>
      </c>
      <c r="C26" s="39">
        <f>IF(ISERROR(B26*3.6/1000000/'E Balans VL '!Z12*100),0,B26*3.6/1000000/'E Balans VL '!Z12*100)</f>
        <v>1.9001807416191334E-2</v>
      </c>
      <c r="D26" s="239" t="s">
        <v>689</v>
      </c>
      <c r="F26" s="6"/>
    </row>
    <row r="27" spans="1:18">
      <c r="A27" s="233" t="s">
        <v>52</v>
      </c>
      <c r="B27" s="33">
        <f>IF(ISERROR(TER_horeca_ele_kWh/1000),0,TER_horeca_ele_kWh/1000)</f>
        <v>589.5373201799689</v>
      </c>
      <c r="C27" s="39">
        <f>IF(ISERROR(B27*3.6/1000000/'E Balans VL '!Z9*100),0,B27*3.6/1000000/'E Balans VL '!Z9*100)</f>
        <v>4.5840116972430761E-2</v>
      </c>
      <c r="D27" s="239" t="s">
        <v>689</v>
      </c>
      <c r="F27" s="6"/>
    </row>
    <row r="28" spans="1:18">
      <c r="A28" s="173" t="s">
        <v>51</v>
      </c>
      <c r="B28" s="33">
        <f>IF(ISERROR(TER_handel_ele_kWh/1000),0,TER_handel_ele_kWh/1000)</f>
        <v>735.02077781260505</v>
      </c>
      <c r="C28" s="39">
        <f>IF(ISERROR(B28*3.6/1000000/'E Balans VL '!Z13*100),0,B28*3.6/1000000/'E Balans VL '!Z13*100)</f>
        <v>2.1029809486140479E-2</v>
      </c>
      <c r="D28" s="239" t="s">
        <v>689</v>
      </c>
      <c r="F28" s="6"/>
    </row>
    <row r="29" spans="1:18">
      <c r="A29" s="233" t="s">
        <v>50</v>
      </c>
      <c r="B29" s="33">
        <f>IF(ISERROR(TER_gezond_ele_kWh/1000),0,TER_gezond_ele_kWh/1000)</f>
        <v>115.384233600442</v>
      </c>
      <c r="C29" s="39">
        <f>IF(ISERROR(B29*3.6/1000000/'E Balans VL '!Z10*100),0,B29*3.6/1000000/'E Balans VL '!Z10*100)</f>
        <v>1.2579562670474879E-2</v>
      </c>
      <c r="D29" s="239" t="s">
        <v>689</v>
      </c>
      <c r="F29" s="6"/>
    </row>
    <row r="30" spans="1:18">
      <c r="A30" s="233" t="s">
        <v>49</v>
      </c>
      <c r="B30" s="33">
        <f>IF(ISERROR(TER_ander_ele_kWh/1000),0,TER_ander_ele_kWh/1000)</f>
        <v>682.06711288569602</v>
      </c>
      <c r="C30" s="39">
        <f>IF(ISERROR(B30*3.6/1000000/'E Balans VL '!Z14*100),0,B30*3.6/1000000/'E Balans VL '!Z14*100)</f>
        <v>4.9912124088407492E-2</v>
      </c>
      <c r="D30" s="239" t="s">
        <v>689</v>
      </c>
      <c r="F30" s="6"/>
    </row>
    <row r="31" spans="1:18">
      <c r="A31" s="233" t="s">
        <v>54</v>
      </c>
      <c r="B31" s="33">
        <f>IF(ISERROR(TER_onderwijs_ele_kWh/1000),0,TER_onderwijs_ele_kWh/1000)</f>
        <v>92.910867354199411</v>
      </c>
      <c r="C31" s="39">
        <f>IF(ISERROR(B31*3.6/1000000/'E Balans VL '!Z11*100),0,B31*3.6/1000000/'E Balans VL '!Z11*100)</f>
        <v>1.8661216701798551E-2</v>
      </c>
      <c r="D31" s="239" t="s">
        <v>689</v>
      </c>
    </row>
    <row r="32" spans="1:18">
      <c r="A32" s="233" t="s">
        <v>259</v>
      </c>
      <c r="B32" s="33">
        <f>IF(ISERROR(TER_rest_ele_kWh/1000),0,TER_rest_ele_kWh/1000)</f>
        <v>2319.7437150553601</v>
      </c>
      <c r="C32" s="39">
        <f>IF(ISERROR(B32*3.6/1000000/'E Balans VL '!Z8*100),0,B32*3.6/1000000/'E Balans VL '!Z8*100)</f>
        <v>1.8904503496768733E-2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1584.0549695174204</v>
      </c>
      <c r="C5" s="17">
        <f>IF(ISERROR('Eigen informatie GS &amp; warmtenet'!B59),0,'Eigen informatie GS &amp; warmtenet'!B59)</f>
        <v>0</v>
      </c>
      <c r="D5" s="30">
        <f>SUM(D6:D15)</f>
        <v>1409.6484598360439</v>
      </c>
      <c r="E5" s="17">
        <f>SUM(E6:E15)</f>
        <v>187.89642203798999</v>
      </c>
      <c r="F5" s="17">
        <f>SUM(F6:F15)</f>
        <v>862.04874606673297</v>
      </c>
      <c r="G5" s="18"/>
      <c r="H5" s="17"/>
      <c r="I5" s="17"/>
      <c r="J5" s="17">
        <f>SUM(J6:J15)</f>
        <v>2.3083688783240186</v>
      </c>
      <c r="K5" s="17"/>
      <c r="L5" s="17"/>
      <c r="M5" s="17"/>
      <c r="N5" s="17">
        <f>SUM(N6:N15)</f>
        <v>149.38175323985195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8.9370682728226001</v>
      </c>
      <c r="C8" s="33"/>
      <c r="D8" s="37">
        <f>IF( ISERROR(IND_metaal_Gas_kWH/1000),0,IND_metaal_Gas_kWH/1000)*0.902</f>
        <v>62.449579402042225</v>
      </c>
      <c r="E8" s="33">
        <f>C30*'E Balans VL '!I18/100/3.6*1000000</f>
        <v>0.25670614643443063</v>
      </c>
      <c r="F8" s="33">
        <f>C30*'E Balans VL '!L18/100/3.6*1000000+C30*'E Balans VL '!N18/100/3.6*1000000</f>
        <v>2.2921861274543649</v>
      </c>
      <c r="G8" s="34"/>
      <c r="H8" s="33"/>
      <c r="I8" s="33"/>
      <c r="J8" s="40">
        <f>C30*'E Balans VL '!D18/100/3.6*1000000+C30*'E Balans VL '!E18/100/3.6*1000000</f>
        <v>0</v>
      </c>
      <c r="K8" s="33"/>
      <c r="L8" s="33"/>
      <c r="M8" s="33"/>
      <c r="N8" s="33">
        <f>C30*'E Balans VL '!Y18/100/3.6*1000000</f>
        <v>0.2426596467481251</v>
      </c>
      <c r="O8" s="33"/>
      <c r="P8" s="33"/>
      <c r="R8" s="32"/>
    </row>
    <row r="9" spans="1:18">
      <c r="A9" s="6" t="s">
        <v>32</v>
      </c>
      <c r="B9" s="37">
        <f t="shared" si="0"/>
        <v>435.45604933063299</v>
      </c>
      <c r="C9" s="33"/>
      <c r="D9" s="37">
        <f>IF( ISERROR(IND_andere_gas_kWh/1000),0,IND_andere_gas_kWh/1000)*0.902</f>
        <v>493.55524556400781</v>
      </c>
      <c r="E9" s="33">
        <f>C31*'E Balans VL '!I19/100/3.6*1000000</f>
        <v>117.86724597830509</v>
      </c>
      <c r="F9" s="33">
        <f>C31*'E Balans VL '!L19/100/3.6*1000000+C31*'E Balans VL '!N19/100/3.6*1000000</f>
        <v>290.05980973006638</v>
      </c>
      <c r="G9" s="34"/>
      <c r="H9" s="33"/>
      <c r="I9" s="33"/>
      <c r="J9" s="40">
        <f>C31*'E Balans VL '!D19/100/3.6*1000000+C31*'E Balans VL '!E19/100/3.6*1000000</f>
        <v>0</v>
      </c>
      <c r="K9" s="33"/>
      <c r="L9" s="33"/>
      <c r="M9" s="33"/>
      <c r="N9" s="33">
        <f>C31*'E Balans VL '!Y19/100/3.6*1000000</f>
        <v>36.814924403977784</v>
      </c>
      <c r="O9" s="33"/>
      <c r="P9" s="33"/>
      <c r="R9" s="32"/>
    </row>
    <row r="10" spans="1:18">
      <c r="A10" s="6" t="s">
        <v>40</v>
      </c>
      <c r="B10" s="37">
        <f t="shared" si="0"/>
        <v>240.27293271796501</v>
      </c>
      <c r="C10" s="33"/>
      <c r="D10" s="37">
        <f>IF( ISERROR(IND_voed_gas_kWh/1000),0,IND_voed_gas_kWh/1000)*0.902</f>
        <v>258.98308103818567</v>
      </c>
      <c r="E10" s="33">
        <f>C32*'E Balans VL '!I20/100/3.6*1000000</f>
        <v>19.597212405176027</v>
      </c>
      <c r="F10" s="33">
        <f>C32*'E Balans VL '!L20/100/3.6*1000000+C32*'E Balans VL '!N20/100/3.6*1000000</f>
        <v>358.2687421530398</v>
      </c>
      <c r="G10" s="34"/>
      <c r="H10" s="33"/>
      <c r="I10" s="33"/>
      <c r="J10" s="40">
        <f>C32*'E Balans VL '!D20/100/3.6*1000000+C32*'E Balans VL '!E20/100/3.6*1000000</f>
        <v>3.1785192476436806E-3</v>
      </c>
      <c r="K10" s="33"/>
      <c r="L10" s="33"/>
      <c r="M10" s="33"/>
      <c r="N10" s="33">
        <f>C32*'E Balans VL '!Y20/100/3.6*1000000</f>
        <v>70.583709314941345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899.38891919599996</v>
      </c>
      <c r="C15" s="33"/>
      <c r="D15" s="37">
        <f>IF( ISERROR(IND_rest_gas_kWh/1000),0,IND_rest_gas_kWh/1000)*0.902</f>
        <v>594.66055383180833</v>
      </c>
      <c r="E15" s="33">
        <f>C37*'E Balans VL '!I15/100/3.6*1000000</f>
        <v>50.175257508074459</v>
      </c>
      <c r="F15" s="33">
        <f>C37*'E Balans VL '!L15/100/3.6*1000000+C37*'E Balans VL '!N15/100/3.6*1000000</f>
        <v>211.42800805617244</v>
      </c>
      <c r="G15" s="34"/>
      <c r="H15" s="33"/>
      <c r="I15" s="33"/>
      <c r="J15" s="40">
        <f>C37*'E Balans VL '!D15/100/3.6*1000000+C37*'E Balans VL '!E15/100/3.6*1000000</f>
        <v>2.3051903590763749</v>
      </c>
      <c r="K15" s="33"/>
      <c r="L15" s="33"/>
      <c r="M15" s="33"/>
      <c r="N15" s="33">
        <f>C37*'E Balans VL '!Y15/100/3.6*1000000</f>
        <v>41.740459874184701</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1584.0549695174204</v>
      </c>
      <c r="C18" s="21">
        <f>C5+C16</f>
        <v>0</v>
      </c>
      <c r="D18" s="21">
        <f>MAX((D5+D16),0)</f>
        <v>1409.6484598360439</v>
      </c>
      <c r="E18" s="21">
        <f>MAX((E5+E16),0)</f>
        <v>187.89642203798999</v>
      </c>
      <c r="F18" s="21">
        <f>MAX((F5+F16),0)</f>
        <v>862.04874606673297</v>
      </c>
      <c r="G18" s="21"/>
      <c r="H18" s="21"/>
      <c r="I18" s="21"/>
      <c r="J18" s="21">
        <f>MAX((J5+J16),0)</f>
        <v>2.3083688783240186</v>
      </c>
      <c r="K18" s="21"/>
      <c r="L18" s="21">
        <f>MAX((L5+L16),0)</f>
        <v>0</v>
      </c>
      <c r="M18" s="21"/>
      <c r="N18" s="21">
        <f>MAX((N5+N16),0)</f>
        <v>149.38175323985195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0.20502314576064146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324.76793290823855</v>
      </c>
      <c r="C22" s="23">
        <f ca="1">C18*C20</f>
        <v>0</v>
      </c>
      <c r="D22" s="23">
        <f>D18*D20</f>
        <v>284.74898888688091</v>
      </c>
      <c r="E22" s="23">
        <f>E18*E20</f>
        <v>42.652487802623732</v>
      </c>
      <c r="F22" s="23">
        <f>F18*F20</f>
        <v>230.16701519981771</v>
      </c>
      <c r="G22" s="23"/>
      <c r="H22" s="23"/>
      <c r="I22" s="23"/>
      <c r="J22" s="23">
        <f>J18*J20</f>
        <v>0.81716258292670252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8.9370682728226001</v>
      </c>
      <c r="C30" s="39">
        <f>IF(ISERROR(B30*3.6/1000000/'E Balans VL '!Z18*100),0,B30*3.6/1000000/'E Balans VL '!Z18*100)</f>
        <v>8.7938470414069593E-4</v>
      </c>
      <c r="D30" s="239" t="s">
        <v>689</v>
      </c>
    </row>
    <row r="31" spans="1:18">
      <c r="A31" s="6" t="s">
        <v>32</v>
      </c>
      <c r="B31" s="37">
        <f>IF( ISERROR(IND_ander_ele_kWh/1000),0,IND_ander_ele_kWh/1000)</f>
        <v>435.45604933063299</v>
      </c>
      <c r="C31" s="39">
        <f>IF(ISERROR(B31*3.6/1000000/'E Balans VL '!Z19*100),0,B31*3.6/1000000/'E Balans VL '!Z19*100)</f>
        <v>1.8963763588480235E-2</v>
      </c>
      <c r="D31" s="239" t="s">
        <v>689</v>
      </c>
    </row>
    <row r="32" spans="1:18">
      <c r="A32" s="173" t="s">
        <v>40</v>
      </c>
      <c r="B32" s="37">
        <f>IF( ISERROR(IND_voed_ele_kWh/1000),0,IND_voed_ele_kWh/1000)</f>
        <v>240.27293271796501</v>
      </c>
      <c r="C32" s="39">
        <f>IF(ISERROR(B32*3.6/1000000/'E Balans VL '!Z20*100),0,B32*3.6/1000000/'E Balans VL '!Z20*100)</f>
        <v>4.5588323870584854E-2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899.38891919599996</v>
      </c>
      <c r="C37" s="39">
        <f>IF(ISERROR(B37*3.6/1000000/'E Balans VL '!Z15*100),0,B37*3.6/1000000/'E Balans VL '!Z15*100)</f>
        <v>6.9308962997034779E-3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401.83395071078161</v>
      </c>
      <c r="C5" s="17">
        <f>'Eigen informatie GS &amp; warmtenet'!B60</f>
        <v>0</v>
      </c>
      <c r="D5" s="30">
        <f>IF(ISERROR(SUM(LB_lb_gas_kWh,LB_rest_gas_kWh)/1000),0,SUM(LB_lb_gas_kWh,LB_rest_gas_kWh)/1000)*0.902</f>
        <v>20742.561656027065</v>
      </c>
      <c r="E5" s="17">
        <f>B17*'E Balans VL '!I25/3.6*1000000/100</f>
        <v>5.0636254463367942</v>
      </c>
      <c r="F5" s="17">
        <f>B17*('E Balans VL '!L25/3.6*1000000+'E Balans VL '!N25/3.6*1000000)/100</f>
        <v>1386.4277953718549</v>
      </c>
      <c r="G5" s="18"/>
      <c r="H5" s="17"/>
      <c r="I5" s="17"/>
      <c r="J5" s="17">
        <f>('E Balans VL '!D25+'E Balans VL '!E25)/3.6*1000000*landbouw!B17/100</f>
        <v>60.431258299765616</v>
      </c>
      <c r="K5" s="17"/>
      <c r="L5" s="17">
        <f>L6*(-1)</f>
        <v>0</v>
      </c>
      <c r="M5" s="17"/>
      <c r="N5" s="17">
        <f>N6*(-1)</f>
        <v>0</v>
      </c>
      <c r="O5" s="17"/>
      <c r="P5" s="17"/>
      <c r="R5" s="32"/>
    </row>
    <row r="6" spans="1:18">
      <c r="A6" s="16" t="s">
        <v>496</v>
      </c>
      <c r="B6" s="17" t="s">
        <v>210</v>
      </c>
      <c r="C6" s="17">
        <f>'lokale energieproductie'!O39+'lokale energieproductie'!O32</f>
        <v>9848.5714285714294</v>
      </c>
      <c r="D6" s="310">
        <f>('lokale energieproductie'!P32+'lokale energieproductie'!P39)*(-1)</f>
        <v>-19697.142857142859</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401.83395071078161</v>
      </c>
      <c r="C8" s="21">
        <f>C5+C6</f>
        <v>9848.5714285714294</v>
      </c>
      <c r="D8" s="21">
        <f>MAX((D5+D6),0)</f>
        <v>1045.4187988842059</v>
      </c>
      <c r="E8" s="21">
        <f>MAX((E5+E6),0)</f>
        <v>5.0636254463367942</v>
      </c>
      <c r="F8" s="21">
        <f>MAX((F5+F6),0)</f>
        <v>1386.4277953718549</v>
      </c>
      <c r="G8" s="21"/>
      <c r="H8" s="21"/>
      <c r="I8" s="21"/>
      <c r="J8" s="21">
        <f>MAX((J5+J6),0)</f>
        <v>60.431258299765616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0.20502314576064146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82.385260648150989</v>
      </c>
      <c r="C12" s="23">
        <f ca="1">C8*C10</f>
        <v>2340.4840336134462</v>
      </c>
      <c r="D12" s="23">
        <f>D8*D10</f>
        <v>211.17459737460962</v>
      </c>
      <c r="E12" s="23">
        <f>E8*E10</f>
        <v>1.1494429763184524</v>
      </c>
      <c r="F12" s="23">
        <f>F8*F10</f>
        <v>370.17622136428531</v>
      </c>
      <c r="G12" s="23"/>
      <c r="H12" s="23"/>
      <c r="I12" s="23"/>
      <c r="J12" s="23">
        <f>J8*J10</f>
        <v>21.392665438117028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5.6043171053188137E-2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78.661928089012662</v>
      </c>
      <c r="C26" s="249">
        <f>B26*'GWP N2O_CH4'!B5</f>
        <v>1651.9004898692658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26.982283149853174</v>
      </c>
      <c r="C27" s="249">
        <f>B27*'GWP N2O_CH4'!B5</f>
        <v>566.62794614691666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0.9254957986951875</v>
      </c>
      <c r="C28" s="249">
        <f>B28*'GWP N2O_CH4'!B4</f>
        <v>286.90369759550811</v>
      </c>
      <c r="D28" s="50"/>
    </row>
    <row r="29" spans="1:4">
      <c r="A29" s="41" t="s">
        <v>276</v>
      </c>
      <c r="B29" s="249">
        <f>B34*'ha_N2O bodem landbouw'!B4</f>
        <v>4.6819065863632918</v>
      </c>
      <c r="C29" s="249">
        <f>B29*'GWP N2O_CH4'!B4</f>
        <v>1451.3910417726204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1.1690252916985819E-3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9.7192726308523009E-6</v>
      </c>
      <c r="C5" s="444" t="s">
        <v>210</v>
      </c>
      <c r="D5" s="429">
        <f>SUM(D6:D11)</f>
        <v>1.6776727515164238E-5</v>
      </c>
      <c r="E5" s="429">
        <f>SUM(E6:E11)</f>
        <v>5.8961635337467788E-4</v>
      </c>
      <c r="F5" s="442" t="s">
        <v>210</v>
      </c>
      <c r="G5" s="429">
        <f>SUM(G6:G11)</f>
        <v>0.14756532179353909</v>
      </c>
      <c r="H5" s="429">
        <f>SUM(H6:H11)</f>
        <v>3.0477931579528831E-2</v>
      </c>
      <c r="I5" s="444" t="s">
        <v>210</v>
      </c>
      <c r="J5" s="444" t="s">
        <v>210</v>
      </c>
      <c r="K5" s="444" t="s">
        <v>210</v>
      </c>
      <c r="L5" s="444" t="s">
        <v>210</v>
      </c>
      <c r="M5" s="429">
        <f>SUM(M6:M11)</f>
        <v>8.0520646790307251E-3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7.4219611505210499E-6</v>
      </c>
      <c r="C6" s="883"/>
      <c r="D6" s="883">
        <f>vkm_GW_PW*SUMIFS(TableVerdeelsleutelVkm[CNG],TableVerdeelsleutelVkm[Voertuigtype],"Lichte voertuigen")*SUMIFS(TableECFTransport[EnergieConsumptieFactor (PJ per km)],TableECFTransport[Index],CONCATENATE($A6,"_CNG_CNG"))</f>
        <v>1.0999125357328739E-5</v>
      </c>
      <c r="E6" s="883">
        <f>vkm_GW_PW*SUMIFS(TableVerdeelsleutelVkm[LPG],TableVerdeelsleutelVkm[Voertuigtype],"Lichte voertuigen")*SUMIFS(TableECFTransport[EnergieConsumptieFactor (PJ per km)],TableECFTransport[Index],CONCATENATE($A6,"_LPG_LPG"))</f>
        <v>3.9394847907807623E-4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7.92833165209922E-2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2.0254056437842796E-2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4.5030157484219407E-3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2.9400240633065247E-2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6.8309534127723813E-7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1.3274667545585021E-3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2.2973114803312502E-6</v>
      </c>
      <c r="C8" s="883"/>
      <c r="D8" s="432">
        <f>vkm_NGW_PW*SUMIFS(TableVerdeelsleutelVkm[CNG],TableVerdeelsleutelVkm[Voertuigtype],"Lichte voertuigen")*SUMIFS(TableECFTransport[EnergieConsumptieFactor (PJ per km)],TableECFTransport[Index],CONCATENATE($A8,"_CNG_CNG"))</f>
        <v>5.7776021578354985E-6</v>
      </c>
      <c r="E8" s="432">
        <f>vkm_NGW_PW*SUMIFS(TableVerdeelsleutelVkm[LPG],TableVerdeelsleutelVkm[Voertuigtype],"Lichte voertuigen")*SUMIFS(TableECFTransport[EnergieConsumptieFactor (PJ per km)],TableECFTransport[Index],CONCATENATE($A8,"_LPG_LPG"))</f>
        <v>1.9566787429660162E-4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3.7406622918280716E-2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1.0223152319718124E-2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2.1549769762580378E-3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1.4751417212009413E-3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3.9726626631533686E-8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6.6605199792243679E-5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2.6997979530145284</v>
      </c>
      <c r="C14" s="21"/>
      <c r="D14" s="21">
        <f t="shared" ref="D14:M14" si="0">((D5)*10^9/3600)+D12</f>
        <v>4.6602020875456223</v>
      </c>
      <c r="E14" s="21">
        <f t="shared" si="0"/>
        <v>163.78232038185496</v>
      </c>
      <c r="F14" s="21"/>
      <c r="G14" s="21">
        <f t="shared" si="0"/>
        <v>40990.367164871976</v>
      </c>
      <c r="H14" s="21">
        <f t="shared" si="0"/>
        <v>8466.0921054246755</v>
      </c>
      <c r="I14" s="21"/>
      <c r="J14" s="21"/>
      <c r="K14" s="21"/>
      <c r="L14" s="21"/>
      <c r="M14" s="21">
        <f t="shared" si="0"/>
        <v>2236.6846330640901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0.20502314576064146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0.55352106924517908</v>
      </c>
      <c r="C18" s="23"/>
      <c r="D18" s="23">
        <f t="shared" ref="D18:M18" si="1">D14*D16</f>
        <v>0.94136082168421575</v>
      </c>
      <c r="E18" s="23">
        <f t="shared" si="1"/>
        <v>37.178586726681075</v>
      </c>
      <c r="F18" s="23"/>
      <c r="G18" s="23">
        <f t="shared" si="1"/>
        <v>10944.428033020818</v>
      </c>
      <c r="H18" s="23">
        <f t="shared" si="1"/>
        <v>2108.0569342507442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1.302870543799698E-3</v>
      </c>
      <c r="H50" s="321">
        <f t="shared" si="2"/>
        <v>0</v>
      </c>
      <c r="I50" s="321">
        <f t="shared" si="2"/>
        <v>0</v>
      </c>
      <c r="J50" s="321">
        <f t="shared" si="2"/>
        <v>0</v>
      </c>
      <c r="K50" s="321">
        <f t="shared" si="2"/>
        <v>0</v>
      </c>
      <c r="L50" s="321">
        <f t="shared" si="2"/>
        <v>0</v>
      </c>
      <c r="M50" s="321">
        <f t="shared" si="2"/>
        <v>5.7991845759142246E-5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1.302870543799698E-3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5.7991845759142246E-5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361.90848438880505</v>
      </c>
      <c r="H54" s="21">
        <f t="shared" si="3"/>
        <v>0</v>
      </c>
      <c r="I54" s="21">
        <f t="shared" si="3"/>
        <v>0</v>
      </c>
      <c r="J54" s="21">
        <f t="shared" si="3"/>
        <v>0</v>
      </c>
      <c r="K54" s="21">
        <f t="shared" si="3"/>
        <v>0</v>
      </c>
      <c r="L54" s="21">
        <f t="shared" si="3"/>
        <v>0</v>
      </c>
      <c r="M54" s="21">
        <f t="shared" si="3"/>
        <v>16.108846044206182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0.20502314576064146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96.629565331810952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5983.0938652852174</v>
      </c>
      <c r="D10" s="686">
        <f ca="1">tertiair!C16</f>
        <v>0</v>
      </c>
      <c r="E10" s="686">
        <f ca="1">tertiair!D16</f>
        <v>9027.2250789721802</v>
      </c>
      <c r="F10" s="686">
        <f>tertiair!E16</f>
        <v>78.762167605539105</v>
      </c>
      <c r="G10" s="686">
        <f ca="1">tertiair!F16</f>
        <v>1148.669627539984</v>
      </c>
      <c r="H10" s="686">
        <f>tertiair!G16</f>
        <v>0</v>
      </c>
      <c r="I10" s="686">
        <f>tertiair!H16</f>
        <v>0</v>
      </c>
      <c r="J10" s="686">
        <f>tertiair!I16</f>
        <v>0</v>
      </c>
      <c r="K10" s="686">
        <f>tertiair!J16</f>
        <v>0</v>
      </c>
      <c r="L10" s="686">
        <f>tertiair!K16</f>
        <v>0</v>
      </c>
      <c r="M10" s="686">
        <f ca="1">tertiair!L16</f>
        <v>0</v>
      </c>
      <c r="N10" s="686">
        <f>tertiair!M16</f>
        <v>0</v>
      </c>
      <c r="O10" s="686">
        <f ca="1">tertiair!N16</f>
        <v>662.95136671388957</v>
      </c>
      <c r="P10" s="686">
        <f>tertiair!O16</f>
        <v>0</v>
      </c>
      <c r="Q10" s="687">
        <f>tertiair!P16</f>
        <v>0</v>
      </c>
      <c r="R10" s="689">
        <f ca="1">SUM(C10:Q10)</f>
        <v>16900.702106116809</v>
      </c>
      <c r="S10" s="67"/>
    </row>
    <row r="11" spans="1:19" s="454" customFormat="1">
      <c r="A11" s="801" t="s">
        <v>224</v>
      </c>
      <c r="B11" s="806"/>
      <c r="C11" s="686">
        <f>huishoudens!B8</f>
        <v>13985.205811505148</v>
      </c>
      <c r="D11" s="686">
        <f>huishoudens!C8</f>
        <v>0</v>
      </c>
      <c r="E11" s="686">
        <f>huishoudens!D8</f>
        <v>41056.232912648033</v>
      </c>
      <c r="F11" s="686">
        <f>huishoudens!E8</f>
        <v>723.88894854096759</v>
      </c>
      <c r="G11" s="686">
        <f>huishoudens!F8</f>
        <v>4153.8438070473476</v>
      </c>
      <c r="H11" s="686">
        <f>huishoudens!G8</f>
        <v>0</v>
      </c>
      <c r="I11" s="686">
        <f>huishoudens!H8</f>
        <v>0</v>
      </c>
      <c r="J11" s="686">
        <f>huishoudens!I8</f>
        <v>0</v>
      </c>
      <c r="K11" s="686">
        <f>huishoudens!J8</f>
        <v>0</v>
      </c>
      <c r="L11" s="686">
        <f>huishoudens!K8</f>
        <v>0</v>
      </c>
      <c r="M11" s="686">
        <f>huishoudens!L8</f>
        <v>0</v>
      </c>
      <c r="N11" s="686">
        <f>huishoudens!M8</f>
        <v>0</v>
      </c>
      <c r="O11" s="686">
        <f>huishoudens!N8</f>
        <v>8767.7916772387398</v>
      </c>
      <c r="P11" s="686">
        <f>huishoudens!O8</f>
        <v>73.476666666666674</v>
      </c>
      <c r="Q11" s="687">
        <f>huishoudens!P8</f>
        <v>133.46666666666667</v>
      </c>
      <c r="R11" s="689">
        <f>SUM(C11:Q11)</f>
        <v>68893.906490313559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1584.0549695174204</v>
      </c>
      <c r="D13" s="686">
        <f>industrie!C18</f>
        <v>0</v>
      </c>
      <c r="E13" s="686">
        <f>industrie!D18</f>
        <v>1409.6484598360439</v>
      </c>
      <c r="F13" s="686">
        <f>industrie!E18</f>
        <v>187.89642203798999</v>
      </c>
      <c r="G13" s="686">
        <f>industrie!F18</f>
        <v>862.04874606673297</v>
      </c>
      <c r="H13" s="686">
        <f>industrie!G18</f>
        <v>0</v>
      </c>
      <c r="I13" s="686">
        <f>industrie!H18</f>
        <v>0</v>
      </c>
      <c r="J13" s="686">
        <f>industrie!I18</f>
        <v>0</v>
      </c>
      <c r="K13" s="686">
        <f>industrie!J18</f>
        <v>2.3083688783240186</v>
      </c>
      <c r="L13" s="686">
        <f>industrie!K18</f>
        <v>0</v>
      </c>
      <c r="M13" s="686">
        <f>industrie!L18</f>
        <v>0</v>
      </c>
      <c r="N13" s="686">
        <f>industrie!M18</f>
        <v>0</v>
      </c>
      <c r="O13" s="686">
        <f>industrie!N18</f>
        <v>149.38175323985195</v>
      </c>
      <c r="P13" s="686">
        <f>industrie!O18</f>
        <v>0</v>
      </c>
      <c r="Q13" s="687">
        <f>industrie!P18</f>
        <v>0</v>
      </c>
      <c r="R13" s="689">
        <f>SUM(C13:Q13)</f>
        <v>4195.3387195763635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21552.354646307784</v>
      </c>
      <c r="D16" s="721">
        <f t="shared" ref="D16:R16" ca="1" si="0">SUM(D9:D15)</f>
        <v>0</v>
      </c>
      <c r="E16" s="721">
        <f t="shared" ca="1" si="0"/>
        <v>51493.10645145626</v>
      </c>
      <c r="F16" s="721">
        <f t="shared" si="0"/>
        <v>990.5475381844966</v>
      </c>
      <c r="G16" s="721">
        <f t="shared" ca="1" si="0"/>
        <v>6164.5621806540648</v>
      </c>
      <c r="H16" s="721">
        <f t="shared" si="0"/>
        <v>0</v>
      </c>
      <c r="I16" s="721">
        <f t="shared" si="0"/>
        <v>0</v>
      </c>
      <c r="J16" s="721">
        <f t="shared" si="0"/>
        <v>0</v>
      </c>
      <c r="K16" s="721">
        <f t="shared" si="0"/>
        <v>2.3083688783240186</v>
      </c>
      <c r="L16" s="721">
        <f t="shared" si="0"/>
        <v>0</v>
      </c>
      <c r="M16" s="721">
        <f t="shared" ca="1" si="0"/>
        <v>0</v>
      </c>
      <c r="N16" s="721">
        <f t="shared" si="0"/>
        <v>0</v>
      </c>
      <c r="O16" s="721">
        <f t="shared" ca="1" si="0"/>
        <v>9580.1247971924804</v>
      </c>
      <c r="P16" s="721">
        <f t="shared" si="0"/>
        <v>73.476666666666674</v>
      </c>
      <c r="Q16" s="721">
        <f t="shared" si="0"/>
        <v>133.46666666666667</v>
      </c>
      <c r="R16" s="721">
        <f t="shared" ca="1" si="0"/>
        <v>89989.947316006728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361.90848438880505</v>
      </c>
      <c r="I19" s="686">
        <f>transport!H54</f>
        <v>0</v>
      </c>
      <c r="J19" s="686">
        <f>transport!I54</f>
        <v>0</v>
      </c>
      <c r="K19" s="686">
        <f>transport!J54</f>
        <v>0</v>
      </c>
      <c r="L19" s="686">
        <f>transport!K54</f>
        <v>0</v>
      </c>
      <c r="M19" s="686">
        <f>transport!L54</f>
        <v>0</v>
      </c>
      <c r="N19" s="686">
        <f>transport!M54</f>
        <v>16.108846044206182</v>
      </c>
      <c r="O19" s="686">
        <f>transport!N54</f>
        <v>0</v>
      </c>
      <c r="P19" s="686">
        <f>transport!O54</f>
        <v>0</v>
      </c>
      <c r="Q19" s="687">
        <f>transport!P54</f>
        <v>0</v>
      </c>
      <c r="R19" s="689">
        <f>SUM(C19:Q19)</f>
        <v>378.01733043301124</v>
      </c>
      <c r="S19" s="67"/>
    </row>
    <row r="20" spans="1:19" s="454" customFormat="1">
      <c r="A20" s="801" t="s">
        <v>306</v>
      </c>
      <c r="B20" s="806"/>
      <c r="C20" s="686">
        <f>transport!B14</f>
        <v>2.6997979530145284</v>
      </c>
      <c r="D20" s="686">
        <f>transport!C14</f>
        <v>0</v>
      </c>
      <c r="E20" s="686">
        <f>transport!D14</f>
        <v>4.6602020875456223</v>
      </c>
      <c r="F20" s="686">
        <f>transport!E14</f>
        <v>163.78232038185496</v>
      </c>
      <c r="G20" s="686">
        <f>transport!F14</f>
        <v>0</v>
      </c>
      <c r="H20" s="686">
        <f>transport!G14</f>
        <v>40990.367164871976</v>
      </c>
      <c r="I20" s="686">
        <f>transport!H14</f>
        <v>8466.0921054246755</v>
      </c>
      <c r="J20" s="686">
        <f>transport!I14</f>
        <v>0</v>
      </c>
      <c r="K20" s="686">
        <f>transport!J14</f>
        <v>0</v>
      </c>
      <c r="L20" s="686">
        <f>transport!K14</f>
        <v>0</v>
      </c>
      <c r="M20" s="686">
        <f>transport!L14</f>
        <v>0</v>
      </c>
      <c r="N20" s="686">
        <f>transport!M14</f>
        <v>2236.6846330640901</v>
      </c>
      <c r="O20" s="686">
        <f>transport!N14</f>
        <v>0</v>
      </c>
      <c r="P20" s="686">
        <f>transport!O14</f>
        <v>0</v>
      </c>
      <c r="Q20" s="687">
        <f>transport!P14</f>
        <v>0</v>
      </c>
      <c r="R20" s="689">
        <f>SUM(C20:Q20)</f>
        <v>51864.28622378315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2.6997979530145284</v>
      </c>
      <c r="D22" s="804">
        <f t="shared" ref="D22:R22" si="1">SUM(D18:D21)</f>
        <v>0</v>
      </c>
      <c r="E22" s="804">
        <f t="shared" si="1"/>
        <v>4.6602020875456223</v>
      </c>
      <c r="F22" s="804">
        <f t="shared" si="1"/>
        <v>163.78232038185496</v>
      </c>
      <c r="G22" s="804">
        <f t="shared" si="1"/>
        <v>0</v>
      </c>
      <c r="H22" s="804">
        <f t="shared" si="1"/>
        <v>41352.27564926078</v>
      </c>
      <c r="I22" s="804">
        <f t="shared" si="1"/>
        <v>8466.0921054246755</v>
      </c>
      <c r="J22" s="804">
        <f t="shared" si="1"/>
        <v>0</v>
      </c>
      <c r="K22" s="804">
        <f t="shared" si="1"/>
        <v>0</v>
      </c>
      <c r="L22" s="804">
        <f t="shared" si="1"/>
        <v>0</v>
      </c>
      <c r="M22" s="804">
        <f t="shared" si="1"/>
        <v>0</v>
      </c>
      <c r="N22" s="804">
        <f t="shared" si="1"/>
        <v>2252.7934791082962</v>
      </c>
      <c r="O22" s="804">
        <f t="shared" si="1"/>
        <v>0</v>
      </c>
      <c r="P22" s="804">
        <f t="shared" si="1"/>
        <v>0</v>
      </c>
      <c r="Q22" s="804">
        <f t="shared" si="1"/>
        <v>0</v>
      </c>
      <c r="R22" s="804">
        <f t="shared" si="1"/>
        <v>52242.30355421616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401.83395071078161</v>
      </c>
      <c r="D24" s="686">
        <f>+landbouw!C8</f>
        <v>9848.5714285714294</v>
      </c>
      <c r="E24" s="686">
        <f>+landbouw!D8</f>
        <v>1045.4187988842059</v>
      </c>
      <c r="F24" s="686">
        <f>+landbouw!E8</f>
        <v>5.0636254463367942</v>
      </c>
      <c r="G24" s="686">
        <f>+landbouw!F8</f>
        <v>1386.4277953718549</v>
      </c>
      <c r="H24" s="686">
        <f>+landbouw!G8</f>
        <v>0</v>
      </c>
      <c r="I24" s="686">
        <f>+landbouw!H8</f>
        <v>0</v>
      </c>
      <c r="J24" s="686">
        <f>+landbouw!I8</f>
        <v>0</v>
      </c>
      <c r="K24" s="686">
        <f>+landbouw!J8</f>
        <v>60.431258299765616</v>
      </c>
      <c r="L24" s="686">
        <f>+landbouw!K8</f>
        <v>0</v>
      </c>
      <c r="M24" s="686">
        <f>+landbouw!L8</f>
        <v>0</v>
      </c>
      <c r="N24" s="686">
        <f>+landbouw!M8</f>
        <v>0</v>
      </c>
      <c r="O24" s="686">
        <f>+landbouw!N8</f>
        <v>0</v>
      </c>
      <c r="P24" s="686">
        <f>+landbouw!O8</f>
        <v>0</v>
      </c>
      <c r="Q24" s="687">
        <f>+landbouw!P8</f>
        <v>0</v>
      </c>
      <c r="R24" s="689">
        <f>SUM(C24:Q24)</f>
        <v>12747.746857284375</v>
      </c>
      <c r="S24" s="67"/>
    </row>
    <row r="25" spans="1:19" s="454" customFormat="1" ht="15" thickBot="1">
      <c r="A25" s="823" t="s">
        <v>856</v>
      </c>
      <c r="B25" s="991"/>
      <c r="C25" s="992">
        <f>IF(Onbekend_ele_kWh="---",0,Onbekend_ele_kWh)/1000+IF(REST_rest_ele_kWh="---",0,REST_rest_ele_kWh)/1000</f>
        <v>406.08927398538799</v>
      </c>
      <c r="D25" s="992"/>
      <c r="E25" s="992">
        <f>IF(onbekend_gas_kWh="---",0,onbekend_gas_kWh)/1000+IF(REST_rest_gas_kWh="---",0,REST_rest_gas_kWh)/1000</f>
        <v>1500.73561566952</v>
      </c>
      <c r="F25" s="992"/>
      <c r="G25" s="992"/>
      <c r="H25" s="992"/>
      <c r="I25" s="992"/>
      <c r="J25" s="992"/>
      <c r="K25" s="992"/>
      <c r="L25" s="992"/>
      <c r="M25" s="992"/>
      <c r="N25" s="992"/>
      <c r="O25" s="992"/>
      <c r="P25" s="992"/>
      <c r="Q25" s="993"/>
      <c r="R25" s="689">
        <f>SUM(C25:Q25)</f>
        <v>1906.824889654908</v>
      </c>
      <c r="S25" s="67"/>
    </row>
    <row r="26" spans="1:19" s="454" customFormat="1" ht="15.75" thickBot="1">
      <c r="A26" s="694" t="s">
        <v>857</v>
      </c>
      <c r="B26" s="809"/>
      <c r="C26" s="804">
        <f>SUM(C24:C25)</f>
        <v>807.92322469616965</v>
      </c>
      <c r="D26" s="804">
        <f t="shared" ref="D26:R26" si="2">SUM(D24:D25)</f>
        <v>9848.5714285714294</v>
      </c>
      <c r="E26" s="804">
        <f t="shared" si="2"/>
        <v>2546.1544145537259</v>
      </c>
      <c r="F26" s="804">
        <f t="shared" si="2"/>
        <v>5.0636254463367942</v>
      </c>
      <c r="G26" s="804">
        <f t="shared" si="2"/>
        <v>1386.4277953718549</v>
      </c>
      <c r="H26" s="804">
        <f t="shared" si="2"/>
        <v>0</v>
      </c>
      <c r="I26" s="804">
        <f t="shared" si="2"/>
        <v>0</v>
      </c>
      <c r="J26" s="804">
        <f t="shared" si="2"/>
        <v>0</v>
      </c>
      <c r="K26" s="804">
        <f t="shared" si="2"/>
        <v>60.431258299765616</v>
      </c>
      <c r="L26" s="804">
        <f t="shared" si="2"/>
        <v>0</v>
      </c>
      <c r="M26" s="804">
        <f t="shared" si="2"/>
        <v>0</v>
      </c>
      <c r="N26" s="804">
        <f t="shared" si="2"/>
        <v>0</v>
      </c>
      <c r="O26" s="804">
        <f t="shared" si="2"/>
        <v>0</v>
      </c>
      <c r="P26" s="804">
        <f t="shared" si="2"/>
        <v>0</v>
      </c>
      <c r="Q26" s="804">
        <f t="shared" si="2"/>
        <v>0</v>
      </c>
      <c r="R26" s="804">
        <f t="shared" si="2"/>
        <v>14654.571746939284</v>
      </c>
      <c r="S26" s="67"/>
    </row>
    <row r="27" spans="1:19" s="454" customFormat="1" ht="17.25" thickTop="1" thickBot="1">
      <c r="A27" s="695" t="s">
        <v>115</v>
      </c>
      <c r="B27" s="796"/>
      <c r="C27" s="696">
        <f ca="1">C22+C16+C26</f>
        <v>22362.977668956966</v>
      </c>
      <c r="D27" s="696">
        <f t="shared" ref="D27:R27" ca="1" si="3">D22+D16+D26</f>
        <v>9848.5714285714294</v>
      </c>
      <c r="E27" s="696">
        <f t="shared" ca="1" si="3"/>
        <v>54043.92106809753</v>
      </c>
      <c r="F27" s="696">
        <f t="shared" si="3"/>
        <v>1159.3934840126883</v>
      </c>
      <c r="G27" s="696">
        <f t="shared" ca="1" si="3"/>
        <v>7550.9899760259195</v>
      </c>
      <c r="H27" s="696">
        <f t="shared" si="3"/>
        <v>41352.27564926078</v>
      </c>
      <c r="I27" s="696">
        <f t="shared" si="3"/>
        <v>8466.0921054246755</v>
      </c>
      <c r="J27" s="696">
        <f t="shared" si="3"/>
        <v>0</v>
      </c>
      <c r="K27" s="696">
        <f t="shared" si="3"/>
        <v>62.739627178089634</v>
      </c>
      <c r="L27" s="696">
        <f t="shared" si="3"/>
        <v>0</v>
      </c>
      <c r="M27" s="696">
        <f t="shared" ca="1" si="3"/>
        <v>0</v>
      </c>
      <c r="N27" s="696">
        <f t="shared" si="3"/>
        <v>2252.7934791082962</v>
      </c>
      <c r="O27" s="696">
        <f t="shared" ca="1" si="3"/>
        <v>9580.1247971924804</v>
      </c>
      <c r="P27" s="696">
        <f t="shared" si="3"/>
        <v>73.476666666666674</v>
      </c>
      <c r="Q27" s="696">
        <f t="shared" si="3"/>
        <v>133.46666666666667</v>
      </c>
      <c r="R27" s="696">
        <f t="shared" ca="1" si="3"/>
        <v>156886.82261716219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1226.6727256419706</v>
      </c>
      <c r="D40" s="686">
        <f ca="1">tertiair!C20</f>
        <v>0</v>
      </c>
      <c r="E40" s="686">
        <f ca="1">tertiair!D20</f>
        <v>1823.4994659523804</v>
      </c>
      <c r="F40" s="686">
        <f>tertiair!E20</f>
        <v>17.879012046457376</v>
      </c>
      <c r="G40" s="686">
        <f ca="1">tertiair!F20</f>
        <v>306.69479055317578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3374.7459941939837</v>
      </c>
    </row>
    <row r="41" spans="1:18">
      <c r="A41" s="814" t="s">
        <v>224</v>
      </c>
      <c r="B41" s="821"/>
      <c r="C41" s="686">
        <f ca="1">huishoudens!B12</f>
        <v>2867.29088958479</v>
      </c>
      <c r="D41" s="686">
        <f ca="1">huishoudens!C12</f>
        <v>0</v>
      </c>
      <c r="E41" s="686">
        <f>huishoudens!D12</f>
        <v>8293.3590483549033</v>
      </c>
      <c r="F41" s="686">
        <f>huishoudens!E12</f>
        <v>164.32279131879966</v>
      </c>
      <c r="G41" s="686">
        <f>huishoudens!F12</f>
        <v>1109.076296481642</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12434.049025740136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324.76793290823855</v>
      </c>
      <c r="D43" s="686">
        <f ca="1">industrie!C22</f>
        <v>0</v>
      </c>
      <c r="E43" s="686">
        <f>industrie!D22</f>
        <v>284.74898888688091</v>
      </c>
      <c r="F43" s="686">
        <f>industrie!E22</f>
        <v>42.652487802623732</v>
      </c>
      <c r="G43" s="686">
        <f>industrie!F22</f>
        <v>230.16701519981771</v>
      </c>
      <c r="H43" s="686">
        <f>industrie!G22</f>
        <v>0</v>
      </c>
      <c r="I43" s="686">
        <f>industrie!H22</f>
        <v>0</v>
      </c>
      <c r="J43" s="686">
        <f>industrie!I22</f>
        <v>0</v>
      </c>
      <c r="K43" s="686">
        <f>industrie!J22</f>
        <v>0.81716258292670252</v>
      </c>
      <c r="L43" s="686">
        <f>industrie!K22</f>
        <v>0</v>
      </c>
      <c r="M43" s="686">
        <f>industrie!L22</f>
        <v>0</v>
      </c>
      <c r="N43" s="686">
        <f>industrie!M22</f>
        <v>0</v>
      </c>
      <c r="O43" s="686">
        <f>industrie!N22</f>
        <v>0</v>
      </c>
      <c r="P43" s="686">
        <f>industrie!O22</f>
        <v>0</v>
      </c>
      <c r="Q43" s="763">
        <f>industrie!P22</f>
        <v>0</v>
      </c>
      <c r="R43" s="841">
        <f t="shared" ca="1" si="4"/>
        <v>883.15358738048758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4418.7315481349988</v>
      </c>
      <c r="D46" s="721">
        <f t="shared" ref="D46:Q46" ca="1" si="5">SUM(D39:D45)</f>
        <v>0</v>
      </c>
      <c r="E46" s="721">
        <f t="shared" ca="1" si="5"/>
        <v>10401.607503194164</v>
      </c>
      <c r="F46" s="721">
        <f t="shared" si="5"/>
        <v>224.85429116788077</v>
      </c>
      <c r="G46" s="721">
        <f t="shared" ca="1" si="5"/>
        <v>1645.9381022346356</v>
      </c>
      <c r="H46" s="721">
        <f t="shared" si="5"/>
        <v>0</v>
      </c>
      <c r="I46" s="721">
        <f t="shared" si="5"/>
        <v>0</v>
      </c>
      <c r="J46" s="721">
        <f t="shared" si="5"/>
        <v>0</v>
      </c>
      <c r="K46" s="721">
        <f t="shared" si="5"/>
        <v>0.81716258292670252</v>
      </c>
      <c r="L46" s="721">
        <f t="shared" si="5"/>
        <v>0</v>
      </c>
      <c r="M46" s="721">
        <f t="shared" ca="1" si="5"/>
        <v>0</v>
      </c>
      <c r="N46" s="721">
        <f t="shared" si="5"/>
        <v>0</v>
      </c>
      <c r="O46" s="721">
        <f t="shared" ca="1" si="5"/>
        <v>0</v>
      </c>
      <c r="P46" s="721">
        <f t="shared" si="5"/>
        <v>0</v>
      </c>
      <c r="Q46" s="721">
        <f t="shared" si="5"/>
        <v>0</v>
      </c>
      <c r="R46" s="721">
        <f ca="1">SUM(R39:R45)</f>
        <v>16691.948607314607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96.629565331810952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96.629565331810952</v>
      </c>
    </row>
    <row r="50" spans="1:18">
      <c r="A50" s="817" t="s">
        <v>306</v>
      </c>
      <c r="B50" s="827"/>
      <c r="C50" s="692">
        <f ca="1">transport!B18</f>
        <v>0.55352106924517908</v>
      </c>
      <c r="D50" s="692">
        <f>transport!C18</f>
        <v>0</v>
      </c>
      <c r="E50" s="692">
        <f>transport!D18</f>
        <v>0.94136082168421575</v>
      </c>
      <c r="F50" s="692">
        <f>transport!E18</f>
        <v>37.178586726681075</v>
      </c>
      <c r="G50" s="692">
        <f>transport!F18</f>
        <v>0</v>
      </c>
      <c r="H50" s="692">
        <f>transport!G18</f>
        <v>10944.428033020818</v>
      </c>
      <c r="I50" s="692">
        <f>transport!H18</f>
        <v>2108.0569342507442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13091.158435889172</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0.55352106924517908</v>
      </c>
      <c r="D52" s="721">
        <f t="shared" ref="D52:Q52" ca="1" si="6">SUM(D48:D51)</f>
        <v>0</v>
      </c>
      <c r="E52" s="721">
        <f t="shared" si="6"/>
        <v>0.94136082168421575</v>
      </c>
      <c r="F52" s="721">
        <f t="shared" si="6"/>
        <v>37.178586726681075</v>
      </c>
      <c r="G52" s="721">
        <f t="shared" si="6"/>
        <v>0</v>
      </c>
      <c r="H52" s="721">
        <f t="shared" si="6"/>
        <v>11041.057598352629</v>
      </c>
      <c r="I52" s="721">
        <f t="shared" si="6"/>
        <v>2108.0569342507442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13187.788001220983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82.385260648150989</v>
      </c>
      <c r="D54" s="692">
        <f ca="1">+landbouw!C12</f>
        <v>2340.4840336134462</v>
      </c>
      <c r="E54" s="692">
        <f>+landbouw!D12</f>
        <v>211.17459737460962</v>
      </c>
      <c r="F54" s="692">
        <f>+landbouw!E12</f>
        <v>1.1494429763184524</v>
      </c>
      <c r="G54" s="692">
        <f>+landbouw!F12</f>
        <v>370.17622136428531</v>
      </c>
      <c r="H54" s="692">
        <f>+landbouw!G12</f>
        <v>0</v>
      </c>
      <c r="I54" s="692">
        <f>+landbouw!H12</f>
        <v>0</v>
      </c>
      <c r="J54" s="692">
        <f>+landbouw!I12</f>
        <v>0</v>
      </c>
      <c r="K54" s="692">
        <f>+landbouw!J12</f>
        <v>21.392665438117028</v>
      </c>
      <c r="L54" s="692">
        <f>+landbouw!K12</f>
        <v>0</v>
      </c>
      <c r="M54" s="692">
        <f>+landbouw!L12</f>
        <v>0</v>
      </c>
      <c r="N54" s="692">
        <f>+landbouw!M12</f>
        <v>0</v>
      </c>
      <c r="O54" s="692">
        <f>+landbouw!N12</f>
        <v>0</v>
      </c>
      <c r="P54" s="692">
        <f>+landbouw!O12</f>
        <v>0</v>
      </c>
      <c r="Q54" s="693">
        <f>+landbouw!P12</f>
        <v>0</v>
      </c>
      <c r="R54" s="720">
        <f ca="1">SUM(C54:Q54)</f>
        <v>3026.7622214149274</v>
      </c>
    </row>
    <row r="55" spans="1:18" ht="15" thickBot="1">
      <c r="A55" s="817" t="s">
        <v>856</v>
      </c>
      <c r="B55" s="827"/>
      <c r="C55" s="692">
        <f ca="1">C25*'EF ele_warmte'!B12</f>
        <v>83.257700412139272</v>
      </c>
      <c r="D55" s="692"/>
      <c r="E55" s="692">
        <f>E25*EF_CO2_aardgas</f>
        <v>303.14859436524307</v>
      </c>
      <c r="F55" s="692"/>
      <c r="G55" s="692"/>
      <c r="H55" s="692"/>
      <c r="I55" s="692"/>
      <c r="J55" s="692"/>
      <c r="K55" s="692"/>
      <c r="L55" s="692"/>
      <c r="M55" s="692"/>
      <c r="N55" s="692"/>
      <c r="O55" s="692"/>
      <c r="P55" s="692"/>
      <c r="Q55" s="693"/>
      <c r="R55" s="720">
        <f ca="1">SUM(C55:Q55)</f>
        <v>386.40629477738236</v>
      </c>
    </row>
    <row r="56" spans="1:18" ht="15.75" thickBot="1">
      <c r="A56" s="815" t="s">
        <v>857</v>
      </c>
      <c r="B56" s="828"/>
      <c r="C56" s="721">
        <f ca="1">SUM(C54:C55)</f>
        <v>165.64296106029025</v>
      </c>
      <c r="D56" s="721">
        <f t="shared" ref="D56:Q56" ca="1" si="7">SUM(D54:D55)</f>
        <v>2340.4840336134462</v>
      </c>
      <c r="E56" s="721">
        <f t="shared" si="7"/>
        <v>514.32319173985275</v>
      </c>
      <c r="F56" s="721">
        <f t="shared" si="7"/>
        <v>1.1494429763184524</v>
      </c>
      <c r="G56" s="721">
        <f t="shared" si="7"/>
        <v>370.17622136428531</v>
      </c>
      <c r="H56" s="721">
        <f t="shared" si="7"/>
        <v>0</v>
      </c>
      <c r="I56" s="721">
        <f t="shared" si="7"/>
        <v>0</v>
      </c>
      <c r="J56" s="721">
        <f t="shared" si="7"/>
        <v>0</v>
      </c>
      <c r="K56" s="721">
        <f t="shared" si="7"/>
        <v>21.392665438117028</v>
      </c>
      <c r="L56" s="721">
        <f t="shared" si="7"/>
        <v>0</v>
      </c>
      <c r="M56" s="721">
        <f t="shared" si="7"/>
        <v>0</v>
      </c>
      <c r="N56" s="721">
        <f t="shared" si="7"/>
        <v>0</v>
      </c>
      <c r="O56" s="721">
        <f t="shared" si="7"/>
        <v>0</v>
      </c>
      <c r="P56" s="721">
        <f t="shared" si="7"/>
        <v>0</v>
      </c>
      <c r="Q56" s="722">
        <f t="shared" si="7"/>
        <v>0</v>
      </c>
      <c r="R56" s="723">
        <f ca="1">SUM(R54:R55)</f>
        <v>3413.1685161923097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4584.9280302645338</v>
      </c>
      <c r="D61" s="729">
        <f t="shared" ref="D61:Q61" ca="1" si="8">D46+D52+D56</f>
        <v>2340.4840336134462</v>
      </c>
      <c r="E61" s="729">
        <f t="shared" ca="1" si="8"/>
        <v>10916.872055755701</v>
      </c>
      <c r="F61" s="729">
        <f t="shared" si="8"/>
        <v>263.18232087088029</v>
      </c>
      <c r="G61" s="729">
        <f t="shared" ca="1" si="8"/>
        <v>2016.1143235989209</v>
      </c>
      <c r="H61" s="729">
        <f t="shared" si="8"/>
        <v>11041.057598352629</v>
      </c>
      <c r="I61" s="729">
        <f t="shared" si="8"/>
        <v>2108.0569342507442</v>
      </c>
      <c r="J61" s="729">
        <f t="shared" si="8"/>
        <v>0</v>
      </c>
      <c r="K61" s="729">
        <f t="shared" si="8"/>
        <v>22.20982802104373</v>
      </c>
      <c r="L61" s="729">
        <f t="shared" si="8"/>
        <v>0</v>
      </c>
      <c r="M61" s="729">
        <f t="shared" ca="1" si="8"/>
        <v>0</v>
      </c>
      <c r="N61" s="729">
        <f t="shared" si="8"/>
        <v>0</v>
      </c>
      <c r="O61" s="729">
        <f t="shared" ca="1" si="8"/>
        <v>0</v>
      </c>
      <c r="P61" s="729">
        <f t="shared" si="8"/>
        <v>0</v>
      </c>
      <c r="Q61" s="729">
        <f t="shared" si="8"/>
        <v>0</v>
      </c>
      <c r="R61" s="729">
        <f ca="1">R46+R52+R56</f>
        <v>33292.905124727899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0.20502314576064146</v>
      </c>
      <c r="D63" s="772">
        <f t="shared" ca="1" si="9"/>
        <v>0.23764705882352946</v>
      </c>
      <c r="E63" s="998">
        <f t="shared" ca="1" si="9"/>
        <v>0.20199999999999999</v>
      </c>
      <c r="F63" s="772">
        <f t="shared" si="9"/>
        <v>0.22700000000000004</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2135.9948330514385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6894</v>
      </c>
      <c r="D76" s="1008">
        <f>'lokale energieproductie'!C8</f>
        <v>8110.5882352941189</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1638.3388235294121</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2135.9948330514385</v>
      </c>
      <c r="C78" s="744">
        <f>SUM(C72:C77)</f>
        <v>6894</v>
      </c>
      <c r="D78" s="745">
        <f t="shared" ref="D78:H78" si="10">SUM(D76:D77)</f>
        <v>8110.5882352941189</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1638.3388235294121</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9848.5714285714294</v>
      </c>
      <c r="D87" s="766">
        <f>'lokale energieproductie'!C17</f>
        <v>11586.554621848743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2340.4840336134462</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9848.5714285714294</v>
      </c>
      <c r="D90" s="744">
        <f t="shared" ref="D90:H90" si="12">SUM(D87:D89)</f>
        <v>11586.554621848743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2340.4840336134462</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2135.9948330514385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6894</v>
      </c>
      <c r="C8" s="556">
        <f>B48</f>
        <v>8110.5882352941189</v>
      </c>
      <c r="D8" s="1015"/>
      <c r="E8" s="1015">
        <f>E48</f>
        <v>0</v>
      </c>
      <c r="F8" s="1016"/>
      <c r="G8" s="557"/>
      <c r="H8" s="1015">
        <f>I48</f>
        <v>0</v>
      </c>
      <c r="I8" s="1015">
        <f>G48+F48</f>
        <v>0</v>
      </c>
      <c r="J8" s="1015">
        <f>H48+D48+C48</f>
        <v>0</v>
      </c>
      <c r="K8" s="1015"/>
      <c r="L8" s="1015"/>
      <c r="M8" s="1015"/>
      <c r="N8" s="558"/>
      <c r="O8" s="559">
        <f>C8*$C$12+D8*$D$12+E8*$E$12+F8*$F$12+G8*$G$12+H8*$H$12+I8*$I$12+J8*$J$12</f>
        <v>1638.3388235294121</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9029.994833051438</v>
      </c>
      <c r="C10" s="569">
        <f t="shared" ref="C10:L10" si="0">SUM(C8:C9)</f>
        <v>8110.5882352941189</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1638.3388235294121</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9848.5714285714294</v>
      </c>
      <c r="C17" s="581">
        <f>B49</f>
        <v>11586.554621848743</v>
      </c>
      <c r="D17" s="582"/>
      <c r="E17" s="582">
        <f>E49</f>
        <v>0</v>
      </c>
      <c r="F17" s="1021"/>
      <c r="G17" s="583"/>
      <c r="H17" s="581">
        <f>I49</f>
        <v>0</v>
      </c>
      <c r="I17" s="582">
        <f>G49+F49</f>
        <v>0</v>
      </c>
      <c r="J17" s="582">
        <f>H49+D49+C49</f>
        <v>0</v>
      </c>
      <c r="K17" s="582"/>
      <c r="L17" s="582"/>
      <c r="M17" s="582"/>
      <c r="N17" s="1022"/>
      <c r="O17" s="584">
        <f>C17*$C$22+E17*$E$22+H17*$H$22+I17*$I$22+J17*$J$22+D17*$D$22+F17*$F$22+G17*$G$22+K17*$K$22+L17*$L$22</f>
        <v>2340.4840336134462</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9848.5714285714294</v>
      </c>
      <c r="C20" s="568">
        <f>SUM(C17:C19)</f>
        <v>11586.554621848743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2340.4840336134462</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12034</v>
      </c>
      <c r="C28" s="787">
        <v>2890</v>
      </c>
      <c r="D28" s="640" t="s">
        <v>920</v>
      </c>
      <c r="E28" s="639" t="s">
        <v>921</v>
      </c>
      <c r="F28" s="639" t="s">
        <v>922</v>
      </c>
      <c r="G28" s="639" t="s">
        <v>923</v>
      </c>
      <c r="H28" s="639" t="s">
        <v>924</v>
      </c>
      <c r="I28" s="639" t="s">
        <v>921</v>
      </c>
      <c r="J28" s="786">
        <v>39242</v>
      </c>
      <c r="K28" s="786">
        <v>39261</v>
      </c>
      <c r="L28" s="639" t="s">
        <v>925</v>
      </c>
      <c r="M28" s="639">
        <v>1532</v>
      </c>
      <c r="N28" s="639">
        <v>6894</v>
      </c>
      <c r="O28" s="639">
        <v>9848.5714285714294</v>
      </c>
      <c r="P28" s="639">
        <v>19697.142857142859</v>
      </c>
      <c r="Q28" s="639">
        <v>0</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1532</v>
      </c>
      <c r="N29" s="597">
        <f>SUM(N28:N28)</f>
        <v>6894</v>
      </c>
      <c r="O29" s="597">
        <f>SUM(O28:O28)</f>
        <v>9848.5714285714294</v>
      </c>
      <c r="P29" s="597">
        <f>SUM(P28:P28)</f>
        <v>19697.142857142859</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1532</v>
      </c>
      <c r="N32" s="602">
        <f>SUMIF($Z$28:$Z$28,"landbouw",N28:N28)</f>
        <v>6894</v>
      </c>
      <c r="O32" s="602">
        <f>SUMIF($Z$28:$Z$28,"landbouw",O28:O28)</f>
        <v>9848.5714285714294</v>
      </c>
      <c r="P32" s="602">
        <f>SUMIF($Z$28:$Z$28,"landbouw",P28:P28)</f>
        <v>19697.142857142859</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0.58823529411764719</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8110.5882352941189</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11586.554621848743</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13985.205811505148</v>
      </c>
      <c r="C4" s="458">
        <f>huishoudens!C8</f>
        <v>0</v>
      </c>
      <c r="D4" s="458">
        <f>huishoudens!D8</f>
        <v>41056.232912648033</v>
      </c>
      <c r="E4" s="458">
        <f>huishoudens!E8</f>
        <v>723.88894854096759</v>
      </c>
      <c r="F4" s="458">
        <f>huishoudens!F8</f>
        <v>4153.8438070473476</v>
      </c>
      <c r="G4" s="458">
        <f>huishoudens!G8</f>
        <v>0</v>
      </c>
      <c r="H4" s="458">
        <f>huishoudens!H8</f>
        <v>0</v>
      </c>
      <c r="I4" s="458">
        <f>huishoudens!I8</f>
        <v>0</v>
      </c>
      <c r="J4" s="458">
        <f>huishoudens!J8</f>
        <v>0</v>
      </c>
      <c r="K4" s="458">
        <f>huishoudens!K8</f>
        <v>0</v>
      </c>
      <c r="L4" s="458">
        <f>huishoudens!L8</f>
        <v>0</v>
      </c>
      <c r="M4" s="458">
        <f>huishoudens!M8</f>
        <v>0</v>
      </c>
      <c r="N4" s="458">
        <f>huishoudens!N8</f>
        <v>8767.7916772387398</v>
      </c>
      <c r="O4" s="458">
        <f>huishoudens!O8</f>
        <v>73.476666666666674</v>
      </c>
      <c r="P4" s="459">
        <f>huishoudens!P8</f>
        <v>133.46666666666667</v>
      </c>
      <c r="Q4" s="460">
        <f>SUM(B4:P4)</f>
        <v>68893.906490313559</v>
      </c>
    </row>
    <row r="5" spans="1:17">
      <c r="A5" s="457" t="s">
        <v>155</v>
      </c>
      <c r="B5" s="458">
        <f ca="1">tertiair!B16</f>
        <v>5429.2668652852171</v>
      </c>
      <c r="C5" s="458">
        <f ca="1">tertiair!C16</f>
        <v>0</v>
      </c>
      <c r="D5" s="458">
        <f ca="1">tertiair!D16</f>
        <v>9027.2250789721802</v>
      </c>
      <c r="E5" s="458">
        <f>tertiair!E16</f>
        <v>78.762167605539105</v>
      </c>
      <c r="F5" s="458">
        <f ca="1">tertiair!F16</f>
        <v>1148.669627539984</v>
      </c>
      <c r="G5" s="458">
        <f>tertiair!G16</f>
        <v>0</v>
      </c>
      <c r="H5" s="458">
        <f>tertiair!H16</f>
        <v>0</v>
      </c>
      <c r="I5" s="458">
        <f>tertiair!I16</f>
        <v>0</v>
      </c>
      <c r="J5" s="458">
        <f>tertiair!J16</f>
        <v>0</v>
      </c>
      <c r="K5" s="458">
        <f>tertiair!K16</f>
        <v>0</v>
      </c>
      <c r="L5" s="458">
        <f ca="1">tertiair!L16</f>
        <v>0</v>
      </c>
      <c r="M5" s="458">
        <f>tertiair!M16</f>
        <v>0</v>
      </c>
      <c r="N5" s="458">
        <f ca="1">tertiair!N16</f>
        <v>662.95136671388957</v>
      </c>
      <c r="O5" s="458">
        <f>tertiair!O16</f>
        <v>0</v>
      </c>
      <c r="P5" s="459">
        <f>tertiair!P16</f>
        <v>0</v>
      </c>
      <c r="Q5" s="457">
        <f t="shared" ref="Q5:Q14" ca="1" si="0">SUM(B5:P5)</f>
        <v>16346.87510611681</v>
      </c>
    </row>
    <row r="6" spans="1:17">
      <c r="A6" s="457" t="s">
        <v>193</v>
      </c>
      <c r="B6" s="458">
        <f>'openbare verlichting'!B8</f>
        <v>553.827</v>
      </c>
      <c r="C6" s="458"/>
      <c r="D6" s="458"/>
      <c r="E6" s="458"/>
      <c r="F6" s="458"/>
      <c r="G6" s="458"/>
      <c r="H6" s="458"/>
      <c r="I6" s="458"/>
      <c r="J6" s="458"/>
      <c r="K6" s="458"/>
      <c r="L6" s="458"/>
      <c r="M6" s="458"/>
      <c r="N6" s="458"/>
      <c r="O6" s="458"/>
      <c r="P6" s="459"/>
      <c r="Q6" s="457">
        <f t="shared" si="0"/>
        <v>553.827</v>
      </c>
    </row>
    <row r="7" spans="1:17">
      <c r="A7" s="457" t="s">
        <v>111</v>
      </c>
      <c r="B7" s="458">
        <f>landbouw!B8</f>
        <v>401.83395071078161</v>
      </c>
      <c r="C7" s="458">
        <f>landbouw!C8</f>
        <v>9848.5714285714294</v>
      </c>
      <c r="D7" s="458">
        <f>landbouw!D8</f>
        <v>1045.4187988842059</v>
      </c>
      <c r="E7" s="458">
        <f>landbouw!E8</f>
        <v>5.0636254463367942</v>
      </c>
      <c r="F7" s="458">
        <f>landbouw!F8</f>
        <v>1386.4277953718549</v>
      </c>
      <c r="G7" s="458">
        <f>landbouw!G8</f>
        <v>0</v>
      </c>
      <c r="H7" s="458">
        <f>landbouw!H8</f>
        <v>0</v>
      </c>
      <c r="I7" s="458">
        <f>landbouw!I8</f>
        <v>0</v>
      </c>
      <c r="J7" s="458">
        <f>landbouw!J8</f>
        <v>60.431258299765616</v>
      </c>
      <c r="K7" s="458">
        <f>landbouw!K8</f>
        <v>0</v>
      </c>
      <c r="L7" s="458">
        <f>landbouw!L8</f>
        <v>0</v>
      </c>
      <c r="M7" s="458">
        <f>landbouw!M8</f>
        <v>0</v>
      </c>
      <c r="N7" s="458">
        <f>landbouw!N8</f>
        <v>0</v>
      </c>
      <c r="O7" s="458">
        <f>landbouw!O8</f>
        <v>0</v>
      </c>
      <c r="P7" s="459">
        <f>landbouw!P8</f>
        <v>0</v>
      </c>
      <c r="Q7" s="457">
        <f t="shared" si="0"/>
        <v>12747.746857284375</v>
      </c>
    </row>
    <row r="8" spans="1:17">
      <c r="A8" s="457" t="s">
        <v>655</v>
      </c>
      <c r="B8" s="458">
        <f>industrie!B18</f>
        <v>1584.0549695174204</v>
      </c>
      <c r="C8" s="458">
        <f>industrie!C18</f>
        <v>0</v>
      </c>
      <c r="D8" s="458">
        <f>industrie!D18</f>
        <v>1409.6484598360439</v>
      </c>
      <c r="E8" s="458">
        <f>industrie!E18</f>
        <v>187.89642203798999</v>
      </c>
      <c r="F8" s="458">
        <f>industrie!F18</f>
        <v>862.04874606673297</v>
      </c>
      <c r="G8" s="458">
        <f>industrie!G18</f>
        <v>0</v>
      </c>
      <c r="H8" s="458">
        <f>industrie!H18</f>
        <v>0</v>
      </c>
      <c r="I8" s="458">
        <f>industrie!I18</f>
        <v>0</v>
      </c>
      <c r="J8" s="458">
        <f>industrie!J18</f>
        <v>2.3083688783240186</v>
      </c>
      <c r="K8" s="458">
        <f>industrie!K18</f>
        <v>0</v>
      </c>
      <c r="L8" s="458">
        <f>industrie!L18</f>
        <v>0</v>
      </c>
      <c r="M8" s="458">
        <f>industrie!M18</f>
        <v>0</v>
      </c>
      <c r="N8" s="458">
        <f>industrie!N18</f>
        <v>149.38175323985195</v>
      </c>
      <c r="O8" s="458">
        <f>industrie!O18</f>
        <v>0</v>
      </c>
      <c r="P8" s="459">
        <f>industrie!P18</f>
        <v>0</v>
      </c>
      <c r="Q8" s="457">
        <f t="shared" si="0"/>
        <v>4195.3387195763635</v>
      </c>
    </row>
    <row r="9" spans="1:17" s="463" customFormat="1">
      <c r="A9" s="461" t="s">
        <v>573</v>
      </c>
      <c r="B9" s="462">
        <f>transport!B14</f>
        <v>2.6997979530145284</v>
      </c>
      <c r="C9" s="462">
        <f>transport!C14</f>
        <v>0</v>
      </c>
      <c r="D9" s="462">
        <f>transport!D14</f>
        <v>4.6602020875456223</v>
      </c>
      <c r="E9" s="462">
        <f>transport!E14</f>
        <v>163.78232038185496</v>
      </c>
      <c r="F9" s="462">
        <f>transport!F14</f>
        <v>0</v>
      </c>
      <c r="G9" s="462">
        <f>transport!G14</f>
        <v>40990.367164871976</v>
      </c>
      <c r="H9" s="462">
        <f>transport!H14</f>
        <v>8466.0921054246755</v>
      </c>
      <c r="I9" s="462">
        <f>transport!I14</f>
        <v>0</v>
      </c>
      <c r="J9" s="462">
        <f>transport!J14</f>
        <v>0</v>
      </c>
      <c r="K9" s="462">
        <f>transport!K14</f>
        <v>0</v>
      </c>
      <c r="L9" s="462">
        <f>transport!L14</f>
        <v>0</v>
      </c>
      <c r="M9" s="462">
        <f>transport!M14</f>
        <v>2236.6846330640901</v>
      </c>
      <c r="N9" s="462">
        <f>transport!N14</f>
        <v>0</v>
      </c>
      <c r="O9" s="462">
        <f>transport!O14</f>
        <v>0</v>
      </c>
      <c r="P9" s="462">
        <f>transport!P14</f>
        <v>0</v>
      </c>
      <c r="Q9" s="461">
        <f>SUM(B9:P9)</f>
        <v>51864.28622378315</v>
      </c>
    </row>
    <row r="10" spans="1:17">
      <c r="A10" s="457" t="s">
        <v>563</v>
      </c>
      <c r="B10" s="458">
        <f>transport!B54</f>
        <v>0</v>
      </c>
      <c r="C10" s="458">
        <f>transport!C54</f>
        <v>0</v>
      </c>
      <c r="D10" s="458">
        <f>transport!D54</f>
        <v>0</v>
      </c>
      <c r="E10" s="458">
        <f>transport!E54</f>
        <v>0</v>
      </c>
      <c r="F10" s="458">
        <f>transport!F54</f>
        <v>0</v>
      </c>
      <c r="G10" s="458">
        <f>transport!G54</f>
        <v>361.90848438880505</v>
      </c>
      <c r="H10" s="458">
        <f>transport!H54</f>
        <v>0</v>
      </c>
      <c r="I10" s="458">
        <f>transport!I54</f>
        <v>0</v>
      </c>
      <c r="J10" s="458">
        <f>transport!J54</f>
        <v>0</v>
      </c>
      <c r="K10" s="458">
        <f>transport!K54</f>
        <v>0</v>
      </c>
      <c r="L10" s="458">
        <f>transport!L54</f>
        <v>0</v>
      </c>
      <c r="M10" s="458">
        <f>transport!M54</f>
        <v>16.108846044206182</v>
      </c>
      <c r="N10" s="458">
        <f>transport!N54</f>
        <v>0</v>
      </c>
      <c r="O10" s="458">
        <f>transport!O54</f>
        <v>0</v>
      </c>
      <c r="P10" s="459">
        <f>transport!P54</f>
        <v>0</v>
      </c>
      <c r="Q10" s="457">
        <f t="shared" si="0"/>
        <v>378.01733043301124</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406.08927398538799</v>
      </c>
      <c r="C14" s="465"/>
      <c r="D14" s="465">
        <f>'SEAP template'!E25</f>
        <v>1500.73561566952</v>
      </c>
      <c r="E14" s="465"/>
      <c r="F14" s="465"/>
      <c r="G14" s="465"/>
      <c r="H14" s="465"/>
      <c r="I14" s="465"/>
      <c r="J14" s="465"/>
      <c r="K14" s="465"/>
      <c r="L14" s="465"/>
      <c r="M14" s="465"/>
      <c r="N14" s="465"/>
      <c r="O14" s="465"/>
      <c r="P14" s="466"/>
      <c r="Q14" s="457">
        <f t="shared" si="0"/>
        <v>1906.824889654908</v>
      </c>
    </row>
    <row r="15" spans="1:17" s="470" customFormat="1">
      <c r="A15" s="467" t="s">
        <v>567</v>
      </c>
      <c r="B15" s="468">
        <f ca="1">SUM(B4:B14)</f>
        <v>22362.977668956966</v>
      </c>
      <c r="C15" s="468">
        <f t="shared" ref="C15:Q15" ca="1" si="1">SUM(C4:C14)</f>
        <v>9848.5714285714294</v>
      </c>
      <c r="D15" s="468">
        <f t="shared" ca="1" si="1"/>
        <v>54043.921068097523</v>
      </c>
      <c r="E15" s="468">
        <f t="shared" si="1"/>
        <v>1159.3934840126883</v>
      </c>
      <c r="F15" s="468">
        <f t="shared" ca="1" si="1"/>
        <v>7550.9899760259195</v>
      </c>
      <c r="G15" s="468">
        <f t="shared" si="1"/>
        <v>41352.27564926078</v>
      </c>
      <c r="H15" s="468">
        <f t="shared" si="1"/>
        <v>8466.0921054246755</v>
      </c>
      <c r="I15" s="468">
        <f t="shared" si="1"/>
        <v>0</v>
      </c>
      <c r="J15" s="468">
        <f t="shared" si="1"/>
        <v>62.739627178089634</v>
      </c>
      <c r="K15" s="468">
        <f t="shared" si="1"/>
        <v>0</v>
      </c>
      <c r="L15" s="468">
        <f t="shared" ca="1" si="1"/>
        <v>0</v>
      </c>
      <c r="M15" s="468">
        <f t="shared" si="1"/>
        <v>2252.7934791082962</v>
      </c>
      <c r="N15" s="468">
        <f t="shared" ca="1" si="1"/>
        <v>9580.1247971924804</v>
      </c>
      <c r="O15" s="468">
        <f t="shared" si="1"/>
        <v>73.476666666666674</v>
      </c>
      <c r="P15" s="468">
        <f t="shared" si="1"/>
        <v>133.46666666666667</v>
      </c>
      <c r="Q15" s="468">
        <f t="shared" ca="1" si="1"/>
        <v>156886.82261716219</v>
      </c>
    </row>
    <row r="17" spans="1:17">
      <c r="A17" s="471" t="s">
        <v>568</v>
      </c>
      <c r="B17" s="777">
        <f ca="1">huishoudens!B10</f>
        <v>0.20502314576064146</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2867.29088958479</v>
      </c>
      <c r="C22" s="458">
        <f t="shared" ref="C22:C32" ca="1" si="3">C4*$C$17</f>
        <v>0</v>
      </c>
      <c r="D22" s="458">
        <f t="shared" ref="D22:D32" si="4">D4*$D$17</f>
        <v>8293.3590483549033</v>
      </c>
      <c r="E22" s="458">
        <f t="shared" ref="E22:E32" si="5">E4*$E$17</f>
        <v>164.32279131879966</v>
      </c>
      <c r="F22" s="458">
        <f t="shared" ref="F22:F32" si="6">F4*$F$17</f>
        <v>1109.076296481642</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12434.049025740136</v>
      </c>
    </row>
    <row r="23" spans="1:17">
      <c r="A23" s="457" t="s">
        <v>155</v>
      </c>
      <c r="B23" s="458">
        <f t="shared" ca="1" si="2"/>
        <v>1113.1253718947919</v>
      </c>
      <c r="C23" s="458">
        <f t="shared" ca="1" si="3"/>
        <v>0</v>
      </c>
      <c r="D23" s="458">
        <f t="shared" ca="1" si="4"/>
        <v>1823.4994659523804</v>
      </c>
      <c r="E23" s="458">
        <f t="shared" si="5"/>
        <v>17.879012046457376</v>
      </c>
      <c r="F23" s="458">
        <f t="shared" ca="1" si="6"/>
        <v>306.69479055317578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3261.1986404468053</v>
      </c>
    </row>
    <row r="24" spans="1:17">
      <c r="A24" s="457" t="s">
        <v>193</v>
      </c>
      <c r="B24" s="458">
        <f t="shared" ca="1" si="2"/>
        <v>113.54735374717878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113.54735374717878</v>
      </c>
    </row>
    <row r="25" spans="1:17">
      <c r="A25" s="457" t="s">
        <v>111</v>
      </c>
      <c r="B25" s="458">
        <f t="shared" ca="1" si="2"/>
        <v>82.385260648150989</v>
      </c>
      <c r="C25" s="458">
        <f t="shared" ca="1" si="3"/>
        <v>2340.4840336134462</v>
      </c>
      <c r="D25" s="458">
        <f t="shared" si="4"/>
        <v>211.17459737460962</v>
      </c>
      <c r="E25" s="458">
        <f t="shared" si="5"/>
        <v>1.1494429763184524</v>
      </c>
      <c r="F25" s="458">
        <f t="shared" si="6"/>
        <v>370.17622136428531</v>
      </c>
      <c r="G25" s="458">
        <f t="shared" si="7"/>
        <v>0</v>
      </c>
      <c r="H25" s="458">
        <f t="shared" si="8"/>
        <v>0</v>
      </c>
      <c r="I25" s="458">
        <f t="shared" si="9"/>
        <v>0</v>
      </c>
      <c r="J25" s="458">
        <f t="shared" si="10"/>
        <v>21.392665438117028</v>
      </c>
      <c r="K25" s="458">
        <f t="shared" si="11"/>
        <v>0</v>
      </c>
      <c r="L25" s="458">
        <f t="shared" si="12"/>
        <v>0</v>
      </c>
      <c r="M25" s="458">
        <f t="shared" si="13"/>
        <v>0</v>
      </c>
      <c r="N25" s="458">
        <f t="shared" si="14"/>
        <v>0</v>
      </c>
      <c r="O25" s="458">
        <f t="shared" si="15"/>
        <v>0</v>
      </c>
      <c r="P25" s="459">
        <f t="shared" si="16"/>
        <v>0</v>
      </c>
      <c r="Q25" s="457">
        <f t="shared" ca="1" si="17"/>
        <v>3026.7622214149274</v>
      </c>
    </row>
    <row r="26" spans="1:17">
      <c r="A26" s="457" t="s">
        <v>655</v>
      </c>
      <c r="B26" s="458">
        <f t="shared" ca="1" si="2"/>
        <v>324.76793290823855</v>
      </c>
      <c r="C26" s="458">
        <f t="shared" ca="1" si="3"/>
        <v>0</v>
      </c>
      <c r="D26" s="458">
        <f t="shared" si="4"/>
        <v>284.74898888688091</v>
      </c>
      <c r="E26" s="458">
        <f t="shared" si="5"/>
        <v>42.652487802623732</v>
      </c>
      <c r="F26" s="458">
        <f t="shared" si="6"/>
        <v>230.16701519981771</v>
      </c>
      <c r="G26" s="458">
        <f t="shared" si="7"/>
        <v>0</v>
      </c>
      <c r="H26" s="458">
        <f t="shared" si="8"/>
        <v>0</v>
      </c>
      <c r="I26" s="458">
        <f t="shared" si="9"/>
        <v>0</v>
      </c>
      <c r="J26" s="458">
        <f t="shared" si="10"/>
        <v>0.81716258292670252</v>
      </c>
      <c r="K26" s="458">
        <f t="shared" si="11"/>
        <v>0</v>
      </c>
      <c r="L26" s="458">
        <f t="shared" si="12"/>
        <v>0</v>
      </c>
      <c r="M26" s="458">
        <f t="shared" si="13"/>
        <v>0</v>
      </c>
      <c r="N26" s="458">
        <f t="shared" si="14"/>
        <v>0</v>
      </c>
      <c r="O26" s="458">
        <f t="shared" si="15"/>
        <v>0</v>
      </c>
      <c r="P26" s="459">
        <f t="shared" si="16"/>
        <v>0</v>
      </c>
      <c r="Q26" s="457">
        <f t="shared" ca="1" si="17"/>
        <v>883.15358738048758</v>
      </c>
    </row>
    <row r="27" spans="1:17" s="463" customFormat="1">
      <c r="A27" s="461" t="s">
        <v>573</v>
      </c>
      <c r="B27" s="771">
        <f t="shared" ca="1" si="2"/>
        <v>0.55352106924517908</v>
      </c>
      <c r="C27" s="462">
        <f t="shared" ca="1" si="3"/>
        <v>0</v>
      </c>
      <c r="D27" s="462">
        <f t="shared" si="4"/>
        <v>0.94136082168421575</v>
      </c>
      <c r="E27" s="462">
        <f t="shared" si="5"/>
        <v>37.178586726681075</v>
      </c>
      <c r="F27" s="462">
        <f t="shared" si="6"/>
        <v>0</v>
      </c>
      <c r="G27" s="462">
        <f t="shared" si="7"/>
        <v>10944.428033020818</v>
      </c>
      <c r="H27" s="462">
        <f t="shared" si="8"/>
        <v>2108.0569342507442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13091.158435889172</v>
      </c>
    </row>
    <row r="28" spans="1:17">
      <c r="A28" s="457" t="s">
        <v>563</v>
      </c>
      <c r="B28" s="458">
        <f t="shared" ca="1" si="2"/>
        <v>0</v>
      </c>
      <c r="C28" s="458">
        <f t="shared" ca="1" si="3"/>
        <v>0</v>
      </c>
      <c r="D28" s="458">
        <f t="shared" si="4"/>
        <v>0</v>
      </c>
      <c r="E28" s="458">
        <f t="shared" si="5"/>
        <v>0</v>
      </c>
      <c r="F28" s="458">
        <f t="shared" si="6"/>
        <v>0</v>
      </c>
      <c r="G28" s="458">
        <f t="shared" si="7"/>
        <v>96.629565331810952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96.629565331810952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83.257700412139272</v>
      </c>
      <c r="C32" s="458">
        <f t="shared" ca="1" si="3"/>
        <v>0</v>
      </c>
      <c r="D32" s="458">
        <f t="shared" si="4"/>
        <v>303.14859436524307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386.40629477738236</v>
      </c>
    </row>
    <row r="33" spans="1:17" s="470" customFormat="1">
      <c r="A33" s="467" t="s">
        <v>567</v>
      </c>
      <c r="B33" s="468">
        <f ca="1">SUM(B22:B32)</f>
        <v>4584.9280302645348</v>
      </c>
      <c r="C33" s="468">
        <f t="shared" ref="C33:Q33" ca="1" si="18">SUM(C22:C32)</f>
        <v>2340.4840336134462</v>
      </c>
      <c r="D33" s="468">
        <f t="shared" ca="1" si="18"/>
        <v>10916.872055755699</v>
      </c>
      <c r="E33" s="468">
        <f t="shared" si="18"/>
        <v>263.18232087088029</v>
      </c>
      <c r="F33" s="468">
        <f t="shared" ca="1" si="18"/>
        <v>2016.1143235989209</v>
      </c>
      <c r="G33" s="468">
        <f t="shared" si="18"/>
        <v>11041.057598352629</v>
      </c>
      <c r="H33" s="468">
        <f t="shared" si="18"/>
        <v>2108.0569342507442</v>
      </c>
      <c r="I33" s="468">
        <f t="shared" si="18"/>
        <v>0</v>
      </c>
      <c r="J33" s="468">
        <f t="shared" si="18"/>
        <v>22.20982802104373</v>
      </c>
      <c r="K33" s="468">
        <f t="shared" si="18"/>
        <v>0</v>
      </c>
      <c r="L33" s="468">
        <f t="shared" ca="1" si="18"/>
        <v>0</v>
      </c>
      <c r="M33" s="468">
        <f t="shared" si="18"/>
        <v>0</v>
      </c>
      <c r="N33" s="468">
        <f t="shared" ca="1" si="18"/>
        <v>0</v>
      </c>
      <c r="O33" s="468">
        <f t="shared" si="18"/>
        <v>0</v>
      </c>
      <c r="P33" s="468">
        <f t="shared" si="18"/>
        <v>0</v>
      </c>
      <c r="Q33" s="468">
        <f t="shared" ca="1" si="18"/>
        <v>33292.905124727899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2135.9948330514385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6894</v>
      </c>
      <c r="D8" s="1034">
        <f>'SEAP template'!D76</f>
        <v>8110.5882352941189</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1638.3388235294121</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2135.9948330514385</v>
      </c>
      <c r="C10" s="1038">
        <f>SUM(C4:C9)</f>
        <v>6894</v>
      </c>
      <c r="D10" s="1038">
        <f t="shared" ref="D10:H10" si="0">SUM(D8:D9)</f>
        <v>8110.5882352941189</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1638.3388235294121</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0.20502314576064146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9848.5714285714294</v>
      </c>
      <c r="D17" s="1035">
        <f>'SEAP template'!D87</f>
        <v>11586.554621848743</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2340.4840336134462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9848.5714285714294</v>
      </c>
      <c r="D20" s="1038">
        <f t="shared" ref="D20:H20" si="2">SUM(D17:D19)</f>
        <v>11586.554621848743</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2340.4840336134462</v>
      </c>
    </row>
    <row r="22" spans="1:16">
      <c r="A22" s="471" t="s">
        <v>879</v>
      </c>
      <c r="B22" s="777" t="s">
        <v>873</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0.20502314576064146</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2020-06-20T16:14:33Z</dcterms:modified>
</cp:coreProperties>
</file>