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C47" i="18" s="1"/>
  <c r="M31" i="18"/>
  <c r="G22" i="18"/>
  <c r="F22" i="18"/>
  <c r="E22" i="18"/>
  <c r="D22" i="18"/>
  <c r="C22" i="18"/>
  <c r="L20" i="18"/>
  <c r="D20" i="18"/>
  <c r="B17" i="18"/>
  <c r="G12" i="18"/>
  <c r="F12" i="18"/>
  <c r="E12" i="18"/>
  <c r="D12" i="18"/>
  <c r="C12" i="18"/>
  <c r="L10" i="18"/>
  <c r="K10" i="18"/>
  <c r="G10" i="18"/>
  <c r="D10" i="18"/>
  <c r="B8" i="18"/>
  <c r="B6" i="18"/>
  <c r="B5" i="18"/>
  <c r="B4" i="18"/>
  <c r="I51" i="18" l="1"/>
  <c r="H17" i="18" s="1"/>
  <c r="G51" i="18"/>
  <c r="F51" i="18"/>
  <c r="C51" i="18"/>
  <c r="B51" i="18"/>
  <c r="C17" i="18" s="1"/>
  <c r="C20" i="18" s="1"/>
  <c r="I50" i="18"/>
  <c r="H8" i="18" s="1"/>
  <c r="H10" i="18" s="1"/>
  <c r="G50" i="18"/>
  <c r="F50" i="18"/>
  <c r="D50" i="18"/>
  <c r="C50" i="18"/>
  <c r="H50" i="18"/>
  <c r="J8" i="18" s="1"/>
  <c r="B50" i="18"/>
  <c r="C8" i="18" s="1"/>
  <c r="C10" i="18" s="1"/>
  <c r="B20" i="18"/>
  <c r="F20" i="18"/>
  <c r="O18" i="18"/>
  <c r="H20" i="18"/>
  <c r="G20" i="18"/>
  <c r="K20" i="18"/>
  <c r="J10" i="18"/>
  <c r="B10" i="18"/>
  <c r="O19" i="18"/>
  <c r="O9" i="18"/>
  <c r="D51" i="18"/>
  <c r="H51" i="18"/>
  <c r="E50" i="18"/>
  <c r="E8" i="18" s="1"/>
  <c r="E10" i="18" s="1"/>
  <c r="E51"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R10" i="14" s="1"/>
  <c r="E5" i="48"/>
  <c r="N52" i="14"/>
  <c r="N61" i="14" s="1"/>
  <c r="H22" i="14"/>
  <c r="H27" i="14" s="1"/>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J22" i="16"/>
  <c r="K43" i="14" s="1"/>
  <c r="K46" i="14" s="1"/>
  <c r="K61" i="14" s="1"/>
  <c r="K13" i="14"/>
  <c r="K16" i="14" s="1"/>
  <c r="K27" i="14" s="1"/>
  <c r="J8" i="48"/>
  <c r="J26" i="48" s="1"/>
  <c r="J33" i="48" s="1"/>
  <c r="E8" i="48"/>
  <c r="E26" i="48" s="1"/>
  <c r="F13" i="14"/>
  <c r="F16" i="14" s="1"/>
  <c r="F27" i="14" s="1"/>
  <c r="Q5" i="48"/>
  <c r="N63" i="14"/>
  <c r="E22" i="16"/>
  <c r="F43" i="14" s="1"/>
  <c r="F46" i="14" s="1"/>
  <c r="F61" i="14" s="1"/>
  <c r="H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33" i="48" l="1"/>
  <c r="J15" i="48"/>
  <c r="K63" i="14"/>
  <c r="E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<sst xmlns="http://schemas.openxmlformats.org/spreadsheetml/2006/main" count="2474" uniqueCount="933">
  <si>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</si>
  <si>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</si>
  <si>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</si>
  <si>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</si>
  <si>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</si>
  <si>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</si>
  <si>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</si>
  <si>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</si>
  <si>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</si>
  <si>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</si>
  <si>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</si>
  <si>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</si>
  <si>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</si>
  <si>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</si>
  <si>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</si>
  <si>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</si>
  <si>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</si>
  <si>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</si>
  <si>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</si>
  <si>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</si>
  <si>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</si>
  <si>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</si>
  <si>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</si>
  <si>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</si>
  <si>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</si>
  <si>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</si>
  <si>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</si>
  <si>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</si>
  <si>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</si>
  <si>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</si>
  <si>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</si>
  <si>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</si>
  <si>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</si>
  <si>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</si>
  <si>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</si>
  <si>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</si>
  <si>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</si>
  <si>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</si>
  <si>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</si>
  <si>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</si>
  <si>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</si>
  <si>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</si>
  <si>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</si>
  <si>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</si>
  <si>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</si>
  <si>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</si>
  <si>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</si>
  <si>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</si>
  <si>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</si>
  <si>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</si>
  <si>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</si>
  <si>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</si>
  <si>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</si>
  <si>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</si>
  <si>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</si>
  <si>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</si>
  <si>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</si>
  <si>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</si>
  <si>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</si>
  <si>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</si>
  <si>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</si>
  <si>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</si>
  <si>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</si>
  <si>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</si>
  <si>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</si>
  <si>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</si>
  <si>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</si>
  <si>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</si>
  <si>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</si>
  <si>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</si>
  <si>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</si>
  <si>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</si>
  <si>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</si>
  <si>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</si>
  <si>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</si>
  <si>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</si>
  <si>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</si>
  <si>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</si>
  <si>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</si>
  <si>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</si>
  <si>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</si>
  <si>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</si>
  <si>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</si>
  <si>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</si>
  <si>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</si>
  <si>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</si>
  <si>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</si>
  <si>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</si>
  <si>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</si>
  <si>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</si>
  <si>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</si>
  <si>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</si>
  <si>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</si>
  <si>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</si>
  <si>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</si>
  <si>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</si>
  <si>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</si>
  <si>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</si>
  <si>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</si>
  <si>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</si>
  <si>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</si>
  <si>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</si>
  <si>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</si>
  <si>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</si>
  <si>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</si>
  <si>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</si>
  <si>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</si>
  <si>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</si>
  <si>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</si>
  <si>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</si>
  <si>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</si>
  <si>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</si>
  <si>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</si>
  <si>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</si>
  <si>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</si>
  <si>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</si>
  <si>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</si>
  <si>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</si>
  <si>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</si>
  <si>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</si>
  <si>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</si>
  <si>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</si>
  <si>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</si>
  <si>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</si>
  <si>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</si>
  <si>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</si>
  <si>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</si>
  <si>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</si>
  <si>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</si>
  <si>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</si>
  <si>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</si>
  <si>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</si>
  <si>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</si>
  <si>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</si>
  <si>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</si>
  <si>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</si>
  <si>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</si>
  <si>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</si>
  <si>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</si>
  <si>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</si>
  <si>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</si>
  <si>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</si>
  <si>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</si>
  <si>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</si>
  <si>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</si>
  <si>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</si>
  <si>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</si>
  <si>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</si>
  <si>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</si>
  <si>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</si>
  <si>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</si>
  <si>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</si>
  <si>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</si>
  <si>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</si>
  <si>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</si>
  <si>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</si>
  <si>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</si>
  <si>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</si>
  <si>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</si>
  <si>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</si>
  <si>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</si>
  <si>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</si>
  <si>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</si>
  <si>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</si>
  <si>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</si>
  <si>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</si>
  <si>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</si>
  <si>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</si>
  <si>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</si>
  <si>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</si>
  <si>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</si>
  <si>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</si>
  <si>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</si>
  <si>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</si>
  <si>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</si>
  <si>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</si>
  <si>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</si>
  <si>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</si>
  <si>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</si>
  <si>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</si>
  <si>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</si>
  <si>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</si>
  <si>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</si>
  <si>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</si>
  <si>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</si>
  <si>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</si>
  <si>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</si>
  <si>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</si>
  <si>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</si>
  <si>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</si>
  <si>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</si>
  <si>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</si>
  <si>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</si>
  <si>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</si>
  <si>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</si>
  <si>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</si>
  <si>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</si>
  <si>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</si>
  <si>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</si>
  <si>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</si>
  <si>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</si>
  <si>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</si>
  <si>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</si>
  <si>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</si>
  <si>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</si>
  <si>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</si>
  <si>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</si>
  <si>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</si>
  <si>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</si>
  <si>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</si>
  <si>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</si>
  <si>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</si>
  <si>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</si>
  <si>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</si>
  <si>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</si>
  <si>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</si>
  <si>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</si>
  <si>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</si>
  <si>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</si>
  <si>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</si>
  <si>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</si>
  <si>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</si>
  <si>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</si>
  <si>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</si>
  <si>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</si>
  <si>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</si>
  <si>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</si>
  <si>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</si>
  <si>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</si>
  <si>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</si>
  <si>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</si>
  <si>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</si>
  <si>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</si>
  <si>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</si>
  <si>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</si>
  <si>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</si>
  <si>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</si>
  <si>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</si>
  <si>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</si>
  <si>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</si>
  <si>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</si>
  <si>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</si>
  <si>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</si>
  <si>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</si>
  <si>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</si>
  <si>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</si>
  <si>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</si>
  <si>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</si>
  <si>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</si>
  <si>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</si>
  <si>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</si>
  <si>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</si>
  <si>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</si>
  <si>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</si>
  <si>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</si>
  <si>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</si>
  <si>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</si>
  <si>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</si>
  <si>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</si>
  <si>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</si>
  <si>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</si>
  <si>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</si>
  <si>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</si>
  <si>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</si>
  <si>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</si>
  <si>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</si>
  <si>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</si>
  <si>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</si>
  <si>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</si>
  <si>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</si>
  <si>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</si>
  <si>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</si>
  <si>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</si>
  <si>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</si>
  <si>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</si>
  <si>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</si>
  <si>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</si>
  <si>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</si>
  <si>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</si>
  <si>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</si>
  <si>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</si>
  <si>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</si>
  <si>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</si>
  <si>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</si>
  <si>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</si>
  <si>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</si>
  <si>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</si>
  <si>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</si>
  <si>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</si>
  <si>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</si>
  <si>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</si>
  <si>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</si>
  <si>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</si>
  <si>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</si>
  <si>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</si>
  <si>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</si>
  <si>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</si>
  <si>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</si>
  <si>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</si>
  <si>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</si>
  <si>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</si>
  <si>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</si>
  <si>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</si>
  <si>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</si>
  <si>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</si>
  <si>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</si>
  <si>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</si>
  <si>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</si>
  <si>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</si>
  <si>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</si>
  <si>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</si>
  <si>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</si>
  <si>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</si>
  <si>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</si>
  <si>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</si>
  <si>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</si>
  <si>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</si>
  <si>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</si>
  <si>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</si>
  <si>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</si>
  <si>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</si>
  <si>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</si>
  <si>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</si>
  <si>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</si>
  <si>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</si>
  <si>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</si>
  <si>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</si>
  <si>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</si>
  <si>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</si>
  <si>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</si>
  <si>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</si>
  <si>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</si>
  <si>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</si>
  <si>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</si>
  <si>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</si>
  <si>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</si>
  <si>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</si>
  <si>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</si>
  <si>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</si>
  <si>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</si>
  <si>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</si>
  <si>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</si>
  <si>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</si>
  <si>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</si>
  <si>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</si>
  <si>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</si>
  <si>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</si>
  <si>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</si>
  <si>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</si>
  <si>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</si>
  <si>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</si>
  <si>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</si>
  <si>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</si>
  <si>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</si>
  <si>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</si>
  <si>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</si>
  <si>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</si>
  <si>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</si>
  <si>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</si>
  <si>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</si>
  <si>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</si>
  <si>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</si>
  <si>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</si>
  <si>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</si>
  <si>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</si>
  <si>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</si>
  <si>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</si>
  <si>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</si>
  <si>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</si>
  <si>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</si>
  <si>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</si>
  <si>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</si>
  <si>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</si>
  <si>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</si>
  <si>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</si>
  <si>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</si>
  <si>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</si>
  <si>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</si>
  <si>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</si>
  <si>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</si>
  <si>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</si>
  <si>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</si>
  <si>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</si>
  <si>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</si>
  <si>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</si>
  <si>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</si>
  <si>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</si>
  <si>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</si>
  <si>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</si>
  <si>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</si>
  <si>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</si>
  <si>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</si>
  <si>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</si>
  <si>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</si>
  <si>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</si>
  <si>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</si>
  <si>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</si>
  <si>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</si>
  <si>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</si>
  <si>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</si>
  <si>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</si>
  <si>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</si>
  <si>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</si>
  <si>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</si>
  <si>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</si>
  <si>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</si>
  <si>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</si>
  <si>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</si>
  <si>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</si>
  <si>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</si>
  <si>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</si>
  <si>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</si>
  <si>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</si>
  <si>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</si>
  <si>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</si>
  <si>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</si>
  <si>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</si>
  <si>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</si>
  <si>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</si>
  <si>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</si>
  <si>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</si>
  <si>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</si>
  <si>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</si>
  <si>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</si>
  <si>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</si>
  <si>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</si>
  <si>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</si>
  <si>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</si>
  <si>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</si>
  <si>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</si>
  <si>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</si>
  <si>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</si>
  <si>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</si>
  <si>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</si>
  <si>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</si>
  <si>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</si>
  <si>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</si>
  <si>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</si>
  <si>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</si>
  <si>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</si>
  <si>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</si>
  <si>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</si>
  <si>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</si>
  <si>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</si>
  <si>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</si>
  <si>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</si>
  <si>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</si>
  <si>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</si>
  <si>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</si>
  <si>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</si>
  <si>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</si>
  <si>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</si>
  <si>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</si>
  <si>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</si>
  <si>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</si>
  <si>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</si>
  <si>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</si>
  <si>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</si>
  <si>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</si>
  <si>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</si>
  <si>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</si>
  <si>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</si>
  <si>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</si>
  <si>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</si>
  <si>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</si>
  <si>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</si>
  <si>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</si>
  <si>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</si>
  <si>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</si>
  <si>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</si>
  <si>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</si>
  <si>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</si>
  <si>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</si>
  <si>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</si>
  <si>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</si>
  <si>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</si>
  <si>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</si>
  <si>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</si>
  <si>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</si>
  <si>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</si>
  <si>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</si>
  <si>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</si>
  <si>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</si>
  <si>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</si>
  <si>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</si>
  <si>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</si>
  <si>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</si>
  <si>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</si>
  <si>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</si>
  <si>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</si>
  <si>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</si>
  <si>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</si>
  <si>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</si>
  <si>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</si>
  <si>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</si>
  <si>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</si>
  <si>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</si>
  <si>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</si>
  <si>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</si>
  <si>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</si>
  <si>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</si>
  <si>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</si>
  <si>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</si>
  <si>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</si>
  <si>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</si>
  <si>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</si>
  <si>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</si>
  <si>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</si>
  <si>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</si>
  <si>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</si>
  <si>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</si>
  <si>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</si>
  <si>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</si>
  <si>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</si>
  <si>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</si>
  <si>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</si>
  <si>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</si>
  <si>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</si>
  <si>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</si>
  <si>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</si>
  <si>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</si>
  <si>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</si>
  <si>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</si>
  <si>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</si>
  <si>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</si>
  <si>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</si>
  <si>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</si>
  <si>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</si>
  <si>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</si>
  <si>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</si>
  <si>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</si>
  <si>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</si>
  <si>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</si>
  <si>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</si>
  <si>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</si>
  <si>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</si>
  <si>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</si>
  <si>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</si>
  <si>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</si>
  <si>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</si>
  <si>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</si>
  <si>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</si>
  <si>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</si>
  <si>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</si>
  <si>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</si>
  <si>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</si>
  <si>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</si>
  <si>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</si>
  <si>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</si>
  <si>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</si>
  <si>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</si>
  <si>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</si>
  <si>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</si>
  <si>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</si>
  <si>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</si>
  <si>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</si>
  <si>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</si>
  <si>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</si>
  <si>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</si>
  <si>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</si>
  <si>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</si>
  <si>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</si>
  <si>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</si>
  <si>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</si>
  <si>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</si>
  <si>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</si>
  <si>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</si>
  <si>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</si>
  <si>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</si>
  <si>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</si>
  <si>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</si>
  <si>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</si>
  <si>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</si>
  <si>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</si>
  <si>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</si>
  <si>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</si>
  <si>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</si>
  <si>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</si>
  <si>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</si>
  <si>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</si>
  <si>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</si>
  <si>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</si>
  <si>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</si>
  <si>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</si>
  <si>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</si>
  <si>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</si>
  <si>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</si>
  <si>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</si>
  <si>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</si>
  <si>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</si>
  <si>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</si>
  <si>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</si>
  <si>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</si>
  <si>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</si>
  <si>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</si>
  <si>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</si>
  <si>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</si>
  <si>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</si>
  <si>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</si>
  <si>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</si>
  <si>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</si>
  <si>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</si>
  <si>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</si>
  <si>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</si>
  <si>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</si>
  <si>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</si>
  <si>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</si>
  <si>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</si>
  <si>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</si>
  <si>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</si>
  <si>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</si>
  <si>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</si>
  <si>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</si>
  <si>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</si>
  <si>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</si>
  <si>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</si>
  <si>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</si>
  <si>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</si>
  <si>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</si>
  <si>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</si>
  <si>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</si>
  <si>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</si>
  <si>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</si>
  <si>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</si>
  <si>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</si>
  <si>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</si>
  <si>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</si>
  <si>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</si>
  <si>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</si>
  <si>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</si>
  <si>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</si>
  <si>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</si>
  <si>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</si>
  <si>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</si>
  <si>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</si>
  <si>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</si>
  <si>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</si>
  <si>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</si>
  <si>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</si>
  <si>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</si>
  <si>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</si>
  <si>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</si>
  <si>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</si>
  <si>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</si>
  <si>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</si>
  <si>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</si>
  <si>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</si>
  <si>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</si>
  <si>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</si>
  <si>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</si>
  <si>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</si>
  <si>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</si>
  <si>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</si>
  <si>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</si>
  <si>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</si>
  <si>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</si>
  <si>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</si>
  <si>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</si>
  <si>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</si>
  <si>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</si>
  <si>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</si>
  <si>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</si>
  <si>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</si>
  <si>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</si>
  <si>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</si>
  <si>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</si>
  <si>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</si>
  <si>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</si>
  <si>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</si>
  <si>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</si>
  <si>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</si>
  <si>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</si>
  <si>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</si>
  <si>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</si>
  <si>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</si>
  <si>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</si>
  <si>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</si>
  <si>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</si>
  <si>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</si>
  <si>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</si>
  <si>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</si>
  <si>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</si>
  <si>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</si>
  <si>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</si>
  <si>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</si>
  <si>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</si>
  <si>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</si>
  <si>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</si>
  <si>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</si>
  <si>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</si>
  <si>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</si>
  <si>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</si>
  <si>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</si>
  <si>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</si>
  <si>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</si>
  <si>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</si>
  <si>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</si>
  <si>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</si>
  <si>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</si>
  <si>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</si>
  <si>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</si>
  <si>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</si>
  <si>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</si>
  <si>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</si>
  <si>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</si>
  <si>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</si>
  <si>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</si>
  <si>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</si>
  <si>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</si>
  <si>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</si>
  <si>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</si>
  <si>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</si>
  <si>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</si>
  <si>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</si>
  <si>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</si>
  <si>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</si>
  <si>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</si>
  <si>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</si>
  <si>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</si>
  <si>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</si>
  <si>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</si>
  <si>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</si>
  <si>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</si>
  <si>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</si>
  <si>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</si>
  <si>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</si>
  <si>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</si>
  <si>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</si>
  <si>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</si>
  <si>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</si>
  <si>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</si>
  <si>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</si>
  <si>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</si>
  <si>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</si>
  <si>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</si>
  <si>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</si>
  <si>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</si>
  <si>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</si>
  <si>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</si>
  <si>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</si>
  <si>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</si>
  <si>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</si>
  <si>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</si>
  <si>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</si>
  <si>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</si>
  <si>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</si>
  <si>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</si>
  <si>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</si>
  <si>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</si>
  <si>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</si>
  <si>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</si>
  <si>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</si>
  <si>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</si>
  <si>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</si>
  <si>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</si>
  <si>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</si>
  <si>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</si>
  <si>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</si>
  <si>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</si>
  <si>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</si>
  <si>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</si>
  <si>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</si>
  <si>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</si>
  <si>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</si>
  <si>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</si>
  <si>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</si>
  <si>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</si>
  <si>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</si>
  <si>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</si>
  <si>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</si>
  <si>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</si>
  <si>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</si>
  <si>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</si>
  <si>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</si>
  <si>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</si>
  <si>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</si>
  <si>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</si>
  <si>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</si>
  <si>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</si>
  <si>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</si>
  <si>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</si>
  <si>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</si>
  <si>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</si>
  <si>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</si>
  <si>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</si>
  <si>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</si>
  <si>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</si>
  <si>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</si>
  <si>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</si>
  <si>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</si>
  <si>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</si>
  <si>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</si>
  <si>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</si>
  <si>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</si>
  <si>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</si>
  <si>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</si>
  <si>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</si>
  <si>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</si>
  <si>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</si>
  <si>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</si>
  <si>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</si>
  <si>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</si>
  <si>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</si>
  <si>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</si>
  <si>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</si>
  <si>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</si>
  <si>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</si>
  <si>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</si>
  <si>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</si>
  <si>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</si>
  <si>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</si>
  <si>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</si>
  <si>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</si>
  <si>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</si>
  <si>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</si>
  <si>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</si>
  <si>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</si>
  <si>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</si>
  <si>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</si>
  <si>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</si>
  <si>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</si>
  <si>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</si>
  <si>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</si>
  <si>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</si>
  <si>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</si>
  <si>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</si>
  <si>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</si>
  <si>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</si>
  <si>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</si>
  <si>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</si>
  <si>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</si>
  <si>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</si>
  <si>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</si>
  <si>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</si>
  <si>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</si>
  <si>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</si>
  <si>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</si>
  <si>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</si>
  <si>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</si>
  <si>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</si>
  <si>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</si>
  <si>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</si>
  <si>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</si>
  <si>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</si>
  <si>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</si>
  <si>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</si>
  <si>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</si>
  <si>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</si>
  <si>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</si>
  <si>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</si>
  <si>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</si>
  <si>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</si>
  <si>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</si>
  <si>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</si>
  <si>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</si>
  <si>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</si>
  <si>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</si>
  <si>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</si>
  <si>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</si>
  <si>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</si>
  <si>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</si>
  <si>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</si>
  <si>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</si>
  <si>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</si>
  <si>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</si>
  <si>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</si>
  <si>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</si>
  <si>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</si>
  <si>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</si>
  <si>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</si>
  <si>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</si>
  <si>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</si>
  <si>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</si>
  <si>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</si>
  <si>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</si>
  <si>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</si>
  <si>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</si>
  <si>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</si>
  <si>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</si>
  <si>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</si>
  <si>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</si>
  <si>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</si>
  <si>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</si>
  <si>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</si>
  <si>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</si>
  <si>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</si>
  <si>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</si>
  <si>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</si>
  <si>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</si>
  <si>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</si>
  <si>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</si>
  <si>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</si>
  <si>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</si>
  <si>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</si>
  <si>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</si>
  <si>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</si>
  <si>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</si>
  <si>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</si>
  <si>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</si>
  <si>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</si>
  <si>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</si>
  <si>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</si>
  <si>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</si>
  <si>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</si>
  <si>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</si>
  <si>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</si>
  <si>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</si>
  <si>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</si>
  <si>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</si>
  <si>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</si>
  <si>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</si>
  <si>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</si>
  <si>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</si>
  <si>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11056</t>
  </si>
  <si>
    <t>ZWIJNDRECHT</t>
  </si>
  <si>
    <t>Cultuurgrond (ha)</t>
  </si>
  <si>
    <t>Paarden&amp;pony's 200 - 600 kg</t>
  </si>
  <si>
    <t>Paarden&amp;pony's &lt; 200 kg</t>
  </si>
  <si>
    <t>Fluvius</t>
  </si>
  <si>
    <t>referentietaak LNE (2017); Jaarverslag De Lijn</t>
  </si>
  <si>
    <t>Vitaetom bvba</t>
  </si>
  <si>
    <t>Krijgsbaan 151 , 2070 Zwijndrecht</t>
  </si>
  <si>
    <t>WKK-0246 Vitaetom</t>
  </si>
  <si>
    <t>interne verbrandingsmotor</t>
  </si>
  <si>
    <t>WKK interne verbrandinsgmotor (gas)</t>
  </si>
  <si>
    <t>IMEA</t>
  </si>
  <si>
    <t>Keeponrunning bvba</t>
  </si>
  <si>
    <t>Westpoort 68 , 2070 Zwijndrecht</t>
  </si>
  <si>
    <t>WKK-0365 Keeponrunning</t>
  </si>
  <si>
    <t>Herdi BVBA</t>
  </si>
  <si>
    <t>Blauwe Hoevestraat 17 , 2070 Zwijndrecht</t>
  </si>
  <si>
    <t>WKK-0044 De Langhe</t>
  </si>
  <si>
    <t>Blauwe Hoevestraat 15, 2070 Zwijndrecht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</si>
</sst>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139984.10487291741</c:v>
                </c:pt>
                <c:pt idx="1">
                  <c:v>58546.713842659403</c:v>
                </c:pt>
                <c:pt idx="2">
                  <c:v>1279.3991244392901</c:v>
                </c:pt>
                <c:pt idx="3">
                  <c:v>55150.26652355447</c:v>
                </c:pt>
                <c:pt idx="4">
                  <c:v>67674.301207833152</c:v>
                </c:pt>
                <c:pt idx="5">
                  <c:v>225805.66052862004</c:v>
                </c:pt>
                <c:pt idx="6">
                  <c:v>2314.0720865133567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139984.10487291741</c:v>
                </c:pt>
                <c:pt idx="1">
                  <c:v>58546.713842659403</c:v>
                </c:pt>
                <c:pt idx="2">
                  <c:v>1279.3991244392901</c:v>
                </c:pt>
                <c:pt idx="3">
                  <c:v>55150.26652355447</c:v>
                </c:pt>
                <c:pt idx="4">
                  <c:v>67674.301207833152</c:v>
                </c:pt>
                <c:pt idx="5">
                  <c:v>225805.66052862004</c:v>
                </c:pt>
                <c:pt idx="6">
                  <c:v>2314.0720865133567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27620.304681380268</c:v>
                </c:pt>
                <c:pt idx="2">
                  <c:v>12037.636064787552</c:v>
                </c:pt>
                <c:pt idx="3">
                  <c:v>276.85626101519279</c:v>
                </c:pt>
                <c:pt idx="4">
                  <c:v>13049.651525238307</c:v>
                </c:pt>
                <c:pt idx="5">
                  <c:v>14610.613042712122</c:v>
                </c:pt>
                <c:pt idx="6">
                  <c:v>57236.599534804991</c:v>
                </c:pt>
                <c:pt idx="7">
                  <c:v>545.53318095870316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27620.304681380268</c:v>
                </c:pt>
                <c:pt idx="2">
                  <c:v>12037.636064787552</c:v>
                </c:pt>
                <c:pt idx="3">
                  <c:v>276.85626101519279</c:v>
                </c:pt>
                <c:pt idx="4">
                  <c:v>13049.651525238307</c:v>
                </c:pt>
                <c:pt idx="5">
                  <c:v>14610.613042712122</c:v>
                </c:pt>
                <c:pt idx="6">
                  <c:v>57236.599534804991</c:v>
                </c:pt>
                <c:pt idx="7">
                  <c:v>545.53318095870316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11056</v>
      </c>
      <c r="B6" s="395"/>
      <c r="C6" s="396"/>
    </row>
    <row r="7" spans="1:7" s="393" customFormat="1" ht="15.75" customHeight="1">
      <c r="A7" s="397" t="str">
        <f>txtMunicipality</f>
        <v>ZWIJNDRECHT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0.21639553734768102</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0.21639553734768102</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8022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362</v>
      </c>
      <c r="C14" s="332"/>
      <c r="D14" s="332"/>
      <c r="E14" s="332"/>
      <c r="F14" s="332"/>
    </row>
    <row r="15" spans="1:6">
      <c r="A15" s="1306" t="s">
        <v>183</v>
      </c>
      <c r="B15" s="1307">
        <v>0</v>
      </c>
      <c r="C15" s="332"/>
      <c r="D15" s="332"/>
      <c r="E15" s="332"/>
      <c r="F15" s="332"/>
    </row>
    <row r="16" spans="1:6">
      <c r="A16" s="1306" t="s">
        <v>6</v>
      </c>
      <c r="B16" s="1307">
        <v>25</v>
      </c>
      <c r="C16" s="332"/>
      <c r="D16" s="332"/>
      <c r="E16" s="332"/>
      <c r="F16" s="332"/>
    </row>
    <row r="17" spans="1:6">
      <c r="A17" s="1306" t="s">
        <v>7</v>
      </c>
      <c r="B17" s="1307">
        <v>16</v>
      </c>
      <c r="C17" s="332"/>
      <c r="D17" s="332"/>
      <c r="E17" s="332"/>
      <c r="F17" s="332"/>
    </row>
    <row r="18" spans="1:6">
      <c r="A18" s="1306" t="s">
        <v>8</v>
      </c>
      <c r="B18" s="1307">
        <v>26</v>
      </c>
      <c r="C18" s="332"/>
      <c r="D18" s="332"/>
      <c r="E18" s="332"/>
      <c r="F18" s="332"/>
    </row>
    <row r="19" spans="1:6">
      <c r="A19" s="1306" t="s">
        <v>9</v>
      </c>
      <c r="B19" s="1307">
        <v>21</v>
      </c>
      <c r="C19" s="332"/>
      <c r="D19" s="332"/>
      <c r="E19" s="332"/>
      <c r="F19" s="332"/>
    </row>
    <row r="20" spans="1:6">
      <c r="A20" s="1306" t="s">
        <v>10</v>
      </c>
      <c r="B20" s="1307">
        <v>13</v>
      </c>
      <c r="C20" s="332"/>
      <c r="D20" s="332"/>
      <c r="E20" s="332"/>
      <c r="F20" s="332"/>
    </row>
    <row r="21" spans="1:6">
      <c r="A21" s="1306" t="s">
        <v>11</v>
      </c>
      <c r="B21" s="1307">
        <v>77</v>
      </c>
      <c r="C21" s="332"/>
      <c r="D21" s="332"/>
      <c r="E21" s="332"/>
      <c r="F21" s="332"/>
    </row>
    <row r="22" spans="1:6">
      <c r="A22" s="1306" t="s">
        <v>12</v>
      </c>
      <c r="B22" s="1307">
        <v>1057</v>
      </c>
      <c r="C22" s="332"/>
      <c r="D22" s="332"/>
      <c r="E22" s="332"/>
      <c r="F22" s="332"/>
    </row>
    <row r="23" spans="1:6">
      <c r="A23" s="1306" t="s">
        <v>13</v>
      </c>
      <c r="B23" s="1307">
        <v>8</v>
      </c>
      <c r="C23" s="332"/>
      <c r="D23" s="332"/>
      <c r="E23" s="332"/>
      <c r="F23" s="332"/>
    </row>
    <row r="24" spans="1:6">
      <c r="A24" s="1306" t="s">
        <v>14</v>
      </c>
      <c r="B24" s="1307">
        <v>1</v>
      </c>
      <c r="C24" s="332"/>
      <c r="D24" s="332"/>
      <c r="E24" s="332"/>
      <c r="F24" s="332"/>
    </row>
    <row r="25" spans="1:6">
      <c r="A25" s="1306" t="s">
        <v>15</v>
      </c>
      <c r="B25" s="1307">
        <v>38</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2</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6</v>
      </c>
      <c r="D36" s="1307">
        <v>46743832.134777501</v>
      </c>
      <c r="E36" s="1307">
        <v>5</v>
      </c>
      <c r="F36" s="1307">
        <v>13340.407603023201</v>
      </c>
    </row>
    <row r="37" spans="1:6">
      <c r="A37" s="1306" t="s">
        <v>24</v>
      </c>
      <c r="B37" s="1306" t="s">
        <v>27</v>
      </c>
      <c r="C37" s="1307">
        <v>0</v>
      </c>
      <c r="D37" s="1307">
        <v>0</v>
      </c>
      <c r="E37" s="1307">
        <v>0</v>
      </c>
      <c r="F37" s="1307">
        <v>0</v>
      </c>
    </row>
    <row r="38" spans="1:6">
      <c r="A38" s="1306" t="s">
        <v>24</v>
      </c>
      <c r="B38" s="1306" t="s">
        <v>28</v>
      </c>
      <c r="C38" s="1307">
        <v>2</v>
      </c>
      <c r="D38" s="1307">
        <v>35054.265481613402</v>
      </c>
      <c r="E38" s="1307">
        <v>1</v>
      </c>
      <c r="F38" s="1307">
        <v>6419</v>
      </c>
    </row>
    <row r="39" spans="1:6">
      <c r="A39" s="1306" t="s">
        <v>29</v>
      </c>
      <c r="B39" s="1306" t="s">
        <v>30</v>
      </c>
      <c r="C39" s="1307">
        <v>6560</v>
      </c>
      <c r="D39" s="1307">
        <v>111411017.638061</v>
      </c>
      <c r="E39" s="1307">
        <v>8081</v>
      </c>
      <c r="F39" s="1307">
        <v>31627216.000220802</v>
      </c>
    </row>
    <row r="40" spans="1:6">
      <c r="A40" s="1306" t="s">
        <v>29</v>
      </c>
      <c r="B40" s="1306" t="s">
        <v>28</v>
      </c>
      <c r="C40" s="1307">
        <v>0</v>
      </c>
      <c r="D40" s="1307">
        <v>0</v>
      </c>
      <c r="E40" s="1307">
        <v>0</v>
      </c>
      <c r="F40" s="1307">
        <v>0</v>
      </c>
    </row>
    <row r="41" spans="1:6">
      <c r="A41" s="1306" t="s">
        <v>31</v>
      </c>
      <c r="B41" s="1306" t="s">
        <v>32</v>
      </c>
      <c r="C41" s="1307">
        <v>35</v>
      </c>
      <c r="D41" s="1307">
        <v>3534811.85188482</v>
      </c>
      <c r="E41" s="1307">
        <v>85</v>
      </c>
      <c r="F41" s="1307">
        <v>3135662.8726222399</v>
      </c>
    </row>
    <row r="42" spans="1:6">
      <c r="A42" s="1306" t="s">
        <v>31</v>
      </c>
      <c r="B42" s="1306" t="s">
        <v>33</v>
      </c>
      <c r="C42" s="1307">
        <v>0</v>
      </c>
      <c r="D42" s="1307">
        <v>0</v>
      </c>
      <c r="E42" s="1307">
        <v>3</v>
      </c>
      <c r="F42" s="1307">
        <v>3003384.6272402499</v>
      </c>
    </row>
    <row r="43" spans="1:6">
      <c r="A43" s="1306" t="s">
        <v>31</v>
      </c>
      <c r="B43" s="1306" t="s">
        <v>34</v>
      </c>
      <c r="C43" s="1307">
        <v>0</v>
      </c>
      <c r="D43" s="1307">
        <v>0</v>
      </c>
      <c r="E43" s="1307">
        <v>0</v>
      </c>
      <c r="F43" s="1307">
        <v>0</v>
      </c>
    </row>
    <row r="44" spans="1:6">
      <c r="A44" s="1306" t="s">
        <v>31</v>
      </c>
      <c r="B44" s="1306" t="s">
        <v>35</v>
      </c>
      <c r="C44" s="1307">
        <v>0</v>
      </c>
      <c r="D44" s="1307">
        <v>0</v>
      </c>
      <c r="E44" s="1307">
        <v>8</v>
      </c>
      <c r="F44" s="1307">
        <v>1452162.0363197399</v>
      </c>
    </row>
    <row r="45" spans="1:6">
      <c r="A45" s="1306" t="s">
        <v>31</v>
      </c>
      <c r="B45" s="1306" t="s">
        <v>36</v>
      </c>
      <c r="C45" s="1307">
        <v>0</v>
      </c>
      <c r="D45" s="1307">
        <v>0</v>
      </c>
      <c r="E45" s="1307">
        <v>5</v>
      </c>
      <c r="F45" s="1307">
        <v>40905.415000889698</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30</v>
      </c>
      <c r="D48" s="1307">
        <v>9982951.6499386504</v>
      </c>
      <c r="E48" s="1307">
        <v>25</v>
      </c>
      <c r="F48" s="1307">
        <v>32062552.1835224</v>
      </c>
    </row>
    <row r="49" spans="1:6">
      <c r="A49" s="1306" t="s">
        <v>31</v>
      </c>
      <c r="B49" s="1306" t="s">
        <v>39</v>
      </c>
      <c r="C49" s="1307">
        <v>0</v>
      </c>
      <c r="D49" s="1307">
        <v>0</v>
      </c>
      <c r="E49" s="1307">
        <v>0</v>
      </c>
      <c r="F49" s="1307">
        <v>0</v>
      </c>
    </row>
    <row r="50" spans="1:6">
      <c r="A50" s="1306" t="s">
        <v>31</v>
      </c>
      <c r="B50" s="1306" t="s">
        <v>40</v>
      </c>
      <c r="C50" s="1307">
        <v>3</v>
      </c>
      <c r="D50" s="1307">
        <v>523760.34627945803</v>
      </c>
      <c r="E50" s="1307">
        <v>4</v>
      </c>
      <c r="F50" s="1307">
        <v>210036.88862339</v>
      </c>
    </row>
    <row r="51" spans="1:6">
      <c r="A51" s="1306" t="s">
        <v>41</v>
      </c>
      <c r="B51" s="1306" t="s">
        <v>42</v>
      </c>
      <c r="C51" s="1307">
        <v>0</v>
      </c>
      <c r="D51" s="1307">
        <v>0</v>
      </c>
      <c r="E51" s="1307">
        <v>23</v>
      </c>
      <c r="F51" s="1307">
        <v>1281941.25966673</v>
      </c>
    </row>
    <row r="52" spans="1:6">
      <c r="A52" s="1306" t="s">
        <v>41</v>
      </c>
      <c r="B52" s="1306" t="s">
        <v>28</v>
      </c>
      <c r="C52" s="1307">
        <v>7</v>
      </c>
      <c r="D52" s="1307">
        <v>103527010.27533799</v>
      </c>
      <c r="E52" s="1307">
        <v>0</v>
      </c>
      <c r="F52" s="1307">
        <v>0</v>
      </c>
    </row>
    <row r="53" spans="1:6">
      <c r="A53" s="1306" t="s">
        <v>43</v>
      </c>
      <c r="B53" s="1306" t="s">
        <v>44</v>
      </c>
      <c r="C53" s="1307">
        <v>154</v>
      </c>
      <c r="D53" s="1307">
        <v>3308342.7109219199</v>
      </c>
      <c r="E53" s="1307">
        <v>276</v>
      </c>
      <c r="F53" s="1307">
        <v>1991703.48348703</v>
      </c>
    </row>
    <row r="54" spans="1:6">
      <c r="A54" s="1306" t="s">
        <v>45</v>
      </c>
      <c r="B54" s="1306" t="s">
        <v>46</v>
      </c>
      <c r="C54" s="1307">
        <v>0</v>
      </c>
      <c r="D54" s="1307">
        <v>0</v>
      </c>
      <c r="E54" s="1307">
        <v>4</v>
      </c>
      <c r="F54" s="1307">
        <v>1279399.12443929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39</v>
      </c>
      <c r="D57" s="1307">
        <v>2326479.79640842</v>
      </c>
      <c r="E57" s="1307">
        <v>80</v>
      </c>
      <c r="F57" s="1307">
        <v>2694159.50339026</v>
      </c>
    </row>
    <row r="58" spans="1:6">
      <c r="A58" s="1306" t="s">
        <v>48</v>
      </c>
      <c r="B58" s="1306" t="s">
        <v>50</v>
      </c>
      <c r="C58" s="1307">
        <v>13</v>
      </c>
      <c r="D58" s="1307">
        <v>314539.496723513</v>
      </c>
      <c r="E58" s="1307">
        <v>28</v>
      </c>
      <c r="F58" s="1307">
        <v>211879.69689128801</v>
      </c>
    </row>
    <row r="59" spans="1:6">
      <c r="A59" s="1306" t="s">
        <v>48</v>
      </c>
      <c r="B59" s="1306" t="s">
        <v>51</v>
      </c>
      <c r="C59" s="1307">
        <v>94</v>
      </c>
      <c r="D59" s="1307">
        <v>6039558.4365229998</v>
      </c>
      <c r="E59" s="1307">
        <v>155</v>
      </c>
      <c r="F59" s="1307">
        <v>8647690.0139459502</v>
      </c>
    </row>
    <row r="60" spans="1:6">
      <c r="A60" s="1306" t="s">
        <v>48</v>
      </c>
      <c r="B60" s="1306" t="s">
        <v>52</v>
      </c>
      <c r="C60" s="1307">
        <v>50</v>
      </c>
      <c r="D60" s="1307">
        <v>2078967.80618289</v>
      </c>
      <c r="E60" s="1307">
        <v>60</v>
      </c>
      <c r="F60" s="1307">
        <v>1368813.1920930699</v>
      </c>
    </row>
    <row r="61" spans="1:6">
      <c r="A61" s="1306" t="s">
        <v>48</v>
      </c>
      <c r="B61" s="1306" t="s">
        <v>53</v>
      </c>
      <c r="C61" s="1307">
        <v>123</v>
      </c>
      <c r="D61" s="1307">
        <v>9929259.19017574</v>
      </c>
      <c r="E61" s="1307">
        <v>352</v>
      </c>
      <c r="F61" s="1307">
        <v>7322035.49550761</v>
      </c>
    </row>
    <row r="62" spans="1:6">
      <c r="A62" s="1306" t="s">
        <v>48</v>
      </c>
      <c r="B62" s="1306" t="s">
        <v>54</v>
      </c>
      <c r="C62" s="1307">
        <v>3</v>
      </c>
      <c r="D62" s="1307">
        <v>961751.06652470201</v>
      </c>
      <c r="E62" s="1307">
        <v>6</v>
      </c>
      <c r="F62" s="1307">
        <v>121949.87703105601</v>
      </c>
    </row>
    <row r="63" spans="1:6">
      <c r="A63" s="1306" t="s">
        <v>48</v>
      </c>
      <c r="B63" s="1306" t="s">
        <v>28</v>
      </c>
      <c r="C63" s="1307">
        <v>98</v>
      </c>
      <c r="D63" s="1307">
        <v>8198403.0724253301</v>
      </c>
      <c r="E63" s="1307">
        <v>104</v>
      </c>
      <c r="F63" s="1307">
        <v>4033476.4580352502</v>
      </c>
    </row>
    <row r="64" spans="1:6">
      <c r="A64" s="1306" t="s">
        <v>55</v>
      </c>
      <c r="B64" s="1306" t="s">
        <v>56</v>
      </c>
      <c r="C64" s="1307">
        <v>0</v>
      </c>
      <c r="D64" s="1307">
        <v>0</v>
      </c>
      <c r="E64" s="1307">
        <v>0</v>
      </c>
      <c r="F64" s="1307">
        <v>0</v>
      </c>
    </row>
    <row r="65" spans="1:6">
      <c r="A65" s="1306" t="s">
        <v>55</v>
      </c>
      <c r="B65" s="1306" t="s">
        <v>28</v>
      </c>
      <c r="C65" s="1307">
        <v>2</v>
      </c>
      <c r="D65" s="1307">
        <v>33711.247860564101</v>
      </c>
      <c r="E65" s="1307">
        <v>3</v>
      </c>
      <c r="F65" s="1307">
        <v>21361.607965206498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395311.43015912198</v>
      </c>
      <c r="E68" s="1310">
        <v>4</v>
      </c>
      <c r="F68" s="1310">
        <v>267546.89536636299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40588207</v>
      </c>
      <c r="E73" s="456"/>
      <c r="F73" s="332"/>
    </row>
    <row r="74" spans="1:6">
      <c r="A74" s="1306" t="s">
        <v>63</v>
      </c>
      <c r="B74" s="1306" t="s">
        <v>724</v>
      </c>
      <c r="C74" s="1320" t="s">
        <v>725</v>
      </c>
      <c r="D74" s="1321">
        <v>3547871.4821331613</v>
      </c>
      <c r="E74" s="456"/>
      <c r="F74" s="332"/>
    </row>
    <row r="75" spans="1:6">
      <c r="A75" s="1306" t="s">
        <v>64</v>
      </c>
      <c r="B75" s="1306" t="s">
        <v>722</v>
      </c>
      <c r="C75" s="1320" t="s">
        <v>726</v>
      </c>
      <c r="D75" s="1321">
        <v>13738964</v>
      </c>
      <c r="E75" s="456"/>
      <c r="F75" s="332"/>
    </row>
    <row r="76" spans="1:6">
      <c r="A76" s="1306" t="s">
        <v>64</v>
      </c>
      <c r="B76" s="1306" t="s">
        <v>724</v>
      </c>
      <c r="C76" s="1320" t="s">
        <v>727</v>
      </c>
      <c r="D76" s="1321">
        <v>1880067.4821331615</v>
      </c>
      <c r="E76" s="456"/>
      <c r="F76" s="332"/>
    </row>
    <row r="77" spans="1:6">
      <c r="A77" s="1306" t="s">
        <v>65</v>
      </c>
      <c r="B77" s="1306" t="s">
        <v>722</v>
      </c>
      <c r="C77" s="1320" t="s">
        <v>728</v>
      </c>
      <c r="D77" s="1321">
        <v>133812938</v>
      </c>
      <c r="E77" s="456"/>
      <c r="F77" s="332"/>
    </row>
    <row r="78" spans="1:6">
      <c r="A78" s="1301" t="s">
        <v>65</v>
      </c>
      <c r="B78" s="1301" t="s">
        <v>724</v>
      </c>
      <c r="C78" s="1301" t="s">
        <v>729</v>
      </c>
      <c r="D78" s="1322">
        <v>30995199</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302057.03573367698</v>
      </c>
      <c r="C83" s="456"/>
      <c r="D83" s="332"/>
      <c r="E83" s="332"/>
      <c r="F83" s="332"/>
    </row>
    <row r="84" spans="1:6">
      <c r="A84" s="1301" t="s">
        <v>336</v>
      </c>
      <c r="B84" s="1322">
        <v>332635.57438413141</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1762.2781543025294</v>
      </c>
      <c r="C91" s="332"/>
      <c r="D91" s="332"/>
      <c r="E91" s="332"/>
      <c r="F91" s="332"/>
    </row>
    <row r="92" spans="1:6">
      <c r="A92" s="1301" t="s">
        <v>68</v>
      </c>
      <c r="B92" s="1302">
        <v>2722.4602624813979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5156</v>
      </c>
      <c r="C97" s="332"/>
      <c r="D97" s="332"/>
      <c r="E97" s="332"/>
      <c r="F97" s="332"/>
    </row>
    <row r="98" spans="1:6">
      <c r="A98" s="1306" t="s">
        <v>71</v>
      </c>
      <c r="B98" s="1307">
        <v>14</v>
      </c>
      <c r="C98" s="332"/>
      <c r="D98" s="332"/>
      <c r="E98" s="332"/>
      <c r="F98" s="332"/>
    </row>
    <row r="99" spans="1:6">
      <c r="A99" s="1306" t="s">
        <v>72</v>
      </c>
      <c r="B99" s="1307">
        <v>13</v>
      </c>
      <c r="C99" s="332"/>
      <c r="D99" s="332"/>
      <c r="E99" s="332"/>
      <c r="F99" s="332"/>
    </row>
    <row r="100" spans="1:6">
      <c r="A100" s="1306" t="s">
        <v>73</v>
      </c>
      <c r="B100" s="1307">
        <v>969</v>
      </c>
      <c r="C100" s="332"/>
      <c r="D100" s="332"/>
      <c r="E100" s="332"/>
      <c r="F100" s="332"/>
    </row>
    <row r="101" spans="1:6">
      <c r="A101" s="1306" t="s">
        <v>74</v>
      </c>
      <c r="B101" s="1307">
        <v>49</v>
      </c>
      <c r="C101" s="332"/>
      <c r="D101" s="332"/>
      <c r="E101" s="332"/>
      <c r="F101" s="332"/>
    </row>
    <row r="102" spans="1:6">
      <c r="A102" s="1306" t="s">
        <v>75</v>
      </c>
      <c r="B102" s="1307">
        <v>101</v>
      </c>
      <c r="C102" s="332"/>
      <c r="D102" s="332"/>
      <c r="E102" s="332"/>
      <c r="F102" s="332"/>
    </row>
    <row r="103" spans="1:6">
      <c r="A103" s="1306" t="s">
        <v>76</v>
      </c>
      <c r="B103" s="1307">
        <v>138</v>
      </c>
      <c r="C103" s="332"/>
      <c r="D103" s="332"/>
      <c r="E103" s="332"/>
      <c r="F103" s="332"/>
    </row>
    <row r="104" spans="1:6">
      <c r="A104" s="1306" t="s">
        <v>77</v>
      </c>
      <c r="B104" s="1307">
        <v>696</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3</v>
      </c>
      <c r="C123" s="1307">
        <v>11</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55</v>
      </c>
      <c r="C129" s="332"/>
      <c r="D129" s="332"/>
      <c r="E129" s="332"/>
      <c r="F129" s="332"/>
    </row>
    <row r="130" spans="1:6">
      <c r="A130" s="1306" t="s">
        <v>294</v>
      </c>
      <c r="B130" s="1307">
        <v>0</v>
      </c>
      <c r="C130" s="332"/>
      <c r="D130" s="332"/>
      <c r="E130" s="332"/>
      <c r="F130" s="332"/>
    </row>
    <row r="131" spans="1:6">
      <c r="A131" s="1306" t="s">
        <v>295</v>
      </c>
      <c r="B131" s="1307">
        <v>1</v>
      </c>
      <c r="C131" s="332"/>
      <c r="D131" s="332"/>
      <c r="E131" s="332"/>
      <c r="F131" s="332"/>
    </row>
    <row r="132" spans="1:6">
      <c r="A132" s="1301" t="s">
        <v>296</v>
      </c>
      <c r="B132" s="1302">
        <v>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103450.40866180573</v>
      </c>
      <c r="C3" s="43" t="s">
        <v>169</v>
      </c>
      <c r="D3" s="43"/>
      <c r="E3" s="156"/>
      <c r="F3" s="43"/>
      <c r="G3" s="43"/>
      <c r="H3" s="43"/>
      <c r="I3" s="43"/>
      <c r="J3" s="43"/>
      <c r="K3" s="96"/>
    </row>
    <row r="4" spans="1:11">
      <c r="A4" s="363" t="s">
        <v>170</v>
      </c>
      <c r="B4" s="49">
        <f>IF(ISERROR('SEAP template'!B78+'SEAP template'!C78),0,'SEAP template'!B78+'SEAP template'!C78)</f>
        <v>35408.738416783926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7348.9976470588244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0.21639553734768102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10498.568067226892</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44177.142857142855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1279.3991244392901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1279.3991244392901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0.21639553734768102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276.85626101519279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31627.2160002208</v>
      </c>
      <c r="C5" s="17">
        <f>IF(ISERROR('Eigen informatie GS &amp; warmtenet'!B57),0,'Eigen informatie GS &amp; warmtenet'!B57)</f>
        <v>0</v>
      </c>
      <c r="D5" s="30">
        <f>(SUM(HH_hh_gas_kWh,HH_rest_gas_kWh)/1000)*0.902</f>
        <v>100492.73790953103</v>
      </c>
      <c r="E5" s="17">
        <f>B46*B57</f>
        <v>420.41451242144916</v>
      </c>
      <c r="F5" s="17">
        <f>B51*B62</f>
        <v>0</v>
      </c>
      <c r="G5" s="18"/>
      <c r="H5" s="17"/>
      <c r="I5" s="17"/>
      <c r="J5" s="17">
        <f>B50*B61+C50*C61</f>
        <v>0</v>
      </c>
      <c r="K5" s="17"/>
      <c r="L5" s="17"/>
      <c r="M5" s="17"/>
      <c r="N5" s="17">
        <f>B48*B59+C48*C59</f>
        <v>5424.1816297749538</v>
      </c>
      <c r="O5" s="17">
        <f>B69*B70*B71</f>
        <v>104.74333333333335</v>
      </c>
      <c r="P5" s="17">
        <f>B77*B78*B79/1000-B77*B78*B79/1000/B80</f>
        <v>152.53333333333333</v>
      </c>
    </row>
    <row r="6" spans="1:16">
      <c r="A6" s="16" t="s">
        <v>633</v>
      </c>
      <c r="B6" s="779">
        <f>kWh_PV_kleiner_dan_10kW</f>
        <v>1762.2781543025294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33389.494154523331</v>
      </c>
      <c r="C8" s="21">
        <f>C5</f>
        <v>0</v>
      </c>
      <c r="D8" s="21">
        <f>D5</f>
        <v>100492.73790953103</v>
      </c>
      <c r="E8" s="21">
        <f>E5</f>
        <v>420.41451242144916</v>
      </c>
      <c r="F8" s="21">
        <f>F5</f>
        <v>0</v>
      </c>
      <c r="G8" s="21"/>
      <c r="H8" s="21"/>
      <c r="I8" s="21"/>
      <c r="J8" s="21">
        <f>J5</f>
        <v>0</v>
      </c>
      <c r="K8" s="21"/>
      <c r="L8" s="21">
        <f>L5</f>
        <v>0</v>
      </c>
      <c r="M8" s="21">
        <f>M5</f>
        <v>0</v>
      </c>
      <c r="N8" s="21">
        <f>N5</f>
        <v>5424.1816297749538</v>
      </c>
      <c r="O8" s="21">
        <f>O5</f>
        <v>104.74333333333335</v>
      </c>
      <c r="P8" s="21">
        <f>P5</f>
        <v>152.53333333333333</v>
      </c>
    </row>
    <row r="9" spans="1:16">
      <c r="B9" s="19"/>
      <c r="C9" s="19"/>
      <c r="D9" s="261"/>
      <c r="E9" s="19"/>
      <c r="F9" s="19"/>
      <c r="G9" s="19"/>
      <c r="H9" s="19"/>
      <c r="I9" s="19"/>
      <c r="J9" s="19"/>
      <c r="K9" s="19"/>
      <c r="L9" s="19"/>
      <c r="M9" s="19"/>
      <c r="N9" s="19"/>
      <c r="O9" s="19"/>
      <c r="P9" s="19"/>
    </row>
    <row r="10" spans="1:16">
      <c r="A10" s="24" t="s">
        <v>213</v>
      </c>
      <c r="B10" s="25">
        <f ca="1">'EF ele_warmte'!B12</f>
        <v>0.21639553734768102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7225.3375293353301</v>
      </c>
      <c r="C12" s="23">
        <f ca="1">C10*C8</f>
        <v>0</v>
      </c>
      <c r="D12" s="23">
        <f>D8*D10</f>
        <v>20299.533057725268</v>
      </c>
      <c r="E12" s="23">
        <f>E10*E8</f>
        <v>95.434094319668958</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5156</v>
      </c>
      <c r="C18" s="168" t="s">
        <v>110</v>
      </c>
      <c r="D18" s="230"/>
      <c r="E18" s="15"/>
    </row>
    <row r="19" spans="1:7">
      <c r="A19" s="173" t="s">
        <v>71</v>
      </c>
      <c r="B19" s="37">
        <f>aantalw2001_ander</f>
        <v>14</v>
      </c>
      <c r="C19" s="168" t="s">
        <v>110</v>
      </c>
      <c r="D19" s="231"/>
      <c r="E19" s="15"/>
    </row>
    <row r="20" spans="1:7">
      <c r="A20" s="173" t="s">
        <v>72</v>
      </c>
      <c r="B20" s="37">
        <f>aantalw2001_propaan</f>
        <v>13</v>
      </c>
      <c r="C20" s="169">
        <f>IF(ISERROR(B20/SUM($B$20,$B$21,$B$22)*100),0,B20/SUM($B$20,$B$21,$B$22)*100)</f>
        <v>1.2609117361784674</v>
      </c>
      <c r="D20" s="231"/>
      <c r="E20" s="15"/>
    </row>
    <row r="21" spans="1:7">
      <c r="A21" s="173" t="s">
        <v>73</v>
      </c>
      <c r="B21" s="37">
        <f>aantalw2001_elektriciteit</f>
        <v>969</v>
      </c>
      <c r="C21" s="169">
        <f>IF(ISERROR(B21/SUM($B$20,$B$21,$B$22)*100),0,B21/SUM($B$20,$B$21,$B$22)*100)</f>
        <v>93.986420950533471</v>
      </c>
      <c r="D21" s="231"/>
      <c r="E21" s="15"/>
    </row>
    <row r="22" spans="1:7">
      <c r="A22" s="173" t="s">
        <v>74</v>
      </c>
      <c r="B22" s="37">
        <f>aantalw2001_hout</f>
        <v>49</v>
      </c>
      <c r="C22" s="169">
        <f>IF(ISERROR(B22/SUM($B$20,$B$21,$B$22)*100),0,B22/SUM($B$20,$B$21,$B$22)*100)</f>
        <v>4.7526673132880699</v>
      </c>
      <c r="D22" s="231"/>
      <c r="E22" s="15"/>
    </row>
    <row r="23" spans="1:7">
      <c r="A23" s="173" t="s">
        <v>75</v>
      </c>
      <c r="B23" s="37">
        <f>aantalw2001_niet_gespec</f>
        <v>101</v>
      </c>
      <c r="C23" s="168" t="s">
        <v>110</v>
      </c>
      <c r="D23" s="230"/>
      <c r="E23" s="15"/>
    </row>
    <row r="24" spans="1:7">
      <c r="A24" s="173" t="s">
        <v>76</v>
      </c>
      <c r="B24" s="37">
        <f>aantalw2001_steenkool</f>
        <v>138</v>
      </c>
      <c r="C24" s="168" t="s">
        <v>110</v>
      </c>
      <c r="D24" s="231"/>
      <c r="E24" s="15"/>
    </row>
    <row r="25" spans="1:7">
      <c r="A25" s="173" t="s">
        <v>77</v>
      </c>
      <c r="B25" s="37">
        <f>aantalw2001_stookolie</f>
        <v>696</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8022</v>
      </c>
      <c r="C28" s="36"/>
      <c r="D28" s="230"/>
    </row>
    <row r="29" spans="1:7" s="15" customFormat="1">
      <c r="A29" s="232" t="s">
        <v>743</v>
      </c>
      <c r="B29" s="37">
        <f>SUM(HH_hh_gas_aantal,HH_rest_gas_aantal)</f>
        <v>6560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6560</v>
      </c>
      <c r="C32" s="169">
        <f>IF(ISERROR(B32/SUM($B$32,$B$34,$B$35,$B$36,$B$38,$B$39)*100),0,B32/SUM($B$32,$B$34,$B$35,$B$36,$B$38,$B$39)*100)</f>
        <v>81.85675068629898</v>
      </c>
      <c r="D32" s="235"/>
      <c r="G32" s="15"/>
    </row>
    <row r="33" spans="1:7">
      <c r="A33" s="173" t="s">
        <v>71</v>
      </c>
      <c r="B33" s="34" t="s">
        <v>110</v>
      </c>
      <c r="C33" s="169"/>
      <c r="D33" s="235"/>
      <c r="G33" s="15"/>
    </row>
    <row r="34" spans="1:7">
      <c r="A34" s="173" t="s">
        <v>72</v>
      </c>
      <c r="B34" s="33">
        <f>IF((($B$28-$B$32-$B$39-$B$77-$B$38)*C20/100)&lt;0,0,($B$28-$B$32-$B$39-$B$77-$B$38)*C20/100)</f>
        <v>18.333656644034917</v>
      </c>
      <c r="C34" s="169">
        <f>IF(ISERROR(B34/SUM($B$32,$B$34,$B$35,$B$36,$B$38,$B$39)*100),0,B34/SUM($B$32,$B$34,$B$35,$B$36,$B$38,$B$39)*100)</f>
        <v>0.22877035992057548</v>
      </c>
      <c r="D34" s="235"/>
      <c r="G34" s="15"/>
    </row>
    <row r="35" spans="1:7">
      <c r="A35" s="173" t="s">
        <v>73</v>
      </c>
      <c r="B35" s="33">
        <f>IF((($B$28-$B$32-$B$39-$B$77-$B$38)*C21/100)&lt;0,0,($B$28-$B$32-$B$39-$B$77-$B$38)*C21/100)</f>
        <v>1366.5625606207568</v>
      </c>
      <c r="C35" s="169">
        <f>IF(ISERROR(B35/SUM($B$32,$B$34,$B$35,$B$36,$B$38,$B$39)*100),0,B35/SUM($B$32,$B$34,$B$35,$B$36,$B$38,$B$39)*100)</f>
        <v>17.052190674079821</v>
      </c>
      <c r="D35" s="235"/>
      <c r="G35" s="15"/>
    </row>
    <row r="36" spans="1:7">
      <c r="A36" s="173" t="s">
        <v>74</v>
      </c>
      <c r="B36" s="33">
        <f>IF((($B$28-$B$32-$B$39-$B$77-$B$38)*C22/100)&lt;0,0,($B$28-$B$32-$B$39-$B$77-$B$38)*C22/100)</f>
        <v>69.10378273520854</v>
      </c>
      <c r="C36" s="169">
        <f>IF(ISERROR(B36/SUM($B$32,$B$34,$B$35,$B$36,$B$38,$B$39)*100),0,B36/SUM($B$32,$B$34,$B$35,$B$36,$B$38,$B$39)*100)</f>
        <v>0.8622882797006306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6560</v>
      </c>
      <c r="C44" s="34" t="s">
        <v>110</v>
      </c>
      <c r="D44" s="176"/>
    </row>
    <row r="45" spans="1:7">
      <c r="A45" s="173" t="s">
        <v>71</v>
      </c>
      <c r="B45" s="33" t="str">
        <f t="shared" si="0"/>
        <v>-</v>
      </c>
      <c r="C45" s="34" t="s">
        <v>110</v>
      </c>
      <c r="D45" s="176"/>
    </row>
    <row r="46" spans="1:7">
      <c r="A46" s="173" t="s">
        <v>72</v>
      </c>
      <c r="B46" s="33">
        <f t="shared" si="0"/>
        <v>18.333656644034917</v>
      </c>
      <c r="C46" s="34" t="s">
        <v>110</v>
      </c>
      <c r="D46" s="176"/>
    </row>
    <row r="47" spans="1:7">
      <c r="A47" s="173" t="s">
        <v>73</v>
      </c>
      <c r="B47" s="33">
        <f t="shared" si="0"/>
        <v>1366.5625606207568</v>
      </c>
      <c r="C47" s="34" t="s">
        <v>110</v>
      </c>
      <c r="D47" s="176"/>
    </row>
    <row r="48" spans="1:7">
      <c r="A48" s="173" t="s">
        <v>74</v>
      </c>
      <c r="B48" s="33">
        <f t="shared" si="0"/>
        <v>69.10378273520854</v>
      </c>
      <c r="C48" s="33">
        <f>B48*10</f>
        <v>691.0378273520854</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24400.004236894481</v>
      </c>
      <c r="C5" s="17">
        <f>IF(ISERROR('Eigen informatie GS &amp; warmtenet'!B58),0,'Eigen informatie GS &amp; warmtenet'!B58)</f>
        <v>0</v>
      </c>
      <c r="D5" s="30">
        <f>SUM(D6:D12)</f>
        <v>26923.760896197164</v>
      </c>
      <c r="E5" s="17">
        <f>SUM(E6:E12)</f>
        <v>291.84938386905435</v>
      </c>
      <c r="F5" s="17">
        <f>SUM(F6:F12)</f>
        <v>4693.6804671242717</v>
      </c>
      <c r="G5" s="18"/>
      <c r="H5" s="17"/>
      <c r="I5" s="17"/>
      <c r="J5" s="17">
        <f>SUM(J6:J12)</f>
        <v>0</v>
      </c>
      <c r="K5" s="17"/>
      <c r="L5" s="17"/>
      <c r="M5" s="17"/>
      <c r="N5" s="17">
        <f>SUM(N6:N12)</f>
        <v>2227.9950490506253</v>
      </c>
      <c r="O5" s="17">
        <f>B38*B39*B40</f>
        <v>0</v>
      </c>
      <c r="P5" s="17">
        <f>B46*B47*B48/1000-B46*B47*B48/1000/B49</f>
        <v>19.066666666666666</v>
      </c>
      <c r="R5" s="32"/>
    </row>
    <row r="6" spans="1:18">
      <c r="A6" s="32" t="s">
        <v>53</v>
      </c>
      <c r="B6" s="37">
        <f>B26</f>
        <v>7322.03549550761</v>
      </c>
      <c r="C6" s="33"/>
      <c r="D6" s="37">
        <f>IF(ISERROR(TER_kantoor_gas_kWh/1000),0,TER_kantoor_gas_kWh/1000)*0.902</f>
        <v>8956.1917895385177</v>
      </c>
      <c r="E6" s="33">
        <f>$C$26*'E Balans VL '!I12/100/3.6*1000000</f>
        <v>28.44765806528159</v>
      </c>
      <c r="F6" s="33">
        <f>$C$26*('E Balans VL '!L12+'E Balans VL '!N12)/100/3.6*1000000</f>
        <v>1113.614973655521</v>
      </c>
      <c r="G6" s="34"/>
      <c r="H6" s="33"/>
      <c r="I6" s="33"/>
      <c r="J6" s="33">
        <f>$C$26*('E Balans VL '!D12+'E Balans VL '!E12)/100/3.6*1000000</f>
        <v>0</v>
      </c>
      <c r="K6" s="33"/>
      <c r="L6" s="33"/>
      <c r="M6" s="33"/>
      <c r="N6" s="33">
        <f>$C$26*'E Balans VL '!Y12/100/3.6*1000000</f>
        <v>4.0353187162753281</v>
      </c>
      <c r="O6" s="33"/>
      <c r="P6" s="33"/>
      <c r="R6" s="32"/>
    </row>
    <row r="7" spans="1:18">
      <c r="A7" s="32" t="s">
        <v>52</v>
      </c>
      <c r="B7" s="37">
        <f t="shared" ref="B7:B12" si="0">B27</f>
        <v>1368.8131920930698</v>
      </c>
      <c r="C7" s="33"/>
      <c r="D7" s="37">
        <f>IF(ISERROR(TER_horeca_gas_kWh/1000),0,TER_horeca_gas_kWh/1000)*0.902</f>
        <v>1875.2289611769668</v>
      </c>
      <c r="E7" s="33">
        <f>$C$27*'E Balans VL '!I9/100/3.6*1000000</f>
        <v>77.105613070617053</v>
      </c>
      <c r="F7" s="33">
        <f>$C$27*('E Balans VL '!L9+'E Balans VL '!N9)/100/3.6*1000000</f>
        <v>394.68377542674102</v>
      </c>
      <c r="G7" s="34"/>
      <c r="H7" s="33"/>
      <c r="I7" s="33"/>
      <c r="J7" s="33">
        <f>$C$27*('E Balans VL '!D9+'E Balans VL '!E9)/100/3.6*1000000</f>
        <v>0</v>
      </c>
      <c r="K7" s="33"/>
      <c r="L7" s="33"/>
      <c r="M7" s="33"/>
      <c r="N7" s="33">
        <f>$C$27*'E Balans VL '!Y9/100/3.6*1000000</f>
        <v>0.37792220931430809</v>
      </c>
      <c r="O7" s="33"/>
      <c r="P7" s="33"/>
      <c r="R7" s="32"/>
    </row>
    <row r="8" spans="1:18">
      <c r="A8" s="6" t="s">
        <v>51</v>
      </c>
      <c r="B8" s="37">
        <f t="shared" si="0"/>
        <v>8647.6900139459503</v>
      </c>
      <c r="C8" s="33"/>
      <c r="D8" s="37">
        <f>IF(ISERROR(TER_handel_gas_kWh/1000),0,TER_handel_gas_kWh/1000)*0.902</f>
        <v>5447.6817097437461</v>
      </c>
      <c r="E8" s="33">
        <f>$C$28*'E Balans VL '!I13/100/3.6*1000000</f>
        <v>124.64255179469208</v>
      </c>
      <c r="F8" s="33">
        <f>$C$28*('E Balans VL '!L13+'E Balans VL '!N13)/100/3.6*1000000</f>
        <v>1502.3051465331953</v>
      </c>
      <c r="G8" s="34"/>
      <c r="H8" s="33"/>
      <c r="I8" s="33"/>
      <c r="J8" s="33">
        <f>$C$28*('E Balans VL '!D13+'E Balans VL '!E13)/100/3.6*1000000</f>
        <v>0</v>
      </c>
      <c r="K8" s="33"/>
      <c r="L8" s="33"/>
      <c r="M8" s="33"/>
      <c r="N8" s="33">
        <f>$C$28*'E Balans VL '!Y13/100/3.6*1000000</f>
        <v>25.909441962465792</v>
      </c>
      <c r="O8" s="33"/>
      <c r="P8" s="33"/>
      <c r="R8" s="32"/>
    </row>
    <row r="9" spans="1:18">
      <c r="A9" s="32" t="s">
        <v>50</v>
      </c>
      <c r="B9" s="37">
        <f t="shared" si="0"/>
        <v>211.87969689128801</v>
      </c>
      <c r="C9" s="33"/>
      <c r="D9" s="37">
        <f>IF(ISERROR(TER_gezond_gas_kWh/1000),0,TER_gezond_gas_kWh/1000)*0.902</f>
        <v>283.71462604460874</v>
      </c>
      <c r="E9" s="33">
        <f>$C$29*'E Balans VL '!I10/100/3.6*1000000</f>
        <v>0.22634243348055946</v>
      </c>
      <c r="F9" s="33">
        <f>$C$29*('E Balans VL '!L10+'E Balans VL '!N10)/100/3.6*1000000</f>
        <v>34.564017828592583</v>
      </c>
      <c r="G9" s="34"/>
      <c r="H9" s="33"/>
      <c r="I9" s="33"/>
      <c r="J9" s="33">
        <f>$C$29*('E Balans VL '!D10+'E Balans VL '!E10)/100/3.6*1000000</f>
        <v>0</v>
      </c>
      <c r="K9" s="33"/>
      <c r="L9" s="33"/>
      <c r="M9" s="33"/>
      <c r="N9" s="33">
        <f>$C$29*'E Balans VL '!Y10/100/3.6*1000000</f>
        <v>2.1811805833526785</v>
      </c>
      <c r="O9" s="33"/>
      <c r="P9" s="33"/>
      <c r="R9" s="32"/>
    </row>
    <row r="10" spans="1:18">
      <c r="A10" s="32" t="s">
        <v>49</v>
      </c>
      <c r="B10" s="37">
        <f t="shared" si="0"/>
        <v>2694.1595033902599</v>
      </c>
      <c r="C10" s="33"/>
      <c r="D10" s="37">
        <f>IF(ISERROR(TER_ander_gas_kWh/1000),0,TER_ander_gas_kWh/1000)*0.902</f>
        <v>2098.4847763603948</v>
      </c>
      <c r="E10" s="33">
        <f>$C$30*'E Balans VL '!I14/100/3.6*1000000</f>
        <v>12.3900297440095</v>
      </c>
      <c r="F10" s="33">
        <f>$C$30*('E Balans VL '!L14+'E Balans VL '!N14)/100/3.6*1000000</f>
        <v>807.52458459478396</v>
      </c>
      <c r="G10" s="34"/>
      <c r="H10" s="33"/>
      <c r="I10" s="33"/>
      <c r="J10" s="33">
        <f>$C$30*('E Balans VL '!D14+'E Balans VL '!E14)/100/3.6*1000000</f>
        <v>0</v>
      </c>
      <c r="K10" s="33"/>
      <c r="L10" s="33"/>
      <c r="M10" s="33"/>
      <c r="N10" s="33">
        <f>$C$30*'E Balans VL '!Y14/100/3.6*1000000</f>
        <v>1875.312857899401</v>
      </c>
      <c r="O10" s="33"/>
      <c r="P10" s="33"/>
      <c r="R10" s="32"/>
    </row>
    <row r="11" spans="1:18">
      <c r="A11" s="32" t="s">
        <v>54</v>
      </c>
      <c r="B11" s="37">
        <f t="shared" si="0"/>
        <v>121.949877031056</v>
      </c>
      <c r="C11" s="33"/>
      <c r="D11" s="37">
        <f>IF(ISERROR(TER_onderwijs_gas_kWh/1000),0,TER_onderwijs_gas_kWh/1000)*0.902</f>
        <v>867.4994620052812</v>
      </c>
      <c r="E11" s="33">
        <f>$C$31*'E Balans VL '!I11/100/3.6*1000000</f>
        <v>0.11312454842563732</v>
      </c>
      <c r="F11" s="33">
        <f>$C$31*('E Balans VL '!L11+'E Balans VL '!N11)/100/3.6*1000000</f>
        <v>42.838188984598304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4033.4764580352503</v>
      </c>
      <c r="C12" s="33"/>
      <c r="D12" s="37">
        <f>IF(ISERROR(TER_rest_gas_kWh/1000),0,TER_rest_gas_kWh/1000)*0.902</f>
        <v>7394.9595713276476</v>
      </c>
      <c r="E12" s="33">
        <f>$C$32*'E Balans VL '!I8/100/3.6*1000000</f>
        <v>48.924064212547904</v>
      </c>
      <c r="F12" s="33">
        <f>$C$32*('E Balans VL '!L8+'E Balans VL '!N8)/100/3.6*1000000</f>
        <v>798.14978010083951</v>
      </c>
      <c r="G12" s="34"/>
      <c r="H12" s="33"/>
      <c r="I12" s="33"/>
      <c r="J12" s="33">
        <f>$C$32*('E Balans VL '!D8+'E Balans VL '!E8)/100/3.6*1000000</f>
        <v>0</v>
      </c>
      <c r="K12" s="33"/>
      <c r="L12" s="33"/>
      <c r="M12" s="33"/>
      <c r="N12" s="33">
        <f>$C$32*'E Balans VL '!Y8/100/3.6*1000000</f>
        <v>320.17832767981645</v>
      </c>
      <c r="O12" s="33"/>
      <c r="P12" s="33"/>
      <c r="R12" s="32"/>
    </row>
    <row r="13" spans="1:18">
      <c r="A13" s="16" t="s">
        <v>496</v>
      </c>
      <c r="B13" s="249">
        <f ca="1">'lokale energieproductie'!N40+'lokale energieproductie'!N33</f>
        <v>22.5</v>
      </c>
      <c r="C13" s="249">
        <f ca="1">'lokale energieproductie'!O40+'lokale energieproductie'!O33</f>
        <v>32.142857142857146</v>
      </c>
      <c r="D13" s="310">
        <f ca="1">('lokale energieproductie'!P33+'lokale energieproductie'!P40)*(-1)</f>
        <v>-64.285714285714292</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24422.504236894481</v>
      </c>
      <c r="C16" s="21">
        <f t="shared" ca="1" si="1"/>
        <v>32.142857142857146</v>
      </c>
      <c r="D16" s="21">
        <f t="shared" ca="1" si="1"/>
        <v>26859.47518191145</v>
      </c>
      <c r="E16" s="21">
        <f t="shared" si="1"/>
        <v>291.84938386905435</v>
      </c>
      <c r="F16" s="21">
        <f t="shared" ca="1" si="1"/>
        <v>4693.6804671242717</v>
      </c>
      <c r="G16" s="21">
        <f t="shared" si="1"/>
        <v>0</v>
      </c>
      <c r="H16" s="21">
        <f t="shared" si="1"/>
        <v>0</v>
      </c>
      <c r="I16" s="21">
        <f t="shared" si="1"/>
        <v>0</v>
      </c>
      <c r="J16" s="21">
        <f t="shared" si="1"/>
        <v>0</v>
      </c>
      <c r="K16" s="21">
        <f t="shared" si="1"/>
        <v>0</v>
      </c>
      <c r="L16" s="21">
        <f t="shared" ca="1" si="1"/>
        <v>0</v>
      </c>
      <c r="M16" s="21">
        <f t="shared" si="1"/>
        <v>0</v>
      </c>
      <c r="N16" s="21">
        <f t="shared" ca="1" si="1"/>
        <v>2227.9950490506253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0.21639553734768102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5284.9209277187974</v>
      </c>
      <c r="C20" s="23">
        <f t="shared" ref="C20:P20" ca="1" si="2">C16*C18</f>
        <v>7.6386554621848752</v>
      </c>
      <c r="D20" s="23">
        <f t="shared" ca="1" si="2"/>
        <v>5425.6139867461134</v>
      </c>
      <c r="E20" s="23">
        <f t="shared" si="2"/>
        <v>66.249810138275336</v>
      </c>
      <c r="F20" s="23">
        <f t="shared" ca="1" si="2"/>
        <v>1253.2126847221807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7322.03549550761</v>
      </c>
      <c r="C26" s="39">
        <f>IF(ISERROR(B26*3.6/1000000/'E Balans VL '!Z12*100),0,B26*3.6/1000000/'E Balans VL '!Z12*100)</f>
        <v>0.1555236607894801</v>
      </c>
      <c r="D26" s="239" t="s">
        <v>689</v>
      </c>
      <c r="F26" s="6"/>
    </row>
    <row r="27" spans="1:18">
      <c r="A27" s="233" t="s">
        <v>52</v>
      </c>
      <c r="B27" s="33">
        <f>IF(ISERROR(TER_horeca_ele_kWh/1000),0,TER_horeca_ele_kWh/1000)</f>
        <v>1368.8131920930698</v>
      </c>
      <c r="C27" s="39">
        <f>IF(ISERROR(B27*3.6/1000000/'E Balans VL '!Z9*100),0,B27*3.6/1000000/'E Balans VL '!Z9*100)</f>
        <v>0.10643356186474835</v>
      </c>
      <c r="D27" s="239" t="s">
        <v>689</v>
      </c>
      <c r="F27" s="6"/>
    </row>
    <row r="28" spans="1:18">
      <c r="A28" s="173" t="s">
        <v>51</v>
      </c>
      <c r="B28" s="33">
        <f>IF(ISERROR(TER_handel_ele_kWh/1000),0,TER_handel_ele_kWh/1000)</f>
        <v>8647.6900139459503</v>
      </c>
      <c r="C28" s="39">
        <f>IF(ISERROR(B28*3.6/1000000/'E Balans VL '!Z13*100),0,B28*3.6/1000000/'E Balans VL '!Z13*100)</f>
        <v>0.24742058861205174</v>
      </c>
      <c r="D28" s="239" t="s">
        <v>689</v>
      </c>
      <c r="F28" s="6"/>
    </row>
    <row r="29" spans="1:18">
      <c r="A29" s="233" t="s">
        <v>50</v>
      </c>
      <c r="B29" s="33">
        <f>IF(ISERROR(TER_gezond_ele_kWh/1000),0,TER_gezond_ele_kWh/1000)</f>
        <v>211.87969689128801</v>
      </c>
      <c r="C29" s="39">
        <f>IF(ISERROR(B29*3.6/1000000/'E Balans VL '!Z10*100),0,B29*3.6/1000000/'E Balans VL '!Z10*100)</f>
        <v>2.3099810454822556E-2</v>
      </c>
      <c r="D29" s="239" t="s">
        <v>689</v>
      </c>
      <c r="F29" s="6"/>
    </row>
    <row r="30" spans="1:18">
      <c r="A30" s="233" t="s">
        <v>49</v>
      </c>
      <c r="B30" s="33">
        <f>IF(ISERROR(TER_ander_ele_kWh/1000),0,TER_ander_ele_kWh/1000)</f>
        <v>2694.1595033902599</v>
      </c>
      <c r="C30" s="39">
        <f>IF(ISERROR(B30*3.6/1000000/'E Balans VL '!Z14*100),0,B30*3.6/1000000/'E Balans VL '!Z14*100)</f>
        <v>0.19715248090214293</v>
      </c>
      <c r="D30" s="239" t="s">
        <v>689</v>
      </c>
      <c r="F30" s="6"/>
    </row>
    <row r="31" spans="1:18">
      <c r="A31" s="233" t="s">
        <v>54</v>
      </c>
      <c r="B31" s="33">
        <f>IF(ISERROR(TER_onderwijs_ele_kWh/1000),0,TER_onderwijs_ele_kWh/1000)</f>
        <v>121.949877031056</v>
      </c>
      <c r="C31" s="39">
        <f>IF(ISERROR(B31*3.6/1000000/'E Balans VL '!Z11*100),0,B31*3.6/1000000/'E Balans VL '!Z11*100)</f>
        <v>2.4493723359169169E-2</v>
      </c>
      <c r="D31" s="239" t="s">
        <v>689</v>
      </c>
    </row>
    <row r="32" spans="1:18">
      <c r="A32" s="233" t="s">
        <v>259</v>
      </c>
      <c r="B32" s="33">
        <f>IF(ISERROR(TER_rest_ele_kWh/1000),0,TER_rest_ele_kWh/1000)</f>
        <v>4033.4764580352503</v>
      </c>
      <c r="C32" s="39">
        <f>IF(ISERROR(B32*3.6/1000000/'E Balans VL '!Z8*100),0,B32*3.6/1000000/'E Balans VL '!Z8*100)</f>
        <v>3.2870385340495273E-2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39904.704023328908</v>
      </c>
      <c r="C5" s="17">
        <f>IF(ISERROR('Eigen informatie GS &amp; warmtenet'!B59),0,'Eigen informatie GS &amp; warmtenet'!B59)</f>
        <v>0</v>
      </c>
      <c r="D5" s="30">
        <f>SUM(D6:D15)</f>
        <v>12665.454510988842</v>
      </c>
      <c r="E5" s="17">
        <f>SUM(E6:E15)</f>
        <v>2710.8167818097781</v>
      </c>
      <c r="F5" s="17">
        <f>SUM(F6:F15)</f>
        <v>10383.761031934657</v>
      </c>
      <c r="G5" s="18"/>
      <c r="H5" s="17"/>
      <c r="I5" s="17"/>
      <c r="J5" s="17">
        <f>SUM(J6:J15)</f>
        <v>82.406092278459411</v>
      </c>
      <c r="K5" s="17"/>
      <c r="L5" s="17"/>
      <c r="M5" s="17"/>
      <c r="N5" s="17">
        <f>SUM(N6:N15)</f>
        <v>1927.1587674925063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1452.1620363197399</v>
      </c>
      <c r="C8" s="33"/>
      <c r="D8" s="37">
        <f>IF( ISERROR(IND_metaal_Gas_kWH/1000),0,IND_metaal_Gas_kWH/1000)*0.902</f>
        <v>0</v>
      </c>
      <c r="E8" s="33">
        <f>C30*'E Balans VL '!I18/100/3.6*1000000</f>
        <v>41.711544430697423</v>
      </c>
      <c r="F8" s="33">
        <f>C30*'E Balans VL '!L18/100/3.6*1000000+C30*'E Balans VL '!N18/100/3.6*1000000</f>
        <v>372.45163322632953</v>
      </c>
      <c r="G8" s="34"/>
      <c r="H8" s="33"/>
      <c r="I8" s="33"/>
      <c r="J8" s="40">
        <f>C30*'E Balans VL '!D18/100/3.6*1000000+C30*'E Balans VL '!E18/100/3.6*1000000</f>
        <v>0</v>
      </c>
      <c r="K8" s="33"/>
      <c r="L8" s="33"/>
      <c r="M8" s="33"/>
      <c r="N8" s="33">
        <f>C30*'E Balans VL '!Y18/100/3.6*1000000</f>
        <v>39.429163568769887</v>
      </c>
      <c r="O8" s="33"/>
      <c r="P8" s="33"/>
      <c r="R8" s="32"/>
    </row>
    <row r="9" spans="1:18">
      <c r="A9" s="6" t="s">
        <v>32</v>
      </c>
      <c r="B9" s="37">
        <f t="shared" si="0"/>
        <v>3135.6628726222398</v>
      </c>
      <c r="C9" s="33"/>
      <c r="D9" s="37">
        <f>IF( ISERROR(IND_andere_gas_kWh/1000),0,IND_andere_gas_kWh/1000)*0.902</f>
        <v>3188.4002904001077</v>
      </c>
      <c r="E9" s="33">
        <f>C31*'E Balans VL '!I19/100/3.6*1000000</f>
        <v>848.74684294896701</v>
      </c>
      <c r="F9" s="33">
        <f>C31*'E Balans VL '!L19/100/3.6*1000000+C31*'E Balans VL '!N19/100/3.6*1000000</f>
        <v>2088.6832956128096</v>
      </c>
      <c r="G9" s="34"/>
      <c r="H9" s="33"/>
      <c r="I9" s="33"/>
      <c r="J9" s="40">
        <f>C31*'E Balans VL '!D19/100/3.6*1000000+C31*'E Balans VL '!E19/100/3.6*1000000</f>
        <v>0</v>
      </c>
      <c r="K9" s="33"/>
      <c r="L9" s="33"/>
      <c r="M9" s="33"/>
      <c r="N9" s="33">
        <f>C31*'E Balans VL '!Y19/100/3.6*1000000</f>
        <v>265.09952448564326</v>
      </c>
      <c r="O9" s="33"/>
      <c r="P9" s="33"/>
      <c r="R9" s="32"/>
    </row>
    <row r="10" spans="1:18">
      <c r="A10" s="6" t="s">
        <v>40</v>
      </c>
      <c r="B10" s="37">
        <f t="shared" si="0"/>
        <v>210.03688862338998</v>
      </c>
      <c r="C10" s="33"/>
      <c r="D10" s="37">
        <f>IF( ISERROR(IND_voed_gas_kWh/1000),0,IND_voed_gas_kWh/1000)*0.902</f>
        <v>472.43183234407121</v>
      </c>
      <c r="E10" s="33">
        <f>C32*'E Balans VL '!I20/100/3.6*1000000</f>
        <v>17.13109118331877</v>
      </c>
      <c r="F10" s="33">
        <f>C32*'E Balans VL '!L20/100/3.6*1000000+C32*'E Balans VL '!N20/100/3.6*1000000</f>
        <v>313.18405715374064</v>
      </c>
      <c r="G10" s="34"/>
      <c r="H10" s="33"/>
      <c r="I10" s="33"/>
      <c r="J10" s="40">
        <f>C32*'E Balans VL '!D20/100/3.6*1000000+C32*'E Balans VL '!E20/100/3.6*1000000</f>
        <v>2.7785330859064375E-3</v>
      </c>
      <c r="K10" s="33"/>
      <c r="L10" s="33"/>
      <c r="M10" s="33"/>
      <c r="N10" s="33">
        <f>C32*'E Balans VL '!Y20/100/3.6*1000000</f>
        <v>61.701426474908146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40.905415000889697</v>
      </c>
      <c r="C12" s="33"/>
      <c r="D12" s="37">
        <f>IF( ISERROR(IND_min_gas_kWh/1000),0,IND_min_gas_kWh/1000)*0.902</f>
        <v>0</v>
      </c>
      <c r="E12" s="33">
        <f>C34*'E Balans VL '!I22/100/3.6*1000000</f>
        <v>0.31864426994638489</v>
      </c>
      <c r="F12" s="33">
        <f>C34*'E Balans VL '!L22/100/3.6*1000000+C34*'E Balans VL '!N22/100/3.6*1000000</f>
        <v>15.427008823809308</v>
      </c>
      <c r="G12" s="34"/>
      <c r="H12" s="33"/>
      <c r="I12" s="33"/>
      <c r="J12" s="40">
        <f>C34*'E Balans VL '!D22/100/3.6*1000000+C34*'E Balans VL '!E22/100/3.6*1000000</f>
        <v>0.22497620602471186</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3003.3846272402498</v>
      </c>
      <c r="C14" s="33"/>
      <c r="D14" s="37">
        <f>IF( ISERROR(IND_chemie_gas_kWh/1000),0,IND_chemie_gas_kWh/1000)*0.902</f>
        <v>0</v>
      </c>
      <c r="E14" s="33">
        <f>C36*'E Balans VL '!I24/100/3.6*1000000</f>
        <v>14.197704418462815</v>
      </c>
      <c r="F14" s="33">
        <f>C36*'E Balans VL '!L24/100/3.6*1000000+C36*'E Balans VL '!N24/100/3.6*1000000</f>
        <v>56.762357354941621</v>
      </c>
      <c r="G14" s="34"/>
      <c r="H14" s="33"/>
      <c r="I14" s="33"/>
      <c r="J14" s="40">
        <f>C36*'E Balans VL '!D24/100/3.6*1000000+C36*'E Balans VL '!E24/100/3.6*1000000</f>
        <v>0</v>
      </c>
      <c r="K14" s="33"/>
      <c r="L14" s="33"/>
      <c r="M14" s="33"/>
      <c r="N14" s="33">
        <f>C36*'E Balans VL '!Y24/100/3.6*1000000</f>
        <v>72.912018205626211</v>
      </c>
      <c r="O14" s="33"/>
      <c r="P14" s="33"/>
      <c r="R14" s="32"/>
    </row>
    <row r="15" spans="1:18">
      <c r="A15" s="6" t="s">
        <v>269</v>
      </c>
      <c r="B15" s="37">
        <f t="shared" si="0"/>
        <v>32062.552183522399</v>
      </c>
      <c r="C15" s="33"/>
      <c r="D15" s="37">
        <f>IF( ISERROR(IND_rest_gas_kWh/1000),0,IND_rest_gas_kWh/1000)*0.902</f>
        <v>9004.6223882446629</v>
      </c>
      <c r="E15" s="33">
        <f>C37*'E Balans VL '!I15/100/3.6*1000000</f>
        <v>1788.7109545583855</v>
      </c>
      <c r="F15" s="33">
        <f>C37*'E Balans VL '!L15/100/3.6*1000000+C37*'E Balans VL '!N15/100/3.6*1000000</f>
        <v>7537.2526797630262</v>
      </c>
      <c r="G15" s="34"/>
      <c r="H15" s="33"/>
      <c r="I15" s="33"/>
      <c r="J15" s="40">
        <f>C37*'E Balans VL '!D15/100/3.6*1000000+C37*'E Balans VL '!E15/100/3.6*1000000</f>
        <v>82.178337539348789</v>
      </c>
      <c r="K15" s="33"/>
      <c r="L15" s="33"/>
      <c r="M15" s="33"/>
      <c r="N15" s="33">
        <f>C37*'E Balans VL '!Y15/100/3.6*1000000</f>
        <v>1488.0166347575589</v>
      </c>
      <c r="O15" s="33"/>
      <c r="P15" s="33"/>
      <c r="R15" s="32"/>
    </row>
    <row r="16" spans="1:18">
      <c r="A16" s="16" t="s">
        <v>496</v>
      </c>
      <c r="B16" s="249">
        <f>'lokale energieproductie'!N39+'lokale energieproductie'!N32</f>
        <v>0</v>
      </c>
      <c r="C16" s="249">
        <f>'lokale energieproductie'!O39+'lokale energieproductie'!O32</f>
        <v>0</v>
      </c>
      <c r="D16" s="310">
        <f>('lokale energieproductie'!P32+'lokale energieproductie'!P39)*(-1)</f>
        <v>0</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39904.704023328908</v>
      </c>
      <c r="C18" s="21">
        <f>C5+C16</f>
        <v>0</v>
      </c>
      <c r="D18" s="21">
        <f>MAX((D5+D16),0)</f>
        <v>12665.454510988842</v>
      </c>
      <c r="E18" s="21">
        <f>MAX((E5+E16),0)</f>
        <v>2710.8167818097781</v>
      </c>
      <c r="F18" s="21">
        <f>MAX((F5+F16),0)</f>
        <v>10383.761031934657</v>
      </c>
      <c r="G18" s="21"/>
      <c r="H18" s="21"/>
      <c r="I18" s="21"/>
      <c r="J18" s="21">
        <f>MAX((J5+J16),0)</f>
        <v>82.406092278459411</v>
      </c>
      <c r="K18" s="21"/>
      <c r="L18" s="21">
        <f>MAX((L5+L16),0)</f>
        <v>0</v>
      </c>
      <c r="M18" s="21"/>
      <c r="N18" s="21">
        <f>MAX((N5+N16),0)</f>
        <v>1927.1587674925063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0.21639553734768102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8635.1998698284278</v>
      </c>
      <c r="C22" s="23">
        <f ca="1">C18*C20</f>
        <v>0</v>
      </c>
      <c r="D22" s="23">
        <f>D18*D20</f>
        <v>2558.4218112197464</v>
      </c>
      <c r="E22" s="23">
        <f>E18*E20</f>
        <v>615.35540947081961</v>
      </c>
      <c r="F22" s="23">
        <f>F18*F20</f>
        <v>2772.4641955265533</v>
      </c>
      <c r="G22" s="23"/>
      <c r="H22" s="23"/>
      <c r="I22" s="23"/>
      <c r="J22" s="23">
        <f>J18*J20</f>
        <v>29.17175666657463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1452.1620363197399</v>
      </c>
      <c r="C30" s="39">
        <f>IF(ISERROR(B30*3.6/1000000/'E Balans VL '!Z18*100),0,B30*3.6/1000000/'E Balans VL '!Z18*100)</f>
        <v>0.14288903739906939</v>
      </c>
      <c r="D30" s="239" t="s">
        <v>689</v>
      </c>
    </row>
    <row r="31" spans="1:18">
      <c r="A31" s="6" t="s">
        <v>32</v>
      </c>
      <c r="B31" s="37">
        <f>IF( ISERROR(IND_ander_ele_kWh/1000),0,IND_ander_ele_kWh/1000)</f>
        <v>3135.6628726222398</v>
      </c>
      <c r="C31" s="39">
        <f>IF(ISERROR(B31*3.6/1000000/'E Balans VL '!Z19*100),0,B31*3.6/1000000/'E Balans VL '!Z19*100)</f>
        <v>0.13655561680906445</v>
      </c>
      <c r="D31" s="239" t="s">
        <v>689</v>
      </c>
    </row>
    <row r="32" spans="1:18">
      <c r="A32" s="173" t="s">
        <v>40</v>
      </c>
      <c r="B32" s="37">
        <f>IF( ISERROR(IND_voed_ele_kWh/1000),0,IND_voed_ele_kWh/1000)</f>
        <v>210.03688862338998</v>
      </c>
      <c r="C32" s="39">
        <f>IF(ISERROR(B32*3.6/1000000/'E Balans VL '!Z20*100),0,B32*3.6/1000000/'E Balans VL '!Z20*100)</f>
        <v>3.9851470554831792E-2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40.905415000889697</v>
      </c>
      <c r="C34" s="39">
        <f>IF(ISERROR(B34*3.6/1000000/'E Balans VL '!Z22*100),0,B34*3.6/1000000/'E Balans VL '!Z22*100)</f>
        <v>5.7517121084993119E-3</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3003.3846272402498</v>
      </c>
      <c r="C36" s="39">
        <f>IF(ISERROR(B36*3.6/1000000/'E Balans VL '!Z24*100),0,B36*3.6/1000000/'E Balans VL '!Z24*100)</f>
        <v>8.7527502866459855E-2</v>
      </c>
      <c r="D36" s="239" t="s">
        <v>689</v>
      </c>
    </row>
    <row r="37" spans="1:5">
      <c r="A37" s="173" t="s">
        <v>269</v>
      </c>
      <c r="B37" s="37">
        <f>IF( ISERROR(IND_rest_ele_kWh/1000),0,IND_rest_ele_kWh/1000)</f>
        <v>32062.552183522399</v>
      </c>
      <c r="C37" s="39">
        <f>IF(ISERROR(B37*3.6/1000000/'E Balans VL '!Z15*100),0,B37*3.6/1000000/'E Balans VL '!Z15*100)</f>
        <v>0.24708134550565564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1281.94125966673</v>
      </c>
      <c r="C5" s="17">
        <f>'Eigen informatie GS &amp; warmtenet'!B60</f>
        <v>0</v>
      </c>
      <c r="D5" s="30">
        <f>IF(ISERROR(SUM(LB_lb_gas_kWh,LB_rest_gas_kWh)/1000),0,SUM(LB_lb_gas_kWh,LB_rest_gas_kWh)/1000)*0.902</f>
        <v>93381.363268354864</v>
      </c>
      <c r="E5" s="17">
        <f>B17*'E Balans VL '!I25/3.6*1000000/100</f>
        <v>16.154111347922324</v>
      </c>
      <c r="F5" s="17">
        <f>B17*('E Balans VL '!L25/3.6*1000000+'E Balans VL '!N25/3.6*1000000)/100</f>
        <v>4423.0184913249941</v>
      </c>
      <c r="G5" s="18"/>
      <c r="H5" s="17"/>
      <c r="I5" s="17"/>
      <c r="J5" s="17">
        <f>('E Balans VL '!D25+'E Balans VL '!E25)/3.6*1000000*landbouw!B17/100</f>
        <v>192.78939285995096</v>
      </c>
      <c r="K5" s="17"/>
      <c r="L5" s="17">
        <f>L6*(-1)</f>
        <v>0</v>
      </c>
      <c r="M5" s="17"/>
      <c r="N5" s="17">
        <f>N6*(-1)</f>
        <v>0</v>
      </c>
      <c r="O5" s="17"/>
      <c r="P5" s="17"/>
      <c r="R5" s="32"/>
    </row>
    <row r="6" spans="1:18">
      <c r="A6" s="16" t="s">
        <v>496</v>
      </c>
      <c r="B6" s="17" t="s">
        <v>210</v>
      </c>
      <c r="C6" s="17">
        <f>'lokale energieproductie'!O41+'lokale energieproductie'!O34</f>
        <v>44145</v>
      </c>
      <c r="D6" s="310">
        <f>('lokale energieproductie'!P34+'lokale energieproductie'!P41)*(-1)</f>
        <v>-88290</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1281.94125966673</v>
      </c>
      <c r="C8" s="21">
        <f>C5+C6</f>
        <v>44145</v>
      </c>
      <c r="D8" s="21">
        <f>MAX((D5+D6),0)</f>
        <v>5091.363268354864</v>
      </c>
      <c r="E8" s="21">
        <f>MAX((E5+E6),0)</f>
        <v>16.154111347922324</v>
      </c>
      <c r="F8" s="21">
        <f>MAX((F5+F6),0)</f>
        <v>4423.0184913249941</v>
      </c>
      <c r="G8" s="21"/>
      <c r="H8" s="21"/>
      <c r="I8" s="21"/>
      <c r="J8" s="21">
        <f>MAX((J5+J6),0)</f>
        <v>192.78939285995096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0.21639553734768102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277.40636773374513</v>
      </c>
      <c r="C12" s="23">
        <f ca="1">C8*C10</f>
        <v>10490.929411764706</v>
      </c>
      <c r="D12" s="23">
        <f>D8*D10</f>
        <v>1028.4553802076825</v>
      </c>
      <c r="E12" s="23">
        <f>E8*E10</f>
        <v>3.6669832759783678</v>
      </c>
      <c r="F12" s="23">
        <f>F8*F10</f>
        <v>1180.9459371837736</v>
      </c>
      <c r="G12" s="23"/>
      <c r="H12" s="23"/>
      <c r="I12" s="23"/>
      <c r="J12" s="23">
        <f>J8*J10</f>
        <v>68.247445072422636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0.17879040128033255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9.3265653967602962</v>
      </c>
      <c r="C26" s="249">
        <f>B26*'GWP N2O_CH4'!B5</f>
        <v>195.85787333196623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6.9883196167063426</v>
      </c>
      <c r="C27" s="249">
        <f>B27*'GWP N2O_CH4'!B5</f>
        <v>146.75471195083318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0.13199442818834878</v>
      </c>
      <c r="C28" s="249">
        <f>B28*'GWP N2O_CH4'!B4</f>
        <v>40.918272738388119</v>
      </c>
      <c r="D28" s="50"/>
    </row>
    <row r="29" spans="1:4">
      <c r="A29" s="41" t="s">
        <v>276</v>
      </c>
      <c r="B29" s="249">
        <f>B34*'ha_N2O bodem landbouw'!B4</f>
        <v>2.1562979443556127</v>
      </c>
      <c r="C29" s="249">
        <f>B29*'GWP N2O_CH4'!B4</f>
        <v>668.4523627502399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5.3840605037517382E-4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2.9239127142848047E-5</v>
      </c>
      <c r="C5" s="444" t="s">
        <v>210</v>
      </c>
      <c r="D5" s="429">
        <f>SUM(D6:D11)</f>
        <v>4.5480964000687752E-5</v>
      </c>
      <c r="E5" s="429">
        <f>SUM(E6:E11)</f>
        <v>1.8921660069709319E-3</v>
      </c>
      <c r="F5" s="442" t="s">
        <v>210</v>
      </c>
      <c r="G5" s="429">
        <f>SUM(G6:G11)</f>
        <v>0.68979420394650037</v>
      </c>
      <c r="H5" s="429">
        <f>SUM(H6:H11)</f>
        <v>8.6070963119044872E-2</v>
      </c>
      <c r="I5" s="444" t="s">
        <v>210</v>
      </c>
      <c r="J5" s="444" t="s">
        <v>210</v>
      </c>
      <c r="K5" s="444" t="s">
        <v>210</v>
      </c>
      <c r="L5" s="444" t="s">
        <v>210</v>
      </c>
      <c r="M5" s="429">
        <f>SUM(M6:M11)</f>
        <v>3.506832473937229E-2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6.3078721027701503E-6</v>
      </c>
      <c r="C6" s="883"/>
      <c r="D6" s="883">
        <f>vkm_GW_PW*SUMIFS(TableVerdeelsleutelVkm[CNG],TableVerdeelsleutelVkm[Voertuigtype],"Lichte voertuigen")*SUMIFS(TableECFTransport[EnergieConsumptieFactor (PJ per km)],TableECFTransport[Index],CONCATENATE($A6,"_CNG_CNG"))</f>
        <v>9.3480785723992779E-6</v>
      </c>
      <c r="E6" s="883">
        <f>vkm_GW_PW*SUMIFS(TableVerdeelsleutelVkm[LPG],TableVerdeelsleutelVkm[Voertuigtype],"Lichte voertuigen")*SUMIFS(TableECFTransport[EnergieConsumptieFactor (PJ per km)],TableECFTransport[Index],CONCATENATE($A6,"_LPG_LPG"))</f>
        <v>3.3481401622950728E-4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6.7382327979816081E-2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1.7213778808749424E-2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3.8270811234051407E-3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3.3591937837676153E-2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7.8048668130913786E-7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1.5167284260442383E-3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2.1351923167378E-6</v>
      </c>
      <c r="C8" s="883"/>
      <c r="D8" s="432">
        <f>vkm_NGW_PW*SUMIFS(TableVerdeelsleutelVkm[CNG],TableVerdeelsleutelVkm[Voertuigtype],"Lichte voertuigen")*SUMIFS(TableECFTransport[EnergieConsumptieFactor (PJ per km)],TableECFTransport[Index],CONCATENATE($A8,"_CNG_CNG"))</f>
        <v>5.369882073979501E-6</v>
      </c>
      <c r="E8" s="432">
        <f>vkm_NGW_PW*SUMIFS(TableVerdeelsleutelVkm[LPG],TableVerdeelsleutelVkm[Voertuigtype],"Lichte voertuigen")*SUMIFS(TableECFTransport[EnergieConsumptieFactor (PJ per km)],TableECFTransport[Index],CONCATENATE($A8,"_LPG_LPG"))</f>
        <v>1.818597719148996E-4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3.4766871856098745E-2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9.5017138393244417E-3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2.0029022280381227E-3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2.2992964860389473E-2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6.1921706710120245E-7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1.0381721270112916E-3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2.0796062723340098E-5</v>
      </c>
      <c r="C10" s="883"/>
      <c r="D10" s="432">
        <f>vkm_SW_PW*SUMIFS(TableVerdeelsleutelVkm[CNG],TableVerdeelsleutelVkm[Voertuigtype],"Lichte voertuigen")*SUMIFS(TableECFTransport[EnergieConsumptieFactor (PJ per km)],TableECFTransport[Index],CONCATENATE($A10,"_CNG_CNG"))</f>
        <v>3.0763003354308974E-5</v>
      </c>
      <c r="E10" s="432">
        <f>vkm_SW_PW*SUMIFS(TableVerdeelsleutelVkm[LPG],TableVerdeelsleutelVkm[Voertuigtype],"Lichte voertuigen")*SUMIFS(TableECFTransport[EnergieConsumptieFactor (PJ per km)],TableECFTransport[Index],CONCATENATE($A10,"_LPG_LPG"))</f>
        <v>1.3754922188265251E-3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0.25094790785985949</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5.9347128602181221E-2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1.4035918294675495E-2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0.28011219355266037</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6.9421650413845376E-6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1.2647522540198E-2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8.1219797619022351</v>
      </c>
      <c r="C14" s="21"/>
      <c r="D14" s="21">
        <f t="shared" ref="D14:M14" si="0">((D5)*10^9/3600)+D12</f>
        <v>12.633601111302154</v>
      </c>
      <c r="E14" s="21">
        <f t="shared" si="0"/>
        <v>525.60166860303661</v>
      </c>
      <c r="F14" s="21"/>
      <c r="G14" s="21">
        <f t="shared" si="0"/>
        <v>191609.50109625011</v>
      </c>
      <c r="H14" s="21">
        <f t="shared" si="0"/>
        <v>23908.600866401353</v>
      </c>
      <c r="I14" s="21"/>
      <c r="J14" s="21"/>
      <c r="K14" s="21"/>
      <c r="L14" s="21"/>
      <c r="M14" s="21">
        <f t="shared" si="0"/>
        <v>9741.2013164923028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0.21639553734768102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1.7575601749038245</v>
      </c>
      <c r="C18" s="23"/>
      <c r="D18" s="23">
        <f t="shared" ref="D18:M18" si="1">D14*D16</f>
        <v>2.5519874244830354</v>
      </c>
      <c r="E18" s="23">
        <f t="shared" si="1"/>
        <v>119.31157877288932</v>
      </c>
      <c r="F18" s="23"/>
      <c r="G18" s="23">
        <f t="shared" si="1"/>
        <v>51159.736792698779</v>
      </c>
      <c r="H18" s="23">
        <f t="shared" si="1"/>
        <v>5953.2416157339367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4.2211454389346273E-3</v>
      </c>
      <c r="C50" s="321">
        <f t="shared" ref="C50:P50" si="2">SUM(C51:C52)</f>
        <v>0</v>
      </c>
      <c r="D50" s="321">
        <f t="shared" si="2"/>
        <v>0</v>
      </c>
      <c r="E50" s="321">
        <f t="shared" si="2"/>
        <v>0</v>
      </c>
      <c r="F50" s="321">
        <f t="shared" si="2"/>
        <v>0</v>
      </c>
      <c r="G50" s="321">
        <f t="shared" si="2"/>
        <v>3.9343910710500371E-3</v>
      </c>
      <c r="H50" s="321">
        <f t="shared" si="2"/>
        <v>0</v>
      </c>
      <c r="I50" s="321">
        <f t="shared" si="2"/>
        <v>0</v>
      </c>
      <c r="J50" s="321">
        <f t="shared" si="2"/>
        <v>0</v>
      </c>
      <c r="K50" s="321">
        <f t="shared" si="2"/>
        <v>0</v>
      </c>
      <c r="L50" s="321">
        <f t="shared" si="2"/>
        <v>0</v>
      </c>
      <c r="M50" s="321">
        <f t="shared" si="2"/>
        <v>1.7512300146341916E-4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3.9343910710500371E-3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1.7512300146341916E-4</v>
      </c>
      <c r="N51" s="323"/>
      <c r="O51" s="323"/>
      <c r="P51" s="326"/>
    </row>
    <row r="52" spans="1:18">
      <c r="A52" s="4" t="s">
        <v>329</v>
      </c>
      <c r="B52" s="327">
        <f>vkm_tram*SUMIFS(TableECFTransport[EnergieConsumptieFactor (PJ per km)],TableECFTransport[Index],"Tram_gemiddeld_Electric_Electric")</f>
        <v>4.2211454389346273E-3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1172.540399704063</v>
      </c>
      <c r="C54" s="21">
        <f t="shared" ref="C54:P54" si="3">(C50)*10^9/3600</f>
        <v>0</v>
      </c>
      <c r="D54" s="21">
        <f t="shared" si="3"/>
        <v>0</v>
      </c>
      <c r="E54" s="21">
        <f t="shared" si="3"/>
        <v>0</v>
      </c>
      <c r="F54" s="21">
        <f t="shared" si="3"/>
        <v>0</v>
      </c>
      <c r="G54" s="21">
        <f t="shared" si="3"/>
        <v>1092.8864086250103</v>
      </c>
      <c r="H54" s="21">
        <f t="shared" si="3"/>
        <v>0</v>
      </c>
      <c r="I54" s="21">
        <f t="shared" si="3"/>
        <v>0</v>
      </c>
      <c r="J54" s="21">
        <f t="shared" si="3"/>
        <v>0</v>
      </c>
      <c r="K54" s="21">
        <f t="shared" si="3"/>
        <v>0</v>
      </c>
      <c r="L54" s="21">
        <f t="shared" si="3"/>
        <v>0</v>
      </c>
      <c r="M54" s="21">
        <f t="shared" si="3"/>
        <v>48.645278184283093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0.21639553734768102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253.73250985582541</v>
      </c>
      <c r="C58" s="23">
        <f t="shared" ref="C58:P58" ca="1" si="4">C54*C56</f>
        <v>0</v>
      </c>
      <c r="D58" s="23">
        <f t="shared" si="4"/>
        <v>0</v>
      </c>
      <c r="E58" s="23">
        <f t="shared" si="4"/>
        <v>0</v>
      </c>
      <c r="F58" s="23">
        <f t="shared" si="4"/>
        <v>0</v>
      </c>
      <c r="G58" s="23">
        <f t="shared" si="4"/>
        <v>291.80067110287774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25701.903361333771</v>
      </c>
      <c r="D10" s="686">
        <f ca="1">tertiair!C16</f>
        <v>32.142857142857146</v>
      </c>
      <c r="E10" s="686">
        <f ca="1">tertiair!D16</f>
        <v>26859.47518191145</v>
      </c>
      <c r="F10" s="686">
        <f>tertiair!E16</f>
        <v>291.84938386905435</v>
      </c>
      <c r="G10" s="686">
        <f ca="1">tertiair!F16</f>
        <v>4693.6804671242717</v>
      </c>
      <c r="H10" s="686">
        <f>tertiair!G16</f>
        <v>0</v>
      </c>
      <c r="I10" s="686">
        <f>tertiair!H16</f>
        <v>0</v>
      </c>
      <c r="J10" s="686">
        <f>tertiair!I16</f>
        <v>0</v>
      </c>
      <c r="K10" s="686">
        <f>tertiair!J16</f>
        <v>0</v>
      </c>
      <c r="L10" s="686">
        <f>tertiair!K16</f>
        <v>0</v>
      </c>
      <c r="M10" s="686">
        <f ca="1">tertiair!L16</f>
        <v>0</v>
      </c>
      <c r="N10" s="686">
        <f>tertiair!M16</f>
        <v>0</v>
      </c>
      <c r="O10" s="686">
        <f ca="1">tertiair!N16</f>
        <v>2227.9950490506253</v>
      </c>
      <c r="P10" s="686">
        <f>tertiair!O16</f>
        <v>0</v>
      </c>
      <c r="Q10" s="687">
        <f>tertiair!P16</f>
        <v>19.066666666666666</v>
      </c>
      <c r="R10" s="689">
        <f ca="1">SUM(C10:Q10)</f>
        <v>59826.112967098699</v>
      </c>
      <c r="S10" s="67"/>
    </row>
    <row r="11" spans="1:19" s="454" customFormat="1">
      <c r="A11" s="801" t="s">
        <v>224</v>
      </c>
      <c r="B11" s="806"/>
      <c r="C11" s="686">
        <f>huishoudens!B8</f>
        <v>33389.494154523331</v>
      </c>
      <c r="D11" s="686">
        <f>huishoudens!C8</f>
        <v>0</v>
      </c>
      <c r="E11" s="686">
        <f>huishoudens!D8</f>
        <v>100492.73790953103</v>
      </c>
      <c r="F11" s="686">
        <f>huishoudens!E8</f>
        <v>420.41451242144916</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5424.1816297749538</v>
      </c>
      <c r="P11" s="686">
        <f>huishoudens!O8</f>
        <v>104.74333333333335</v>
      </c>
      <c r="Q11" s="687">
        <f>huishoudens!P8</f>
        <v>152.53333333333333</v>
      </c>
      <c r="R11" s="689">
        <f>SUM(C11:Q11)</f>
        <v>139984.10487291741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39904.704023328908</v>
      </c>
      <c r="D13" s="686">
        <f>industrie!C18</f>
        <v>0</v>
      </c>
      <c r="E13" s="686">
        <f>industrie!D18</f>
        <v>12665.454510988842</v>
      </c>
      <c r="F13" s="686">
        <f>industrie!E18</f>
        <v>2710.8167818097781</v>
      </c>
      <c r="G13" s="686">
        <f>industrie!F18</f>
        <v>10383.761031934657</v>
      </c>
      <c r="H13" s="686">
        <f>industrie!G18</f>
        <v>0</v>
      </c>
      <c r="I13" s="686">
        <f>industrie!H18</f>
        <v>0</v>
      </c>
      <c r="J13" s="686">
        <f>industrie!I18</f>
        <v>0</v>
      </c>
      <c r="K13" s="686">
        <f>industrie!J18</f>
        <v>82.406092278459411</v>
      </c>
      <c r="L13" s="686">
        <f>industrie!K18</f>
        <v>0</v>
      </c>
      <c r="M13" s="686">
        <f>industrie!L18</f>
        <v>0</v>
      </c>
      <c r="N13" s="686">
        <f>industrie!M18</f>
        <v>0</v>
      </c>
      <c r="O13" s="686">
        <f>industrie!N18</f>
        <v>1927.1587674925063</v>
      </c>
      <c r="P13" s="686">
        <f>industrie!O18</f>
        <v>0</v>
      </c>
      <c r="Q13" s="687">
        <f>industrie!P18</f>
        <v>0</v>
      </c>
      <c r="R13" s="689">
        <f>SUM(C13:Q13)</f>
        <v>67674.301207833152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98996.101539185998</v>
      </c>
      <c r="D16" s="721">
        <f t="shared" ref="D16:R16" ca="1" si="0">SUM(D9:D15)</f>
        <v>32.142857142857146</v>
      </c>
      <c r="E16" s="721">
        <f t="shared" ca="1" si="0"/>
        <v>140017.66760243132</v>
      </c>
      <c r="F16" s="721">
        <f t="shared" si="0"/>
        <v>3423.0806781002816</v>
      </c>
      <c r="G16" s="721">
        <f t="shared" ca="1" si="0"/>
        <v>15077.441499058928</v>
      </c>
      <c r="H16" s="721">
        <f t="shared" si="0"/>
        <v>0</v>
      </c>
      <c r="I16" s="721">
        <f t="shared" si="0"/>
        <v>0</v>
      </c>
      <c r="J16" s="721">
        <f t="shared" si="0"/>
        <v>0</v>
      </c>
      <c r="K16" s="721">
        <f t="shared" si="0"/>
        <v>82.406092278459411</v>
      </c>
      <c r="L16" s="721">
        <f t="shared" si="0"/>
        <v>0</v>
      </c>
      <c r="M16" s="721">
        <f t="shared" ca="1" si="0"/>
        <v>0</v>
      </c>
      <c r="N16" s="721">
        <f t="shared" si="0"/>
        <v>0</v>
      </c>
      <c r="O16" s="721">
        <f t="shared" ca="1" si="0"/>
        <v>9579.3354463180858</v>
      </c>
      <c r="P16" s="721">
        <f t="shared" si="0"/>
        <v>104.74333333333335</v>
      </c>
      <c r="Q16" s="721">
        <f t="shared" si="0"/>
        <v>171.6</v>
      </c>
      <c r="R16" s="721">
        <f t="shared" ca="1" si="0"/>
        <v>267484.51904784929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1172.540399704063</v>
      </c>
      <c r="D19" s="686">
        <f>transport!C54</f>
        <v>0</v>
      </c>
      <c r="E19" s="686">
        <f>transport!D54</f>
        <v>0</v>
      </c>
      <c r="F19" s="686">
        <f>transport!E54</f>
        <v>0</v>
      </c>
      <c r="G19" s="686">
        <f>transport!F54</f>
        <v>0</v>
      </c>
      <c r="H19" s="686">
        <f>transport!G54</f>
        <v>1092.8864086250103</v>
      </c>
      <c r="I19" s="686">
        <f>transport!H54</f>
        <v>0</v>
      </c>
      <c r="J19" s="686">
        <f>transport!I54</f>
        <v>0</v>
      </c>
      <c r="K19" s="686">
        <f>transport!J54</f>
        <v>0</v>
      </c>
      <c r="L19" s="686">
        <f>transport!K54</f>
        <v>0</v>
      </c>
      <c r="M19" s="686">
        <f>transport!L54</f>
        <v>0</v>
      </c>
      <c r="N19" s="686">
        <f>transport!M54</f>
        <v>48.645278184283093</v>
      </c>
      <c r="O19" s="686">
        <f>transport!N54</f>
        <v>0</v>
      </c>
      <c r="P19" s="686">
        <f>transport!O54</f>
        <v>0</v>
      </c>
      <c r="Q19" s="687">
        <f>transport!P54</f>
        <v>0</v>
      </c>
      <c r="R19" s="689">
        <f>SUM(C19:Q19)</f>
        <v>2314.0720865133567</v>
      </c>
      <c r="S19" s="67"/>
    </row>
    <row r="20" spans="1:19" s="454" customFormat="1">
      <c r="A20" s="801" t="s">
        <v>306</v>
      </c>
      <c r="B20" s="806"/>
      <c r="C20" s="686">
        <f>transport!B14</f>
        <v>8.1219797619022351</v>
      </c>
      <c r="D20" s="686">
        <f>transport!C14</f>
        <v>0</v>
      </c>
      <c r="E20" s="686">
        <f>transport!D14</f>
        <v>12.633601111302154</v>
      </c>
      <c r="F20" s="686">
        <f>transport!E14</f>
        <v>525.60166860303661</v>
      </c>
      <c r="G20" s="686">
        <f>transport!F14</f>
        <v>0</v>
      </c>
      <c r="H20" s="686">
        <f>transport!G14</f>
        <v>191609.50109625011</v>
      </c>
      <c r="I20" s="686">
        <f>transport!H14</f>
        <v>23908.600866401353</v>
      </c>
      <c r="J20" s="686">
        <f>transport!I14</f>
        <v>0</v>
      </c>
      <c r="K20" s="686">
        <f>transport!J14</f>
        <v>0</v>
      </c>
      <c r="L20" s="686">
        <f>transport!K14</f>
        <v>0</v>
      </c>
      <c r="M20" s="686">
        <f>transport!L14</f>
        <v>0</v>
      </c>
      <c r="N20" s="686">
        <f>transport!M14</f>
        <v>9741.2013164923028</v>
      </c>
      <c r="O20" s="686">
        <f>transport!N14</f>
        <v>0</v>
      </c>
      <c r="P20" s="686">
        <f>transport!O14</f>
        <v>0</v>
      </c>
      <c r="Q20" s="687">
        <f>transport!P14</f>
        <v>0</v>
      </c>
      <c r="R20" s="689">
        <f>SUM(C20:Q20)</f>
        <v>225805.66052862004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1180.6623794659652</v>
      </c>
      <c r="D22" s="804">
        <f t="shared" ref="D22:R22" si="1">SUM(D18:D21)</f>
        <v>0</v>
      </c>
      <c r="E22" s="804">
        <f t="shared" si="1"/>
        <v>12.633601111302154</v>
      </c>
      <c r="F22" s="804">
        <f t="shared" si="1"/>
        <v>525.60166860303661</v>
      </c>
      <c r="G22" s="804">
        <f t="shared" si="1"/>
        <v>0</v>
      </c>
      <c r="H22" s="804">
        <f t="shared" si="1"/>
        <v>192702.38750487511</v>
      </c>
      <c r="I22" s="804">
        <f t="shared" si="1"/>
        <v>23908.600866401353</v>
      </c>
      <c r="J22" s="804">
        <f t="shared" si="1"/>
        <v>0</v>
      </c>
      <c r="K22" s="804">
        <f t="shared" si="1"/>
        <v>0</v>
      </c>
      <c r="L22" s="804">
        <f t="shared" si="1"/>
        <v>0</v>
      </c>
      <c r="M22" s="804">
        <f t="shared" si="1"/>
        <v>0</v>
      </c>
      <c r="N22" s="804">
        <f t="shared" si="1"/>
        <v>9789.8465946765864</v>
      </c>
      <c r="O22" s="804">
        <f t="shared" si="1"/>
        <v>0</v>
      </c>
      <c r="P22" s="804">
        <f t="shared" si="1"/>
        <v>0</v>
      </c>
      <c r="Q22" s="804">
        <f t="shared" si="1"/>
        <v>0</v>
      </c>
      <c r="R22" s="804">
        <f t="shared" si="1"/>
        <v>228119.7326151334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1281.94125966673</v>
      </c>
      <c r="D24" s="686">
        <f>+landbouw!C8</f>
        <v>44145</v>
      </c>
      <c r="E24" s="686">
        <f>+landbouw!D8</f>
        <v>5091.363268354864</v>
      </c>
      <c r="F24" s="686">
        <f>+landbouw!E8</f>
        <v>16.154111347922324</v>
      </c>
      <c r="G24" s="686">
        <f>+landbouw!F8</f>
        <v>4423.0184913249941</v>
      </c>
      <c r="H24" s="686">
        <f>+landbouw!G8</f>
        <v>0</v>
      </c>
      <c r="I24" s="686">
        <f>+landbouw!H8</f>
        <v>0</v>
      </c>
      <c r="J24" s="686">
        <f>+landbouw!I8</f>
        <v>0</v>
      </c>
      <c r="K24" s="686">
        <f>+landbouw!J8</f>
        <v>192.78939285995096</v>
      </c>
      <c r="L24" s="686">
        <f>+landbouw!K8</f>
        <v>0</v>
      </c>
      <c r="M24" s="686">
        <f>+landbouw!L8</f>
        <v>0</v>
      </c>
      <c r="N24" s="686">
        <f>+landbouw!M8</f>
        <v>0</v>
      </c>
      <c r="O24" s="686">
        <f>+landbouw!N8</f>
        <v>0</v>
      </c>
      <c r="P24" s="686">
        <f>+landbouw!O8</f>
        <v>0</v>
      </c>
      <c r="Q24" s="687">
        <f>+landbouw!P8</f>
        <v>0</v>
      </c>
      <c r="R24" s="689">
        <f>SUM(C24:Q24)</f>
        <v>55150.26652355447</v>
      </c>
      <c r="S24" s="67"/>
    </row>
    <row r="25" spans="1:19" s="454" customFormat="1" ht="15" thickBot="1">
      <c r="A25" s="823" t="s">
        <v>856</v>
      </c>
      <c r="B25" s="991"/>
      <c r="C25" s="992">
        <f>IF(Onbekend_ele_kWh="---",0,Onbekend_ele_kWh)/1000+IF(REST_rest_ele_kWh="---",0,REST_rest_ele_kWh)/1000</f>
        <v>1991.7034834870301</v>
      </c>
      <c r="D25" s="992"/>
      <c r="E25" s="992">
        <f>IF(onbekend_gas_kWh="---",0,onbekend_gas_kWh)/1000+IF(REST_rest_gas_kWh="---",0,REST_rest_gas_kWh)/1000</f>
        <v>3308.3427109219201</v>
      </c>
      <c r="F25" s="992"/>
      <c r="G25" s="992"/>
      <c r="H25" s="992"/>
      <c r="I25" s="992"/>
      <c r="J25" s="992"/>
      <c r="K25" s="992"/>
      <c r="L25" s="992"/>
      <c r="M25" s="992"/>
      <c r="N25" s="992"/>
      <c r="O25" s="992"/>
      <c r="P25" s="992"/>
      <c r="Q25" s="993"/>
      <c r="R25" s="689">
        <f>SUM(C25:Q25)</f>
        <v>5300.0461944089502</v>
      </c>
      <c r="S25" s="67"/>
    </row>
    <row r="26" spans="1:19" s="454" customFormat="1" ht="15.75" thickBot="1">
      <c r="A26" s="694" t="s">
        <v>857</v>
      </c>
      <c r="B26" s="809"/>
      <c r="C26" s="804">
        <f>SUM(C24:C25)</f>
        <v>3273.6447431537599</v>
      </c>
      <c r="D26" s="804">
        <f t="shared" ref="D26:R26" si="2">SUM(D24:D25)</f>
        <v>44145</v>
      </c>
      <c r="E26" s="804">
        <f t="shared" si="2"/>
        <v>8399.7059792767832</v>
      </c>
      <c r="F26" s="804">
        <f t="shared" si="2"/>
        <v>16.154111347922324</v>
      </c>
      <c r="G26" s="804">
        <f t="shared" si="2"/>
        <v>4423.0184913249941</v>
      </c>
      <c r="H26" s="804">
        <f t="shared" si="2"/>
        <v>0</v>
      </c>
      <c r="I26" s="804">
        <f t="shared" si="2"/>
        <v>0</v>
      </c>
      <c r="J26" s="804">
        <f t="shared" si="2"/>
        <v>0</v>
      </c>
      <c r="K26" s="804">
        <f t="shared" si="2"/>
        <v>192.78939285995096</v>
      </c>
      <c r="L26" s="804">
        <f t="shared" si="2"/>
        <v>0</v>
      </c>
      <c r="M26" s="804">
        <f t="shared" si="2"/>
        <v>0</v>
      </c>
      <c r="N26" s="804">
        <f t="shared" si="2"/>
        <v>0</v>
      </c>
      <c r="O26" s="804">
        <f t="shared" si="2"/>
        <v>0</v>
      </c>
      <c r="P26" s="804">
        <f t="shared" si="2"/>
        <v>0</v>
      </c>
      <c r="Q26" s="804">
        <f t="shared" si="2"/>
        <v>0</v>
      </c>
      <c r="R26" s="804">
        <f t="shared" si="2"/>
        <v>60450.312717963418</v>
      </c>
      <c r="S26" s="67"/>
    </row>
    <row r="27" spans="1:19" s="454" customFormat="1" ht="17.25" thickTop="1" thickBot="1">
      <c r="A27" s="695" t="s">
        <v>115</v>
      </c>
      <c r="B27" s="796"/>
      <c r="C27" s="696">
        <f ca="1">C22+C16+C26</f>
        <v>103450.40866180573</v>
      </c>
      <c r="D27" s="696">
        <f t="shared" ref="D27:R27" ca="1" si="3">D22+D16+D26</f>
        <v>44177.142857142855</v>
      </c>
      <c r="E27" s="696">
        <f t="shared" ca="1" si="3"/>
        <v>148430.00718281942</v>
      </c>
      <c r="F27" s="696">
        <f t="shared" si="3"/>
        <v>3964.8364580512407</v>
      </c>
      <c r="G27" s="696">
        <f t="shared" ca="1" si="3"/>
        <v>19500.459990383923</v>
      </c>
      <c r="H27" s="696">
        <f t="shared" si="3"/>
        <v>192702.38750487511</v>
      </c>
      <c r="I27" s="696">
        <f t="shared" si="3"/>
        <v>23908.600866401353</v>
      </c>
      <c r="J27" s="696">
        <f t="shared" si="3"/>
        <v>0</v>
      </c>
      <c r="K27" s="696">
        <f t="shared" si="3"/>
        <v>275.19548513841039</v>
      </c>
      <c r="L27" s="696">
        <f t="shared" si="3"/>
        <v>0</v>
      </c>
      <c r="M27" s="696">
        <f t="shared" ca="1" si="3"/>
        <v>0</v>
      </c>
      <c r="N27" s="696">
        <f t="shared" si="3"/>
        <v>9789.8465946765864</v>
      </c>
      <c r="O27" s="696">
        <f t="shared" ca="1" si="3"/>
        <v>9579.3354463180858</v>
      </c>
      <c r="P27" s="696">
        <f t="shared" si="3"/>
        <v>104.74333333333335</v>
      </c>
      <c r="Q27" s="696">
        <f t="shared" si="3"/>
        <v>171.6</v>
      </c>
      <c r="R27" s="696">
        <f t="shared" ca="1" si="3"/>
        <v>556054.5643809461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5561.7771887339904</v>
      </c>
      <c r="D40" s="686">
        <f ca="1">tertiair!C20</f>
        <v>7.6386554621848752</v>
      </c>
      <c r="E40" s="686">
        <f ca="1">tertiair!D20</f>
        <v>5425.6139867461134</v>
      </c>
      <c r="F40" s="686">
        <f>tertiair!E20</f>
        <v>66.249810138275336</v>
      </c>
      <c r="G40" s="686">
        <f ca="1">tertiair!F20</f>
        <v>1253.2126847221807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12314.492325802745</v>
      </c>
    </row>
    <row r="41" spans="1:18">
      <c r="A41" s="814" t="s">
        <v>224</v>
      </c>
      <c r="B41" s="821"/>
      <c r="C41" s="686">
        <f ca="1">huishoudens!B12</f>
        <v>7225.3375293353301</v>
      </c>
      <c r="D41" s="686">
        <f ca="1">huishoudens!C12</f>
        <v>0</v>
      </c>
      <c r="E41" s="686">
        <f>huishoudens!D12</f>
        <v>20299.533057725268</v>
      </c>
      <c r="F41" s="686">
        <f>huishoudens!E12</f>
        <v>95.434094319668958</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27620.304681380268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8635.1998698284278</v>
      </c>
      <c r="D43" s="686">
        <f ca="1">industrie!C22</f>
        <v>0</v>
      </c>
      <c r="E43" s="686">
        <f>industrie!D22</f>
        <v>2558.4218112197464</v>
      </c>
      <c r="F43" s="686">
        <f>industrie!E22</f>
        <v>615.35540947081961</v>
      </c>
      <c r="G43" s="686">
        <f>industrie!F22</f>
        <v>2772.4641955265533</v>
      </c>
      <c r="H43" s="686">
        <f>industrie!G22</f>
        <v>0</v>
      </c>
      <c r="I43" s="686">
        <f>industrie!H22</f>
        <v>0</v>
      </c>
      <c r="J43" s="686">
        <f>industrie!I22</f>
        <v>0</v>
      </c>
      <c r="K43" s="686">
        <f>industrie!J22</f>
        <v>29.17175666657463</v>
      </c>
      <c r="L43" s="686">
        <f>industrie!K22</f>
        <v>0</v>
      </c>
      <c r="M43" s="686">
        <f>industrie!L22</f>
        <v>0</v>
      </c>
      <c r="N43" s="686">
        <f>industrie!M22</f>
        <v>0</v>
      </c>
      <c r="O43" s="686">
        <f>industrie!N22</f>
        <v>0</v>
      </c>
      <c r="P43" s="686">
        <f>industrie!O22</f>
        <v>0</v>
      </c>
      <c r="Q43" s="763">
        <f>industrie!P22</f>
        <v>0</v>
      </c>
      <c r="R43" s="841">
        <f t="shared" ca="1" si="4"/>
        <v>14610.613042712122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21422.314587897748</v>
      </c>
      <c r="D46" s="721">
        <f t="shared" ref="D46:Q46" ca="1" si="5">SUM(D39:D45)</f>
        <v>7.6386554621848752</v>
      </c>
      <c r="E46" s="721">
        <f t="shared" ca="1" si="5"/>
        <v>28283.568855691126</v>
      </c>
      <c r="F46" s="721">
        <f t="shared" si="5"/>
        <v>777.03931392876393</v>
      </c>
      <c r="G46" s="721">
        <f t="shared" ca="1" si="5"/>
        <v>4025.6768802487341</v>
      </c>
      <c r="H46" s="721">
        <f t="shared" si="5"/>
        <v>0</v>
      </c>
      <c r="I46" s="721">
        <f t="shared" si="5"/>
        <v>0</v>
      </c>
      <c r="J46" s="721">
        <f t="shared" si="5"/>
        <v>0</v>
      </c>
      <c r="K46" s="721">
        <f t="shared" si="5"/>
        <v>29.17175666657463</v>
      </c>
      <c r="L46" s="721">
        <f t="shared" si="5"/>
        <v>0</v>
      </c>
      <c r="M46" s="721">
        <f t="shared" ca="1" si="5"/>
        <v>0</v>
      </c>
      <c r="N46" s="721">
        <f t="shared" si="5"/>
        <v>0</v>
      </c>
      <c r="O46" s="721">
        <f t="shared" ca="1" si="5"/>
        <v>0</v>
      </c>
      <c r="P46" s="721">
        <f t="shared" si="5"/>
        <v>0</v>
      </c>
      <c r="Q46" s="721">
        <f t="shared" si="5"/>
        <v>0</v>
      </c>
      <c r="R46" s="721">
        <f ca="1">SUM(R39:R45)</f>
        <v>54545.410049895137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253.73250985582541</v>
      </c>
      <c r="D49" s="686">
        <f ca="1">transport!C58</f>
        <v>0</v>
      </c>
      <c r="E49" s="686">
        <f>transport!D58</f>
        <v>0</v>
      </c>
      <c r="F49" s="686">
        <f>transport!E58</f>
        <v>0</v>
      </c>
      <c r="G49" s="686">
        <f>transport!F58</f>
        <v>0</v>
      </c>
      <c r="H49" s="686">
        <f>transport!G58</f>
        <v>291.80067110287774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545.53318095870316</v>
      </c>
    </row>
    <row r="50" spans="1:18">
      <c r="A50" s="817" t="s">
        <v>306</v>
      </c>
      <c r="B50" s="827"/>
      <c r="C50" s="692">
        <f ca="1">transport!B18</f>
        <v>1.7575601749038245</v>
      </c>
      <c r="D50" s="692">
        <f>transport!C18</f>
        <v>0</v>
      </c>
      <c r="E50" s="692">
        <f>transport!D18</f>
        <v>2.5519874244830354</v>
      </c>
      <c r="F50" s="692">
        <f>transport!E18</f>
        <v>119.31157877288932</v>
      </c>
      <c r="G50" s="692">
        <f>transport!F18</f>
        <v>0</v>
      </c>
      <c r="H50" s="692">
        <f>transport!G18</f>
        <v>51159.736792698779</v>
      </c>
      <c r="I50" s="692">
        <f>transport!H18</f>
        <v>5953.2416157339367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57236.599534804991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255.49007003072924</v>
      </c>
      <c r="D52" s="721">
        <f t="shared" ref="D52:Q52" ca="1" si="6">SUM(D48:D51)</f>
        <v>0</v>
      </c>
      <c r="E52" s="721">
        <f t="shared" si="6"/>
        <v>2.5519874244830354</v>
      </c>
      <c r="F52" s="721">
        <f t="shared" si="6"/>
        <v>119.31157877288932</v>
      </c>
      <c r="G52" s="721">
        <f t="shared" si="6"/>
        <v>0</v>
      </c>
      <c r="H52" s="721">
        <f t="shared" si="6"/>
        <v>51451.537463801658</v>
      </c>
      <c r="I52" s="721">
        <f t="shared" si="6"/>
        <v>5953.2416157339367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57782.132715763692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277.40636773374513</v>
      </c>
      <c r="D54" s="692">
        <f ca="1">+landbouw!C12</f>
        <v>10490.929411764706</v>
      </c>
      <c r="E54" s="692">
        <f>+landbouw!D12</f>
        <v>1028.4553802076825</v>
      </c>
      <c r="F54" s="692">
        <f>+landbouw!E12</f>
        <v>3.6669832759783678</v>
      </c>
      <c r="G54" s="692">
        <f>+landbouw!F12</f>
        <v>1180.9459371837736</v>
      </c>
      <c r="H54" s="692">
        <f>+landbouw!G12</f>
        <v>0</v>
      </c>
      <c r="I54" s="692">
        <f>+landbouw!H12</f>
        <v>0</v>
      </c>
      <c r="J54" s="692">
        <f>+landbouw!I12</f>
        <v>0</v>
      </c>
      <c r="K54" s="692">
        <f>+landbouw!J12</f>
        <v>68.247445072422636</v>
      </c>
      <c r="L54" s="692">
        <f>+landbouw!K12</f>
        <v>0</v>
      </c>
      <c r="M54" s="692">
        <f>+landbouw!L12</f>
        <v>0</v>
      </c>
      <c r="N54" s="692">
        <f>+landbouw!M12</f>
        <v>0</v>
      </c>
      <c r="O54" s="692">
        <f>+landbouw!N12</f>
        <v>0</v>
      </c>
      <c r="P54" s="692">
        <f>+landbouw!O12</f>
        <v>0</v>
      </c>
      <c r="Q54" s="693">
        <f>+landbouw!P12</f>
        <v>0</v>
      </c>
      <c r="R54" s="720">
        <f ca="1">SUM(C54:Q54)</f>
        <v>13049.651525238307</v>
      </c>
    </row>
    <row r="55" spans="1:18" ht="15" thickBot="1">
      <c r="A55" s="817" t="s">
        <v>856</v>
      </c>
      <c r="B55" s="827"/>
      <c r="C55" s="692">
        <f ca="1">C25*'EF ele_warmte'!B12</f>
        <v>430.99574554642402</v>
      </c>
      <c r="D55" s="692"/>
      <c r="E55" s="692">
        <f>E25*EF_CO2_aardgas</f>
        <v>668.28522760622786</v>
      </c>
      <c r="F55" s="692"/>
      <c r="G55" s="692"/>
      <c r="H55" s="692"/>
      <c r="I55" s="692"/>
      <c r="J55" s="692"/>
      <c r="K55" s="692"/>
      <c r="L55" s="692"/>
      <c r="M55" s="692"/>
      <c r="N55" s="692"/>
      <c r="O55" s="692"/>
      <c r="P55" s="692"/>
      <c r="Q55" s="693"/>
      <c r="R55" s="720">
        <f ca="1">SUM(C55:Q55)</f>
        <v>1099.2809731526518</v>
      </c>
    </row>
    <row r="56" spans="1:18" ht="15.75" thickBot="1">
      <c r="A56" s="815" t="s">
        <v>857</v>
      </c>
      <c r="B56" s="828"/>
      <c r="C56" s="721">
        <f ca="1">SUM(C54:C55)</f>
        <v>708.40211328016915</v>
      </c>
      <c r="D56" s="721">
        <f t="shared" ref="D56:Q56" ca="1" si="7">SUM(D54:D55)</f>
        <v>10490.929411764706</v>
      </c>
      <c r="E56" s="721">
        <f t="shared" si="7"/>
        <v>1696.7406078139104</v>
      </c>
      <c r="F56" s="721">
        <f t="shared" si="7"/>
        <v>3.6669832759783678</v>
      </c>
      <c r="G56" s="721">
        <f t="shared" si="7"/>
        <v>1180.9459371837736</v>
      </c>
      <c r="H56" s="721">
        <f t="shared" si="7"/>
        <v>0</v>
      </c>
      <c r="I56" s="721">
        <f t="shared" si="7"/>
        <v>0</v>
      </c>
      <c r="J56" s="721">
        <f t="shared" si="7"/>
        <v>0</v>
      </c>
      <c r="K56" s="721">
        <f t="shared" si="7"/>
        <v>68.247445072422636</v>
      </c>
      <c r="L56" s="721">
        <f t="shared" si="7"/>
        <v>0</v>
      </c>
      <c r="M56" s="721">
        <f t="shared" si="7"/>
        <v>0</v>
      </c>
      <c r="N56" s="721">
        <f t="shared" si="7"/>
        <v>0</v>
      </c>
      <c r="O56" s="721">
        <f t="shared" si="7"/>
        <v>0</v>
      </c>
      <c r="P56" s="721">
        <f t="shared" si="7"/>
        <v>0</v>
      </c>
      <c r="Q56" s="722">
        <f t="shared" si="7"/>
        <v>0</v>
      </c>
      <c r="R56" s="723">
        <f ca="1">SUM(R54:R55)</f>
        <v>14148.932498390959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22386.206771208646</v>
      </c>
      <c r="D61" s="729">
        <f t="shared" ref="D61:Q61" ca="1" si="8">D46+D52+D56</f>
        <v>10498.56806722689</v>
      </c>
      <c r="E61" s="729">
        <f t="shared" ca="1" si="8"/>
        <v>29982.861450929518</v>
      </c>
      <c r="F61" s="729">
        <f t="shared" si="8"/>
        <v>900.01787597763166</v>
      </c>
      <c r="G61" s="729">
        <f t="shared" ca="1" si="8"/>
        <v>5206.6228174325079</v>
      </c>
      <c r="H61" s="729">
        <f t="shared" si="8"/>
        <v>51451.537463801658</v>
      </c>
      <c r="I61" s="729">
        <f t="shared" si="8"/>
        <v>5953.2416157339367</v>
      </c>
      <c r="J61" s="729">
        <f t="shared" si="8"/>
        <v>0</v>
      </c>
      <c r="K61" s="729">
        <f t="shared" si="8"/>
        <v>97.419201738997259</v>
      </c>
      <c r="L61" s="729">
        <f t="shared" si="8"/>
        <v>0</v>
      </c>
      <c r="M61" s="729">
        <f t="shared" ca="1" si="8"/>
        <v>0</v>
      </c>
      <c r="N61" s="729">
        <f t="shared" si="8"/>
        <v>0</v>
      </c>
      <c r="O61" s="729">
        <f t="shared" ca="1" si="8"/>
        <v>0</v>
      </c>
      <c r="P61" s="729">
        <f t="shared" si="8"/>
        <v>0</v>
      </c>
      <c r="Q61" s="729">
        <f t="shared" si="8"/>
        <v>0</v>
      </c>
      <c r="R61" s="729">
        <f ca="1">R46+R52+R56</f>
        <v>126476.47526404979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0.21639553734768102</v>
      </c>
      <c r="D63" s="772">
        <f t="shared" ca="1" si="9"/>
        <v>0.23764705882352941</v>
      </c>
      <c r="E63" s="998">
        <f t="shared" ca="1" si="9"/>
        <v>0.20199999999999996</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4484.7384167839273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30924</v>
      </c>
      <c r="D76" s="1008">
        <f>'lokale energieproductie'!C8</f>
        <v>36381.176470588238</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7348.9976470588244</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4484.7384167839273</v>
      </c>
      <c r="C78" s="744">
        <f>SUM(C72:C77)</f>
        <v>30924</v>
      </c>
      <c r="D78" s="745">
        <f t="shared" ref="D78:H78" si="10">SUM(D76:D77)</f>
        <v>36381.176470588238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7348.9976470588244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44177.142857142855</v>
      </c>
      <c r="D87" s="766">
        <f>'lokale energieproductie'!C17</f>
        <v>51973.10924369748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10498.568067226892</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44177.142857142855</v>
      </c>
      <c r="D90" s="744">
        <f t="shared" ref="D90:H90" si="12">SUM(D87:D89)</f>
        <v>51973.10924369748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10498.568067226892</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4484.7384167839273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30924</v>
      </c>
      <c r="C8" s="556">
        <f>B50</f>
        <v>36381.176470588238</v>
      </c>
      <c r="D8" s="1015"/>
      <c r="E8" s="1015">
        <f>E50</f>
        <v>0</v>
      </c>
      <c r="F8" s="1016"/>
      <c r="G8" s="557"/>
      <c r="H8" s="1015">
        <f>I50</f>
        <v>0</v>
      </c>
      <c r="I8" s="1015">
        <f>G50+F50</f>
        <v>0</v>
      </c>
      <c r="J8" s="1015">
        <f>H50+D50+C50</f>
        <v>0</v>
      </c>
      <c r="K8" s="1015"/>
      <c r="L8" s="1015"/>
      <c r="M8" s="1015"/>
      <c r="N8" s="558"/>
      <c r="O8" s="559">
        <f>C8*$C$12+D8*$D$12+E8*$E$12+F8*$F$12+G8*$G$12+H8*$H$12+I8*$I$12+J8*$J$12</f>
        <v>7348.9976470588244</v>
      </c>
      <c r="P8" s="1254"/>
      <c r="Q8" s="1255"/>
      <c r="S8" s="1027"/>
      <c r="T8" s="1275"/>
      <c r="U8" s="1275"/>
    </row>
    <row r="9" spans="1:21" s="544" customFormat="1" ht="17.45" customHeight="1" thickBot="1">
      <c r="A9" s="560" t="s">
        <v>247</v>
      </c>
      <c r="B9" s="561">
        <f>N38+'Eigen informatie GS &amp; warmtenet'!B12</f>
        <v>0</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35408.738416783926</v>
      </c>
      <c r="C10" s="569">
        <f t="shared" ref="C10:L10" si="0">SUM(C8:C9)</f>
        <v>36381.176470588238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7348.9976470588244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44177.142857142855</v>
      </c>
      <c r="C17" s="581">
        <f>B51</f>
        <v>51973.10924369748</v>
      </c>
      <c r="D17" s="582"/>
      <c r="E17" s="582">
        <f>E51</f>
        <v>0</v>
      </c>
      <c r="F17" s="1021"/>
      <c r="G17" s="583"/>
      <c r="H17" s="581">
        <f>I51</f>
        <v>0</v>
      </c>
      <c r="I17" s="582">
        <f>G51+F51</f>
        <v>0</v>
      </c>
      <c r="J17" s="582">
        <f>H51+D51+C51</f>
        <v>0</v>
      </c>
      <c r="K17" s="582"/>
      <c r="L17" s="582"/>
      <c r="M17" s="582"/>
      <c r="N17" s="1022"/>
      <c r="O17" s="584">
        <f>C17*$C$22+E17*$E$22+H17*$H$22+I17*$I$22+J17*$J$22+D17*$D$22+F17*$F$22+G17*$G$22+K17*$K$22+L17*$L$22</f>
        <v>10498.568067226892</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44177.142857142855</v>
      </c>
      <c r="C20" s="568">
        <f>SUM(C17:C19)</f>
        <v>51973.10924369748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10498.568067226892</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11056</v>
      </c>
      <c r="C28" s="787">
        <v>2070</v>
      </c>
      <c r="D28" s="640" t="s">
        <v>920</v>
      </c>
      <c r="E28" s="639" t="s">
        <v>921</v>
      </c>
      <c r="F28" s="639" t="s">
        <v>922</v>
      </c>
      <c r="G28" s="639" t="s">
        <v>923</v>
      </c>
      <c r="H28" s="639" t="s">
        <v>924</v>
      </c>
      <c r="I28" s="639" t="s">
        <v>921</v>
      </c>
      <c r="J28" s="786">
        <v>40267</v>
      </c>
      <c r="K28" s="786">
        <v>40269</v>
      </c>
      <c r="L28" s="639" t="s">
        <v>925</v>
      </c>
      <c r="M28" s="639">
        <v>2067</v>
      </c>
      <c r="N28" s="639">
        <v>9301.5</v>
      </c>
      <c r="O28" s="639">
        <v>13287.857142857143</v>
      </c>
      <c r="P28" s="639">
        <v>26575.714285714286</v>
      </c>
      <c r="Q28" s="639">
        <v>0</v>
      </c>
      <c r="R28" s="639">
        <v>0</v>
      </c>
      <c r="S28" s="639">
        <v>0</v>
      </c>
      <c r="T28" s="639">
        <v>0</v>
      </c>
      <c r="U28" s="639">
        <v>0</v>
      </c>
      <c r="V28" s="639">
        <v>0</v>
      </c>
      <c r="W28" s="639">
        <v>0</v>
      </c>
      <c r="X28" s="639">
        <v>10</v>
      </c>
      <c r="Y28" s="639" t="s">
        <v>111</v>
      </c>
      <c r="Z28" s="641" t="s">
        <v>111</v>
      </c>
    </row>
    <row r="29" spans="1:26" s="593" customFormat="1" ht="63.75">
      <c r="A29" s="592"/>
      <c r="B29" s="787">
        <v>11056</v>
      </c>
      <c r="C29" s="787">
        <v>2070</v>
      </c>
      <c r="D29" s="640" t="s">
        <v>926</v>
      </c>
      <c r="E29" s="639" t="s">
        <v>927</v>
      </c>
      <c r="F29" s="639" t="s">
        <v>928</v>
      </c>
      <c r="G29" s="639" t="s">
        <v>923</v>
      </c>
      <c r="H29" s="639" t="s">
        <v>924</v>
      </c>
      <c r="I29" s="639" t="s">
        <v>927</v>
      </c>
      <c r="J29" s="786">
        <v>40735</v>
      </c>
      <c r="K29" s="786">
        <v>40848</v>
      </c>
      <c r="L29" s="639" t="s">
        <v>925</v>
      </c>
      <c r="M29" s="639">
        <v>5</v>
      </c>
      <c r="N29" s="639">
        <v>22.5</v>
      </c>
      <c r="O29" s="639">
        <v>32.142857142857146</v>
      </c>
      <c r="P29" s="639">
        <v>64.285714285714292</v>
      </c>
      <c r="Q29" s="639">
        <v>0</v>
      </c>
      <c r="R29" s="639">
        <v>0</v>
      </c>
      <c r="S29" s="639">
        <v>0</v>
      </c>
      <c r="T29" s="639">
        <v>0</v>
      </c>
      <c r="U29" s="639">
        <v>0</v>
      </c>
      <c r="V29" s="639">
        <v>0</v>
      </c>
      <c r="W29" s="639">
        <v>0</v>
      </c>
      <c r="X29" s="639">
        <v>1600</v>
      </c>
      <c r="Y29" s="639" t="s">
        <v>49</v>
      </c>
      <c r="Z29" s="641" t="s">
        <v>155</v>
      </c>
    </row>
    <row r="30" spans="1:26" s="593" customFormat="1" ht="25.5">
      <c r="A30" s="592"/>
      <c r="B30" s="787">
        <v>11056</v>
      </c>
      <c r="C30" s="787">
        <v>2070</v>
      </c>
      <c r="D30" s="640" t="s">
        <v>929</v>
      </c>
      <c r="E30" s="639" t="s">
        <v>930</v>
      </c>
      <c r="F30" s="639" t="s">
        <v>931</v>
      </c>
      <c r="G30" s="639" t="s">
        <v>923</v>
      </c>
      <c r="H30" s="639" t="s">
        <v>924</v>
      </c>
      <c r="I30" s="639" t="s">
        <v>932</v>
      </c>
      <c r="J30" s="786">
        <v>40946</v>
      </c>
      <c r="K30" s="786">
        <v>39043</v>
      </c>
      <c r="L30" s="639" t="s">
        <v>925</v>
      </c>
      <c r="M30" s="639">
        <v>4800</v>
      </c>
      <c r="N30" s="639">
        <v>21600</v>
      </c>
      <c r="O30" s="639">
        <v>30857.142857142859</v>
      </c>
      <c r="P30" s="639">
        <v>61714.285714285717</v>
      </c>
      <c r="Q30" s="639">
        <v>0</v>
      </c>
      <c r="R30" s="639">
        <v>0</v>
      </c>
      <c r="S30" s="639">
        <v>0</v>
      </c>
      <c r="T30" s="639">
        <v>0</v>
      </c>
      <c r="U30" s="639">
        <v>0</v>
      </c>
      <c r="V30" s="639">
        <v>0</v>
      </c>
      <c r="W30" s="639">
        <v>0</v>
      </c>
      <c r="X30" s="639">
        <v>10</v>
      </c>
      <c r="Y30" s="639" t="s">
        <v>111</v>
      </c>
      <c r="Z30" s="641" t="s">
        <v>111</v>
      </c>
    </row>
    <row r="31" spans="1:26" s="576" customFormat="1">
      <c r="A31" s="595" t="s">
        <v>279</v>
      </c>
      <c r="B31" s="596"/>
      <c r="C31" s="596"/>
      <c r="D31" s="596"/>
      <c r="E31" s="596"/>
      <c r="F31" s="596"/>
      <c r="G31" s="596"/>
      <c r="H31" s="596"/>
      <c r="I31" s="596"/>
      <c r="J31" s="596"/>
      <c r="K31" s="596"/>
      <c r="L31" s="597"/>
      <c r="M31" s="597">
        <f>SUM(M28:M30)</f>
        <v>6872</v>
      </c>
      <c r="N31" s="597">
        <f>SUM(N28:N30)</f>
        <v>30924</v>
      </c>
      <c r="O31" s="597">
        <f>SUM(O28:O30)</f>
        <v>44177.142857142855</v>
      </c>
      <c r="P31" s="597">
        <f>SUM(P28:P30)</f>
        <v>88354.28571428571</v>
      </c>
      <c r="Q31" s="597">
        <f>SUM(Q28:Q30)</f>
        <v>0</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5</v>
      </c>
      <c r="N33" s="597">
        <f ca="1">SUMIF($Z$28:AD30,"tertiair",N28:N30)</f>
        <v>22.5</v>
      </c>
      <c r="O33" s="597">
        <f ca="1">SUMIF($Z$28:AE30,"tertiair",O28:O30)</f>
        <v>32.142857142857146</v>
      </c>
      <c r="P33" s="597">
        <f ca="1">SUMIF($Z$28:AF30,"tertiair",P28:P30)</f>
        <v>64.285714285714292</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6867</v>
      </c>
      <c r="N34" s="602">
        <f>SUMIF($Z$28:$Z$30,"landbouw",N28:N30)</f>
        <v>30901.5</v>
      </c>
      <c r="O34" s="602">
        <f>SUMIF($Z$28:$Z$30,"landbouw",O28:O30)</f>
        <v>44145</v>
      </c>
      <c r="P34" s="602">
        <f>SUMIF($Z$28:$Z$30,"landbouw",P28:P30)</f>
        <v>88290</v>
      </c>
      <c r="Q34" s="602">
        <f>SUMIF($Z$28:$Z$30,"landbouw",Q28:Q30)</f>
        <v>0</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87"/>
      <c r="C37" s="787"/>
      <c r="D37" s="642"/>
      <c r="E37" s="642"/>
      <c r="F37" s="642"/>
      <c r="G37" s="642"/>
      <c r="H37" s="642"/>
      <c r="I37" s="642"/>
      <c r="J37" s="786"/>
      <c r="K37" s="786"/>
      <c r="L37" s="642"/>
      <c r="M37" s="642"/>
      <c r="N37" s="642"/>
      <c r="O37" s="642"/>
      <c r="P37" s="642"/>
      <c r="Q37" s="642"/>
      <c r="R37" s="642"/>
      <c r="S37" s="642"/>
      <c r="T37" s="642"/>
      <c r="U37" s="642"/>
      <c r="V37" s="642"/>
      <c r="W37" s="642"/>
      <c r="X37" s="642"/>
      <c r="Y37" s="642"/>
      <c r="Z37" s="643"/>
    </row>
    <row r="38" spans="1:27" s="576"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0.41176470588235298</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36381.176470588238</v>
      </c>
      <c r="C50" s="631">
        <f t="shared" si="2"/>
        <v>0</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51973.10924369748</v>
      </c>
      <c r="C51" s="634">
        <f t="shared" si="3"/>
        <v>0</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33389.494154523331</v>
      </c>
      <c r="C4" s="458">
        <f>huishoudens!C8</f>
        <v>0</v>
      </c>
      <c r="D4" s="458">
        <f>huishoudens!D8</f>
        <v>100492.73790953103</v>
      </c>
      <c r="E4" s="458">
        <f>huishoudens!E8</f>
        <v>420.41451242144916</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5424.1816297749538</v>
      </c>
      <c r="O4" s="458">
        <f>huishoudens!O8</f>
        <v>104.74333333333335</v>
      </c>
      <c r="P4" s="459">
        <f>huishoudens!P8</f>
        <v>152.53333333333333</v>
      </c>
      <c r="Q4" s="460">
        <f>SUM(B4:P4)</f>
        <v>139984.10487291741</v>
      </c>
    </row>
    <row r="5" spans="1:17">
      <c r="A5" s="457" t="s">
        <v>155</v>
      </c>
      <c r="B5" s="458">
        <f ca="1">tertiair!B16</f>
        <v>24422.504236894481</v>
      </c>
      <c r="C5" s="458">
        <f ca="1">tertiair!C16</f>
        <v>32.142857142857146</v>
      </c>
      <c r="D5" s="458">
        <f ca="1">tertiair!D16</f>
        <v>26859.47518191145</v>
      </c>
      <c r="E5" s="458">
        <f>tertiair!E16</f>
        <v>291.84938386905435</v>
      </c>
      <c r="F5" s="458">
        <f ca="1">tertiair!F16</f>
        <v>4693.6804671242717</v>
      </c>
      <c r="G5" s="458">
        <f>tertiair!G16</f>
        <v>0</v>
      </c>
      <c r="H5" s="458">
        <f>tertiair!H16</f>
        <v>0</v>
      </c>
      <c r="I5" s="458">
        <f>tertiair!I16</f>
        <v>0</v>
      </c>
      <c r="J5" s="458">
        <f>tertiair!J16</f>
        <v>0</v>
      </c>
      <c r="K5" s="458">
        <f>tertiair!K16</f>
        <v>0</v>
      </c>
      <c r="L5" s="458">
        <f ca="1">tertiair!L16</f>
        <v>0</v>
      </c>
      <c r="M5" s="458">
        <f>tertiair!M16</f>
        <v>0</v>
      </c>
      <c r="N5" s="458">
        <f ca="1">tertiair!N16</f>
        <v>2227.9950490506253</v>
      </c>
      <c r="O5" s="458">
        <f>tertiair!O16</f>
        <v>0</v>
      </c>
      <c r="P5" s="459">
        <f>tertiair!P16</f>
        <v>19.066666666666666</v>
      </c>
      <c r="Q5" s="457">
        <f t="shared" ref="Q5:Q14" ca="1" si="0">SUM(B5:P5)</f>
        <v>58546.713842659403</v>
      </c>
    </row>
    <row r="6" spans="1:17">
      <c r="A6" s="457" t="s">
        <v>193</v>
      </c>
      <c r="B6" s="458">
        <f>'openbare verlichting'!B8</f>
        <v>1279.3991244392901</v>
      </c>
      <c r="C6" s="458"/>
      <c r="D6" s="458"/>
      <c r="E6" s="458"/>
      <c r="F6" s="458"/>
      <c r="G6" s="458"/>
      <c r="H6" s="458"/>
      <c r="I6" s="458"/>
      <c r="J6" s="458"/>
      <c r="K6" s="458"/>
      <c r="L6" s="458"/>
      <c r="M6" s="458"/>
      <c r="N6" s="458"/>
      <c r="O6" s="458"/>
      <c r="P6" s="459"/>
      <c r="Q6" s="457">
        <f t="shared" si="0"/>
        <v>1279.3991244392901</v>
      </c>
    </row>
    <row r="7" spans="1:17">
      <c r="A7" s="457" t="s">
        <v>111</v>
      </c>
      <c r="B7" s="458">
        <f>landbouw!B8</f>
        <v>1281.94125966673</v>
      </c>
      <c r="C7" s="458">
        <f>landbouw!C8</f>
        <v>44145</v>
      </c>
      <c r="D7" s="458">
        <f>landbouw!D8</f>
        <v>5091.363268354864</v>
      </c>
      <c r="E7" s="458">
        <f>landbouw!E8</f>
        <v>16.154111347922324</v>
      </c>
      <c r="F7" s="458">
        <f>landbouw!F8</f>
        <v>4423.0184913249941</v>
      </c>
      <c r="G7" s="458">
        <f>landbouw!G8</f>
        <v>0</v>
      </c>
      <c r="H7" s="458">
        <f>landbouw!H8</f>
        <v>0</v>
      </c>
      <c r="I7" s="458">
        <f>landbouw!I8</f>
        <v>0</v>
      </c>
      <c r="J7" s="458">
        <f>landbouw!J8</f>
        <v>192.78939285995096</v>
      </c>
      <c r="K7" s="458">
        <f>landbouw!K8</f>
        <v>0</v>
      </c>
      <c r="L7" s="458">
        <f>landbouw!L8</f>
        <v>0</v>
      </c>
      <c r="M7" s="458">
        <f>landbouw!M8</f>
        <v>0</v>
      </c>
      <c r="N7" s="458">
        <f>landbouw!N8</f>
        <v>0</v>
      </c>
      <c r="O7" s="458">
        <f>landbouw!O8</f>
        <v>0</v>
      </c>
      <c r="P7" s="459">
        <f>landbouw!P8</f>
        <v>0</v>
      </c>
      <c r="Q7" s="457">
        <f t="shared" si="0"/>
        <v>55150.26652355447</v>
      </c>
    </row>
    <row r="8" spans="1:17">
      <c r="A8" s="457" t="s">
        <v>655</v>
      </c>
      <c r="B8" s="458">
        <f>industrie!B18</f>
        <v>39904.704023328908</v>
      </c>
      <c r="C8" s="458">
        <f>industrie!C18</f>
        <v>0</v>
      </c>
      <c r="D8" s="458">
        <f>industrie!D18</f>
        <v>12665.454510988842</v>
      </c>
      <c r="E8" s="458">
        <f>industrie!E18</f>
        <v>2710.8167818097781</v>
      </c>
      <c r="F8" s="458">
        <f>industrie!F18</f>
        <v>10383.761031934657</v>
      </c>
      <c r="G8" s="458">
        <f>industrie!G18</f>
        <v>0</v>
      </c>
      <c r="H8" s="458">
        <f>industrie!H18</f>
        <v>0</v>
      </c>
      <c r="I8" s="458">
        <f>industrie!I18</f>
        <v>0</v>
      </c>
      <c r="J8" s="458">
        <f>industrie!J18</f>
        <v>82.406092278459411</v>
      </c>
      <c r="K8" s="458">
        <f>industrie!K18</f>
        <v>0</v>
      </c>
      <c r="L8" s="458">
        <f>industrie!L18</f>
        <v>0</v>
      </c>
      <c r="M8" s="458">
        <f>industrie!M18</f>
        <v>0</v>
      </c>
      <c r="N8" s="458">
        <f>industrie!N18</f>
        <v>1927.1587674925063</v>
      </c>
      <c r="O8" s="458">
        <f>industrie!O18</f>
        <v>0</v>
      </c>
      <c r="P8" s="459">
        <f>industrie!P18</f>
        <v>0</v>
      </c>
      <c r="Q8" s="457">
        <f t="shared" si="0"/>
        <v>67674.301207833152</v>
      </c>
    </row>
    <row r="9" spans="1:17" s="463" customFormat="1">
      <c r="A9" s="461" t="s">
        <v>573</v>
      </c>
      <c r="B9" s="462">
        <f>transport!B14</f>
        <v>8.1219797619022351</v>
      </c>
      <c r="C9" s="462">
        <f>transport!C14</f>
        <v>0</v>
      </c>
      <c r="D9" s="462">
        <f>transport!D14</f>
        <v>12.633601111302154</v>
      </c>
      <c r="E9" s="462">
        <f>transport!E14</f>
        <v>525.60166860303661</v>
      </c>
      <c r="F9" s="462">
        <f>transport!F14</f>
        <v>0</v>
      </c>
      <c r="G9" s="462">
        <f>transport!G14</f>
        <v>191609.50109625011</v>
      </c>
      <c r="H9" s="462">
        <f>transport!H14</f>
        <v>23908.600866401353</v>
      </c>
      <c r="I9" s="462">
        <f>transport!I14</f>
        <v>0</v>
      </c>
      <c r="J9" s="462">
        <f>transport!J14</f>
        <v>0</v>
      </c>
      <c r="K9" s="462">
        <f>transport!K14</f>
        <v>0</v>
      </c>
      <c r="L9" s="462">
        <f>transport!L14</f>
        <v>0</v>
      </c>
      <c r="M9" s="462">
        <f>transport!M14</f>
        <v>9741.2013164923028</v>
      </c>
      <c r="N9" s="462">
        <f>transport!N14</f>
        <v>0</v>
      </c>
      <c r="O9" s="462">
        <f>transport!O14</f>
        <v>0</v>
      </c>
      <c r="P9" s="462">
        <f>transport!P14</f>
        <v>0</v>
      </c>
      <c r="Q9" s="461">
        <f>SUM(B9:P9)</f>
        <v>225805.66052862004</v>
      </c>
    </row>
    <row r="10" spans="1:17">
      <c r="A10" s="457" t="s">
        <v>563</v>
      </c>
      <c r="B10" s="458">
        <f>transport!B54</f>
        <v>1172.540399704063</v>
      </c>
      <c r="C10" s="458">
        <f>transport!C54</f>
        <v>0</v>
      </c>
      <c r="D10" s="458">
        <f>transport!D54</f>
        <v>0</v>
      </c>
      <c r="E10" s="458">
        <f>transport!E54</f>
        <v>0</v>
      </c>
      <c r="F10" s="458">
        <f>transport!F54</f>
        <v>0</v>
      </c>
      <c r="G10" s="458">
        <f>transport!G54</f>
        <v>1092.8864086250103</v>
      </c>
      <c r="H10" s="458">
        <f>transport!H54</f>
        <v>0</v>
      </c>
      <c r="I10" s="458">
        <f>transport!I54</f>
        <v>0</v>
      </c>
      <c r="J10" s="458">
        <f>transport!J54</f>
        <v>0</v>
      </c>
      <c r="K10" s="458">
        <f>transport!K54</f>
        <v>0</v>
      </c>
      <c r="L10" s="458">
        <f>transport!L54</f>
        <v>0</v>
      </c>
      <c r="M10" s="458">
        <f>transport!M54</f>
        <v>48.645278184283093</v>
      </c>
      <c r="N10" s="458">
        <f>transport!N54</f>
        <v>0</v>
      </c>
      <c r="O10" s="458">
        <f>transport!O54</f>
        <v>0</v>
      </c>
      <c r="P10" s="459">
        <f>transport!P54</f>
        <v>0</v>
      </c>
      <c r="Q10" s="457">
        <f t="shared" si="0"/>
        <v>2314.0720865133567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1991.7034834870301</v>
      </c>
      <c r="C14" s="465"/>
      <c r="D14" s="465">
        <f>'SEAP template'!E25</f>
        <v>3308.3427109219201</v>
      </c>
      <c r="E14" s="465"/>
      <c r="F14" s="465"/>
      <c r="G14" s="465"/>
      <c r="H14" s="465"/>
      <c r="I14" s="465"/>
      <c r="J14" s="465"/>
      <c r="K14" s="465"/>
      <c r="L14" s="465"/>
      <c r="M14" s="465"/>
      <c r="N14" s="465"/>
      <c r="O14" s="465"/>
      <c r="P14" s="466"/>
      <c r="Q14" s="457">
        <f t="shared" si="0"/>
        <v>5300.0461944089502</v>
      </c>
    </row>
    <row r="15" spans="1:17" s="470" customFormat="1">
      <c r="A15" s="467" t="s">
        <v>567</v>
      </c>
      <c r="B15" s="468">
        <f ca="1">SUM(B4:B14)</f>
        <v>103450.40866180575</v>
      </c>
      <c r="C15" s="468">
        <f t="shared" ref="C15:Q15" ca="1" si="1">SUM(C4:C14)</f>
        <v>44177.142857142855</v>
      </c>
      <c r="D15" s="468">
        <f t="shared" ca="1" si="1"/>
        <v>148430.00718281939</v>
      </c>
      <c r="E15" s="468">
        <f t="shared" si="1"/>
        <v>3964.8364580512407</v>
      </c>
      <c r="F15" s="468">
        <f t="shared" ca="1" si="1"/>
        <v>19500.459990383923</v>
      </c>
      <c r="G15" s="468">
        <f t="shared" si="1"/>
        <v>192702.38750487511</v>
      </c>
      <c r="H15" s="468">
        <f t="shared" si="1"/>
        <v>23908.600866401353</v>
      </c>
      <c r="I15" s="468">
        <f t="shared" si="1"/>
        <v>0</v>
      </c>
      <c r="J15" s="468">
        <f t="shared" si="1"/>
        <v>275.19548513841039</v>
      </c>
      <c r="K15" s="468">
        <f t="shared" si="1"/>
        <v>0</v>
      </c>
      <c r="L15" s="468">
        <f t="shared" ca="1" si="1"/>
        <v>0</v>
      </c>
      <c r="M15" s="468">
        <f t="shared" si="1"/>
        <v>9789.8465946765864</v>
      </c>
      <c r="N15" s="468">
        <f t="shared" ca="1" si="1"/>
        <v>9579.3354463180858</v>
      </c>
      <c r="O15" s="468">
        <f t="shared" si="1"/>
        <v>104.74333333333335</v>
      </c>
      <c r="P15" s="468">
        <f t="shared" si="1"/>
        <v>171.6</v>
      </c>
      <c r="Q15" s="468">
        <f t="shared" ca="1" si="1"/>
        <v>556054.5643809461</v>
      </c>
    </row>
    <row r="17" spans="1:17">
      <c r="A17" s="471" t="s">
        <v>568</v>
      </c>
      <c r="B17" s="777">
        <f ca="1">huishoudens!B10</f>
        <v>0.21639553734768102</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7225.3375293353301</v>
      </c>
      <c r="C22" s="458">
        <f t="shared" ref="C22:C32" ca="1" si="3">C4*$C$17</f>
        <v>0</v>
      </c>
      <c r="D22" s="458">
        <f t="shared" ref="D22:D32" si="4">D4*$D$17</f>
        <v>20299.533057725268</v>
      </c>
      <c r="E22" s="458">
        <f t="shared" ref="E22:E32" si="5">E4*$E$17</f>
        <v>95.434094319668958</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27620.304681380268</v>
      </c>
    </row>
    <row r="23" spans="1:17">
      <c r="A23" s="457" t="s">
        <v>155</v>
      </c>
      <c r="B23" s="458">
        <f t="shared" ca="1" si="2"/>
        <v>5284.9209277187974</v>
      </c>
      <c r="C23" s="458">
        <f t="shared" ca="1" si="3"/>
        <v>7.6386554621848752</v>
      </c>
      <c r="D23" s="458">
        <f t="shared" ca="1" si="4"/>
        <v>5425.6139867461134</v>
      </c>
      <c r="E23" s="458">
        <f t="shared" si="5"/>
        <v>66.249810138275336</v>
      </c>
      <c r="F23" s="458">
        <f t="shared" ca="1" si="6"/>
        <v>1253.2126847221807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12037.636064787552</v>
      </c>
    </row>
    <row r="24" spans="1:17">
      <c r="A24" s="457" t="s">
        <v>193</v>
      </c>
      <c r="B24" s="458">
        <f t="shared" ca="1" si="2"/>
        <v>276.85626101519279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276.85626101519279</v>
      </c>
    </row>
    <row r="25" spans="1:17">
      <c r="A25" s="457" t="s">
        <v>111</v>
      </c>
      <c r="B25" s="458">
        <f t="shared" ca="1" si="2"/>
        <v>277.40636773374513</v>
      </c>
      <c r="C25" s="458">
        <f t="shared" ca="1" si="3"/>
        <v>10490.929411764706</v>
      </c>
      <c r="D25" s="458">
        <f t="shared" si="4"/>
        <v>1028.4553802076825</v>
      </c>
      <c r="E25" s="458">
        <f t="shared" si="5"/>
        <v>3.6669832759783678</v>
      </c>
      <c r="F25" s="458">
        <f t="shared" si="6"/>
        <v>1180.9459371837736</v>
      </c>
      <c r="G25" s="458">
        <f t="shared" si="7"/>
        <v>0</v>
      </c>
      <c r="H25" s="458">
        <f t="shared" si="8"/>
        <v>0</v>
      </c>
      <c r="I25" s="458">
        <f t="shared" si="9"/>
        <v>0</v>
      </c>
      <c r="J25" s="458">
        <f t="shared" si="10"/>
        <v>68.247445072422636</v>
      </c>
      <c r="K25" s="458">
        <f t="shared" si="11"/>
        <v>0</v>
      </c>
      <c r="L25" s="458">
        <f t="shared" si="12"/>
        <v>0</v>
      </c>
      <c r="M25" s="458">
        <f t="shared" si="13"/>
        <v>0</v>
      </c>
      <c r="N25" s="458">
        <f t="shared" si="14"/>
        <v>0</v>
      </c>
      <c r="O25" s="458">
        <f t="shared" si="15"/>
        <v>0</v>
      </c>
      <c r="P25" s="459">
        <f t="shared" si="16"/>
        <v>0</v>
      </c>
      <c r="Q25" s="457">
        <f t="shared" ca="1" si="17"/>
        <v>13049.651525238307</v>
      </c>
    </row>
    <row r="26" spans="1:17">
      <c r="A26" s="457" t="s">
        <v>655</v>
      </c>
      <c r="B26" s="458">
        <f t="shared" ca="1" si="2"/>
        <v>8635.1998698284278</v>
      </c>
      <c r="C26" s="458">
        <f t="shared" ca="1" si="3"/>
        <v>0</v>
      </c>
      <c r="D26" s="458">
        <f t="shared" si="4"/>
        <v>2558.4218112197464</v>
      </c>
      <c r="E26" s="458">
        <f t="shared" si="5"/>
        <v>615.35540947081961</v>
      </c>
      <c r="F26" s="458">
        <f t="shared" si="6"/>
        <v>2772.4641955265533</v>
      </c>
      <c r="G26" s="458">
        <f t="shared" si="7"/>
        <v>0</v>
      </c>
      <c r="H26" s="458">
        <f t="shared" si="8"/>
        <v>0</v>
      </c>
      <c r="I26" s="458">
        <f t="shared" si="9"/>
        <v>0</v>
      </c>
      <c r="J26" s="458">
        <f t="shared" si="10"/>
        <v>29.17175666657463</v>
      </c>
      <c r="K26" s="458">
        <f t="shared" si="11"/>
        <v>0</v>
      </c>
      <c r="L26" s="458">
        <f t="shared" si="12"/>
        <v>0</v>
      </c>
      <c r="M26" s="458">
        <f t="shared" si="13"/>
        <v>0</v>
      </c>
      <c r="N26" s="458">
        <f t="shared" si="14"/>
        <v>0</v>
      </c>
      <c r="O26" s="458">
        <f t="shared" si="15"/>
        <v>0</v>
      </c>
      <c r="P26" s="459">
        <f t="shared" si="16"/>
        <v>0</v>
      </c>
      <c r="Q26" s="457">
        <f t="shared" ca="1" si="17"/>
        <v>14610.613042712122</v>
      </c>
    </row>
    <row r="27" spans="1:17" s="463" customFormat="1">
      <c r="A27" s="461" t="s">
        <v>573</v>
      </c>
      <c r="B27" s="771">
        <f t="shared" ca="1" si="2"/>
        <v>1.7575601749038245</v>
      </c>
      <c r="C27" s="462">
        <f t="shared" ca="1" si="3"/>
        <v>0</v>
      </c>
      <c r="D27" s="462">
        <f t="shared" si="4"/>
        <v>2.5519874244830354</v>
      </c>
      <c r="E27" s="462">
        <f t="shared" si="5"/>
        <v>119.31157877288932</v>
      </c>
      <c r="F27" s="462">
        <f t="shared" si="6"/>
        <v>0</v>
      </c>
      <c r="G27" s="462">
        <f t="shared" si="7"/>
        <v>51159.736792698779</v>
      </c>
      <c r="H27" s="462">
        <f t="shared" si="8"/>
        <v>5953.2416157339367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57236.599534804991</v>
      </c>
    </row>
    <row r="28" spans="1:17">
      <c r="A28" s="457" t="s">
        <v>563</v>
      </c>
      <c r="B28" s="458">
        <f t="shared" ca="1" si="2"/>
        <v>253.73250985582541</v>
      </c>
      <c r="C28" s="458">
        <f t="shared" ca="1" si="3"/>
        <v>0</v>
      </c>
      <c r="D28" s="458">
        <f t="shared" si="4"/>
        <v>0</v>
      </c>
      <c r="E28" s="458">
        <f t="shared" si="5"/>
        <v>0</v>
      </c>
      <c r="F28" s="458">
        <f t="shared" si="6"/>
        <v>0</v>
      </c>
      <c r="G28" s="458">
        <f t="shared" si="7"/>
        <v>291.80067110287774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545.53318095870316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430.99574554642402</v>
      </c>
      <c r="C32" s="458">
        <f t="shared" ca="1" si="3"/>
        <v>0</v>
      </c>
      <c r="D32" s="458">
        <f t="shared" si="4"/>
        <v>668.28522760622786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1099.2809731526518</v>
      </c>
    </row>
    <row r="33" spans="1:17" s="470" customFormat="1">
      <c r="A33" s="467" t="s">
        <v>567</v>
      </c>
      <c r="B33" s="468">
        <f ca="1">SUM(B22:B32)</f>
        <v>22386.206771208646</v>
      </c>
      <c r="C33" s="468">
        <f t="shared" ref="C33:Q33" ca="1" si="18">SUM(C22:C32)</f>
        <v>10498.56806722689</v>
      </c>
      <c r="D33" s="468">
        <f t="shared" ca="1" si="18"/>
        <v>29982.861450929518</v>
      </c>
      <c r="E33" s="468">
        <f t="shared" si="18"/>
        <v>900.01787597763155</v>
      </c>
      <c r="F33" s="468">
        <f t="shared" ca="1" si="18"/>
        <v>5206.6228174325079</v>
      </c>
      <c r="G33" s="468">
        <f t="shared" si="18"/>
        <v>51451.537463801658</v>
      </c>
      <c r="H33" s="468">
        <f t="shared" si="18"/>
        <v>5953.2416157339367</v>
      </c>
      <c r="I33" s="468">
        <f t="shared" si="18"/>
        <v>0</v>
      </c>
      <c r="J33" s="468">
        <f t="shared" si="18"/>
        <v>97.419201738997259</v>
      </c>
      <c r="K33" s="468">
        <f t="shared" si="18"/>
        <v>0</v>
      </c>
      <c r="L33" s="468">
        <f t="shared" ca="1" si="18"/>
        <v>0</v>
      </c>
      <c r="M33" s="468">
        <f t="shared" si="18"/>
        <v>0</v>
      </c>
      <c r="N33" s="468">
        <f t="shared" ca="1" si="18"/>
        <v>0</v>
      </c>
      <c r="O33" s="468">
        <f t="shared" si="18"/>
        <v>0</v>
      </c>
      <c r="P33" s="468">
        <f t="shared" si="18"/>
        <v>0</v>
      </c>
      <c r="Q33" s="468">
        <f t="shared" ca="1" si="18"/>
        <v>126476.47526404979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4484.7384167839273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30924</v>
      </c>
      <c r="D8" s="1034">
        <f>'SEAP template'!D76</f>
        <v>36381.176470588238</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7348.9976470588244</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4484.7384167839273</v>
      </c>
      <c r="C10" s="1038">
        <f>SUM(C4:C9)</f>
        <v>30924</v>
      </c>
      <c r="D10" s="1038">
        <f t="shared" ref="D10:H10" si="0">SUM(D8:D9)</f>
        <v>36381.176470588238</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7348.9976470588244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0.21639553734768102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44177.142857142855</v>
      </c>
      <c r="D17" s="1035">
        <f>'SEAP template'!D87</f>
        <v>51973.10924369748</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10498.568067226892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44177.142857142855</v>
      </c>
      <c r="D20" s="1038">
        <f t="shared" ref="D20:H20" si="2">SUM(D17:D19)</f>
        <v>51973.10924369748</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10498.568067226892</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0.21639553734768102</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2020-06-20T16:14:07Z</dcterms:modified>
</cp:coreProperties>
</file>