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6" i="18"/>
  <c r="V46" i="18"/>
  <c r="U46" i="18"/>
  <c r="T46" i="18"/>
  <c r="S46" i="18"/>
  <c r="R46" i="18"/>
  <c r="Q46" i="18"/>
  <c r="P46" i="18"/>
  <c r="O46" i="18"/>
  <c r="N46" i="18"/>
  <c r="M46" i="18"/>
  <c r="W45" i="18"/>
  <c r="V45" i="18"/>
  <c r="U45" i="18"/>
  <c r="T45" i="18"/>
  <c r="S45" i="18"/>
  <c r="R45" i="18"/>
  <c r="Q45" i="18"/>
  <c r="P45" i="18"/>
  <c r="O45" i="18"/>
  <c r="N45" i="18"/>
  <c r="M45" i="18"/>
  <c r="W44" i="18"/>
  <c r="V44" i="18"/>
  <c r="U44" i="18"/>
  <c r="T44" i="18"/>
  <c r="S44" i="18"/>
  <c r="R44" i="18"/>
  <c r="Q44" i="18"/>
  <c r="P44" i="18"/>
  <c r="O44" i="18"/>
  <c r="N44" i="18"/>
  <c r="M44" i="18"/>
  <c r="W43" i="18"/>
  <c r="H9" i="18" s="1"/>
  <c r="V43" i="18"/>
  <c r="J9" i="18" s="1"/>
  <c r="U43" i="18"/>
  <c r="T43" i="18"/>
  <c r="I9" i="18" s="1"/>
  <c r="S43" i="18"/>
  <c r="R43" i="18"/>
  <c r="Q43" i="18"/>
  <c r="P43" i="18"/>
  <c r="C9" i="18" s="1"/>
  <c r="O43" i="18"/>
  <c r="N43" i="18"/>
  <c r="B9" i="18" s="1"/>
  <c r="M43"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R36" i="18"/>
  <c r="Q36" i="18"/>
  <c r="P36" i="18"/>
  <c r="O36" i="18"/>
  <c r="B52" i="18" s="1"/>
  <c r="N36" i="18"/>
  <c r="B8" i="18" s="1"/>
  <c r="M36" i="18"/>
  <c r="G22" i="18"/>
  <c r="F22" i="18"/>
  <c r="E22" i="18"/>
  <c r="D22" i="18"/>
  <c r="C22" i="18"/>
  <c r="L20" i="18"/>
  <c r="D20" i="18"/>
  <c r="B17" i="18"/>
  <c r="G12" i="18"/>
  <c r="F12" i="18"/>
  <c r="E12" i="18"/>
  <c r="D12" i="18"/>
  <c r="C12" i="18"/>
  <c r="L10" i="18"/>
  <c r="K10" i="18"/>
  <c r="G10" i="18"/>
  <c r="D10" i="18"/>
  <c r="B6" i="18"/>
  <c r="B5" i="18"/>
  <c r="B4" i="18"/>
  <c r="I56" i="18" l="1"/>
  <c r="H17" i="18" s="1"/>
  <c r="H20" i="18" s="1"/>
  <c r="G56" i="18"/>
  <c r="F56" i="18"/>
  <c r="C56" i="18"/>
  <c r="B56" i="18"/>
  <c r="C17" i="18" s="1"/>
  <c r="C20" i="18" s="1"/>
  <c r="C52" i="18"/>
  <c r="B20" i="18"/>
  <c r="F20" i="18"/>
  <c r="O18" i="18"/>
  <c r="G20" i="18"/>
  <c r="K20" i="18"/>
  <c r="B10" i="18"/>
  <c r="O19" i="18"/>
  <c r="O9" i="18"/>
  <c r="D56" i="18"/>
  <c r="H56" i="18"/>
  <c r="E55" i="18"/>
  <c r="E8" i="18" s="1"/>
  <c r="E10" i="18" s="1"/>
  <c r="E56" i="18"/>
  <c r="E17" i="18" s="1"/>
  <c r="E20" i="18" s="1"/>
  <c r="N6" i="17"/>
  <c r="I55" i="18" l="1"/>
  <c r="H8" i="18" s="1"/>
  <c r="H10" i="18" s="1"/>
  <c r="G55" i="18"/>
  <c r="F55" i="18"/>
  <c r="H55" i="18"/>
  <c r="D55" i="18"/>
  <c r="C55" i="18"/>
  <c r="B55" i="18"/>
  <c r="C8" i="18" s="1"/>
  <c r="C10" i="18" s="1"/>
  <c r="I17" i="18"/>
  <c r="I20" i="18" s="1"/>
  <c r="J17" i="18"/>
  <c r="J20" i="18" s="1"/>
  <c r="L6" i="17"/>
  <c r="F6" i="17"/>
  <c r="D6" i="17"/>
  <c r="C6" i="17"/>
  <c r="N16" i="16"/>
  <c r="L16" i="16"/>
  <c r="F16" i="16"/>
  <c r="D16" i="16"/>
  <c r="C16" i="16"/>
  <c r="B16" i="16"/>
  <c r="B13" i="15"/>
  <c r="J8" i="18" l="1"/>
  <c r="J10" i="18" s="1"/>
  <c r="I8" i="18"/>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P11" i="14"/>
  <c r="O4" i="48"/>
  <c r="O22" i="48" s="1"/>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O33" i="48" l="1"/>
  <c r="K10" i="14"/>
  <c r="J5" i="48"/>
  <c r="J23" i="48" s="1"/>
  <c r="J20" i="15"/>
  <c r="K40" i="14" s="1"/>
  <c r="E20" i="15"/>
  <c r="F40" i="14" s="1"/>
  <c r="F46" i="14" s="1"/>
  <c r="F61" i="14" s="1"/>
  <c r="F10" i="14"/>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K16" i="14" l="1"/>
  <c r="K27" i="14" s="1"/>
  <c r="J33" i="48"/>
  <c r="F13" i="14"/>
  <c r="F16" i="14" s="1"/>
  <c r="F27" i="14" s="1"/>
  <c r="F63" i="14" s="1"/>
  <c r="E8" i="48"/>
  <c r="E26" i="48" s="1"/>
  <c r="J15" i="48"/>
  <c r="J22" i="16"/>
  <c r="K43" i="14" s="1"/>
  <c r="K46" i="14" s="1"/>
  <c r="K61" i="14" s="1"/>
  <c r="K63" i="14" s="1"/>
  <c r="J8" i="48"/>
  <c r="J26" i="48" s="1"/>
  <c r="K13" i="14"/>
  <c r="E63" i="14"/>
  <c r="E23" i="48"/>
  <c r="E33" i="48"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<sst xmlns="http://schemas.openxmlformats.org/spreadsheetml/2006/main" count="2519" uniqueCount="947">
  <si>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</si>
  <si>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</si>
  <si>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</si>
  <si>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</si>
  <si>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</si>
  <si>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</si>
  <si>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</si>
  <si>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</si>
  <si>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</si>
  <si>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</si>
  <si>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</si>
  <si>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</si>
  <si>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</si>
  <si>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</si>
  <si>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</si>
  <si>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</si>
  <si>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</si>
  <si>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</si>
  <si>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</si>
  <si>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</si>
  <si>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</si>
  <si>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</si>
  <si>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</si>
  <si>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</si>
  <si>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</si>
  <si>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</si>
  <si>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</si>
  <si>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</si>
  <si>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</si>
  <si>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</si>
  <si>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</si>
  <si>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</si>
  <si>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</si>
  <si>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</si>
  <si>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</si>
  <si>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</si>
  <si>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</si>
  <si>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</si>
  <si>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</si>
  <si>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</si>
  <si>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</si>
  <si>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</si>
  <si>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</si>
  <si>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</si>
  <si>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</si>
  <si>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</si>
  <si>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</si>
  <si>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</si>
  <si>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</si>
  <si>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</si>
  <si>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</si>
  <si>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</si>
  <si>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</si>
  <si>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</si>
  <si>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</si>
  <si>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</si>
  <si>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</si>
  <si>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</si>
  <si>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</si>
  <si>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</si>
  <si>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</si>
  <si>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</si>
  <si>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</si>
  <si>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</si>
  <si>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</si>
  <si>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</si>
  <si>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</si>
  <si>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</si>
  <si>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</si>
  <si>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</si>
  <si>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</si>
  <si>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</si>
  <si>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</si>
  <si>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</si>
  <si>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</si>
  <si>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</si>
  <si>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</si>
  <si>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</si>
  <si>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</si>
  <si>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</si>
  <si>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</si>
  <si>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</si>
  <si>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</si>
  <si>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</si>
  <si>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</si>
  <si>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</si>
  <si>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</si>
  <si>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</si>
  <si>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</si>
  <si>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</si>
  <si>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</si>
  <si>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</si>
  <si>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</si>
  <si>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</si>
  <si>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</si>
  <si>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</si>
  <si>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</si>
  <si>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</si>
  <si>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</si>
  <si>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</si>
  <si>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</si>
  <si>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</si>
  <si>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</si>
  <si>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</si>
  <si>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</si>
  <si>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</si>
  <si>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</si>
  <si>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</si>
  <si>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</si>
  <si>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</si>
  <si>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</si>
  <si>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</si>
  <si>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</si>
  <si>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</si>
  <si>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</si>
  <si>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</si>
  <si>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</si>
  <si>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</si>
  <si>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</si>
  <si>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</si>
  <si>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</si>
  <si>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</si>
  <si>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</si>
  <si>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</si>
  <si>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</si>
  <si>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</si>
  <si>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</si>
  <si>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</si>
  <si>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</si>
  <si>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</si>
  <si>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</si>
  <si>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</si>
  <si>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</si>
  <si>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</si>
  <si>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</si>
  <si>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</si>
  <si>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</si>
  <si>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</si>
  <si>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</si>
  <si>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</si>
  <si>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</si>
  <si>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</si>
  <si>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</si>
  <si>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</si>
  <si>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</si>
  <si>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</si>
  <si>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</si>
  <si>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</si>
  <si>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</si>
  <si>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</si>
  <si>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</si>
  <si>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</si>
  <si>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</si>
  <si>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</si>
  <si>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</si>
  <si>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</si>
  <si>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</si>
  <si>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</si>
  <si>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</si>
  <si>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</si>
  <si>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</si>
  <si>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</si>
  <si>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</si>
  <si>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</si>
  <si>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</si>
  <si>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</si>
  <si>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</si>
  <si>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</si>
  <si>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</si>
  <si>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</si>
  <si>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</si>
  <si>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</si>
  <si>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</si>
  <si>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</si>
  <si>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</si>
  <si>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</si>
  <si>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</si>
  <si>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</si>
  <si>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</si>
  <si>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</si>
  <si>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</si>
  <si>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</si>
  <si>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</si>
  <si>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</si>
  <si>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</si>
  <si>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</si>
  <si>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</si>
  <si>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</si>
  <si>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</si>
  <si>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</si>
  <si>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</si>
  <si>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</si>
  <si>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</si>
  <si>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</si>
  <si>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</si>
  <si>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</si>
  <si>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</si>
  <si>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</si>
  <si>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</si>
  <si>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</si>
  <si>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</si>
  <si>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</si>
  <si>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</si>
  <si>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</si>
  <si>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</si>
  <si>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</si>
  <si>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</si>
  <si>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</si>
  <si>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</si>
  <si>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</si>
  <si>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</si>
  <si>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</si>
  <si>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</si>
  <si>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</si>
  <si>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</si>
  <si>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</si>
  <si>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</si>
  <si>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</si>
  <si>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</si>
  <si>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</si>
  <si>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</si>
  <si>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</si>
  <si>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</si>
  <si>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</si>
  <si>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</si>
  <si>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</si>
  <si>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</si>
  <si>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</si>
  <si>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</si>
  <si>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</si>
  <si>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</si>
  <si>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</si>
  <si>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</si>
  <si>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</si>
  <si>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</si>
  <si>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</si>
  <si>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</si>
  <si>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</si>
  <si>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</si>
  <si>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</si>
  <si>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</si>
  <si>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</si>
  <si>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</si>
  <si>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</si>
  <si>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</si>
  <si>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</si>
  <si>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</si>
  <si>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</si>
  <si>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</si>
  <si>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</si>
  <si>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</si>
  <si>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</si>
  <si>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</si>
  <si>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</si>
  <si>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</si>
  <si>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</si>
  <si>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</si>
  <si>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</si>
  <si>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</si>
  <si>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</si>
  <si>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</si>
  <si>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</si>
  <si>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</si>
  <si>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</si>
  <si>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</si>
  <si>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</si>
  <si>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</si>
  <si>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</si>
  <si>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</si>
  <si>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</si>
  <si>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</si>
  <si>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</si>
  <si>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</si>
  <si>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</si>
  <si>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</si>
  <si>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</si>
  <si>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</si>
  <si>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</si>
  <si>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</si>
  <si>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</si>
  <si>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</si>
  <si>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</si>
  <si>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</si>
  <si>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</si>
  <si>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</si>
  <si>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</si>
  <si>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</si>
  <si>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</si>
  <si>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</si>
  <si>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</si>
  <si>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</si>
  <si>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</si>
  <si>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</si>
  <si>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</si>
  <si>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</si>
  <si>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</si>
  <si>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</si>
  <si>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</si>
  <si>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</si>
  <si>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</si>
  <si>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</si>
  <si>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</si>
  <si>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</si>
  <si>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</si>
  <si>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</si>
  <si>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</si>
  <si>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</si>
  <si>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</si>
  <si>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</si>
  <si>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</si>
  <si>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</si>
  <si>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</si>
  <si>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</si>
  <si>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</si>
  <si>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</si>
  <si>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</si>
  <si>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</si>
  <si>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</si>
  <si>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</si>
  <si>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</si>
  <si>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</si>
  <si>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</si>
  <si>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</si>
  <si>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</si>
  <si>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</si>
  <si>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</si>
  <si>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</si>
  <si>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</si>
  <si>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</si>
  <si>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</si>
  <si>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</si>
  <si>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</si>
  <si>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</si>
  <si>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</si>
  <si>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</si>
  <si>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</si>
  <si>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</si>
  <si>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</si>
  <si>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</si>
  <si>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</si>
  <si>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</si>
  <si>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</si>
  <si>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</si>
  <si>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</si>
  <si>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</si>
  <si>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</si>
  <si>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</si>
  <si>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</si>
  <si>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</si>
  <si>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</si>
  <si>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</si>
  <si>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</si>
  <si>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</si>
  <si>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</si>
  <si>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</si>
  <si>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</si>
  <si>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</si>
  <si>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</si>
  <si>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</si>
  <si>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</si>
  <si>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</si>
  <si>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</si>
  <si>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</si>
  <si>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</si>
  <si>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</si>
  <si>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</si>
  <si>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</si>
  <si>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</si>
  <si>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</si>
  <si>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</si>
  <si>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</si>
  <si>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</si>
  <si>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</si>
  <si>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</si>
  <si>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</si>
  <si>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</si>
  <si>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</si>
  <si>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</si>
  <si>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</si>
  <si>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</si>
  <si>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</si>
  <si>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</si>
  <si>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</si>
  <si>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</si>
  <si>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</si>
  <si>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</si>
  <si>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</si>
  <si>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</si>
  <si>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</si>
  <si>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</si>
  <si>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</si>
  <si>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</si>
  <si>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</si>
  <si>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</si>
  <si>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</si>
  <si>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</si>
  <si>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</si>
  <si>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</si>
  <si>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</si>
  <si>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</si>
  <si>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</si>
  <si>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</si>
  <si>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</si>
  <si>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</si>
  <si>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</si>
  <si>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</si>
  <si>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</si>
  <si>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</si>
  <si>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</si>
  <si>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</si>
  <si>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</si>
  <si>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</si>
  <si>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</si>
  <si>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</si>
  <si>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</si>
  <si>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</si>
  <si>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</si>
  <si>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</si>
  <si>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</si>
  <si>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</si>
  <si>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</si>
  <si>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</si>
  <si>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</si>
  <si>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</si>
  <si>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</si>
  <si>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</si>
  <si>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</si>
  <si>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</si>
  <si>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</si>
  <si>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</si>
  <si>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</si>
  <si>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</si>
  <si>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</si>
  <si>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</si>
  <si>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</si>
  <si>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</si>
  <si>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</si>
  <si>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</si>
  <si>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</si>
  <si>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</si>
  <si>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</si>
  <si>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</si>
  <si>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</si>
  <si>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</si>
  <si>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</si>
  <si>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</si>
  <si>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</si>
  <si>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</si>
  <si>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</si>
  <si>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</si>
  <si>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</si>
  <si>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</si>
  <si>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</si>
  <si>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</si>
  <si>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</si>
  <si>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</si>
  <si>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</si>
  <si>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</si>
  <si>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</si>
  <si>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</si>
  <si>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</si>
  <si>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</si>
  <si>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</si>
  <si>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</si>
  <si>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</si>
  <si>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</si>
  <si>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</si>
  <si>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</si>
  <si>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</si>
  <si>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</si>
  <si>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</si>
  <si>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</si>
  <si>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</si>
  <si>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</si>
  <si>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</si>
  <si>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</si>
  <si>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</si>
  <si>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</si>
  <si>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</si>
  <si>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</si>
  <si>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</si>
  <si>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</si>
  <si>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</si>
  <si>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</si>
  <si>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</si>
  <si>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</si>
  <si>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</si>
  <si>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</si>
  <si>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</si>
  <si>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</si>
  <si>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</si>
  <si>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</si>
  <si>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</si>
  <si>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</si>
  <si>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</si>
  <si>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</si>
  <si>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</si>
  <si>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</si>
  <si>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</si>
  <si>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</si>
  <si>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</si>
  <si>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</si>
  <si>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</si>
  <si>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</si>
  <si>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</si>
  <si>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</si>
  <si>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</si>
  <si>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</si>
  <si>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</si>
  <si>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</si>
  <si>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</si>
  <si>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</si>
  <si>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</si>
  <si>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</si>
  <si>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</si>
  <si>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</si>
  <si>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</si>
  <si>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</si>
  <si>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</si>
  <si>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</si>
  <si>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</si>
  <si>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</si>
  <si>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</si>
  <si>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</si>
  <si>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</si>
  <si>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</si>
  <si>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</si>
  <si>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</si>
  <si>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</si>
  <si>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</si>
  <si>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</si>
  <si>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</si>
  <si>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</si>
  <si>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</si>
  <si>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</si>
  <si>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</si>
  <si>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</si>
  <si>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</si>
  <si>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</si>
  <si>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</si>
  <si>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</si>
  <si>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</si>
  <si>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</si>
  <si>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</si>
  <si>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</si>
  <si>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</si>
  <si>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</si>
  <si>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</si>
  <si>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</si>
  <si>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</si>
  <si>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</si>
  <si>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</si>
  <si>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</si>
  <si>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</si>
  <si>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</si>
  <si>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</si>
  <si>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</si>
  <si>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</si>
  <si>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</si>
  <si>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</si>
  <si>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</si>
  <si>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</si>
  <si>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</si>
  <si>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</si>
  <si>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</si>
  <si>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</si>
  <si>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</si>
  <si>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</si>
  <si>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</si>
  <si>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</si>
  <si>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</si>
  <si>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</si>
  <si>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</si>
  <si>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</si>
  <si>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</si>
  <si>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</si>
  <si>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</si>
  <si>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</si>
  <si>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</si>
  <si>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</si>
  <si>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</si>
  <si>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</si>
  <si>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</si>
  <si>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</si>
  <si>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</si>
  <si>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</si>
  <si>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</si>
  <si>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</si>
  <si>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</si>
  <si>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</si>
  <si>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</si>
  <si>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</si>
  <si>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</si>
  <si>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</si>
  <si>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</si>
  <si>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</si>
  <si>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</si>
  <si>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</si>
  <si>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</si>
  <si>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</si>
  <si>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</si>
  <si>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</si>
  <si>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</si>
  <si>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</si>
  <si>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</si>
  <si>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</si>
  <si>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</si>
  <si>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</si>
  <si>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</si>
  <si>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</si>
  <si>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</si>
  <si>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</si>
  <si>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</si>
  <si>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</si>
  <si>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</si>
  <si>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</si>
  <si>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</si>
  <si>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</si>
  <si>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</si>
  <si>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</si>
  <si>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</si>
  <si>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</si>
  <si>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</si>
  <si>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</si>
  <si>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</si>
  <si>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</si>
  <si>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</si>
  <si>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</si>
  <si>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</si>
  <si>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</si>
  <si>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</si>
  <si>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</si>
  <si>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</si>
  <si>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</si>
  <si>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</si>
  <si>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</si>
  <si>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</si>
  <si>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</si>
  <si>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</si>
  <si>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</si>
  <si>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</si>
  <si>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</si>
  <si>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</si>
  <si>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</si>
  <si>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</si>
  <si>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</si>
  <si>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</si>
  <si>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</si>
  <si>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</si>
  <si>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</si>
  <si>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</si>
  <si>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</si>
  <si>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</si>
  <si>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</si>
  <si>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</si>
  <si>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</si>
  <si>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</si>
  <si>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</si>
  <si>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</si>
  <si>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</si>
  <si>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</si>
  <si>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</si>
  <si>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</si>
  <si>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</si>
  <si>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</si>
  <si>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</si>
  <si>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</si>
  <si>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</si>
  <si>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</si>
  <si>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</si>
  <si>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</si>
  <si>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</si>
  <si>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</si>
  <si>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</si>
  <si>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</si>
  <si>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</si>
  <si>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</si>
  <si>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</si>
  <si>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</si>
  <si>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</si>
  <si>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</si>
  <si>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</si>
  <si>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</si>
  <si>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</si>
  <si>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</si>
  <si>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</si>
  <si>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</si>
  <si>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</si>
  <si>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</si>
  <si>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</si>
  <si>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</si>
  <si>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</si>
  <si>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</si>
  <si>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</si>
  <si>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</si>
  <si>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</si>
  <si>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</si>
  <si>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</si>
  <si>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</si>
  <si>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</si>
  <si>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</si>
  <si>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</si>
  <si>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</si>
  <si>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</si>
  <si>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</si>
  <si>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</si>
  <si>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</si>
  <si>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</si>
  <si>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</si>
  <si>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</si>
  <si>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</si>
  <si>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</si>
  <si>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</si>
  <si>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</si>
  <si>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</si>
  <si>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</si>
  <si>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</si>
  <si>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</si>
  <si>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</si>
  <si>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</si>
  <si>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</si>
  <si>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</si>
  <si>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</si>
  <si>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</si>
  <si>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</si>
  <si>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</si>
  <si>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</si>
  <si>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</si>
  <si>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</si>
  <si>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</si>
  <si>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</si>
  <si>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</si>
  <si>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</si>
  <si>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</si>
  <si>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</si>
  <si>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</si>
  <si>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</si>
  <si>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</si>
  <si>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</si>
  <si>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</si>
  <si>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</si>
  <si>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</si>
  <si>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</si>
  <si>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</si>
  <si>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</si>
  <si>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</si>
  <si>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</si>
  <si>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</si>
  <si>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</si>
  <si>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</si>
  <si>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</si>
  <si>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</si>
  <si>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</si>
  <si>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</si>
  <si>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</si>
  <si>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</si>
  <si>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</si>
  <si>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</si>
  <si>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</si>
  <si>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</si>
  <si>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</si>
  <si>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</si>
  <si>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</si>
  <si>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</si>
  <si>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</si>
  <si>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</si>
  <si>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</si>
  <si>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</si>
  <si>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</si>
  <si>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</si>
  <si>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</si>
  <si>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</si>
  <si>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</si>
  <si>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</si>
  <si>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</si>
  <si>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</si>
  <si>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</si>
  <si>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</si>
  <si>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</si>
  <si>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</si>
  <si>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</si>
  <si>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</si>
  <si>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</si>
  <si>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</si>
  <si>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</si>
  <si>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</si>
  <si>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</si>
  <si>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</si>
  <si>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</si>
  <si>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</si>
  <si>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</si>
  <si>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</si>
  <si>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</si>
  <si>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</si>
  <si>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</si>
  <si>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</si>
  <si>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</si>
  <si>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</si>
  <si>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</si>
  <si>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</si>
  <si>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</si>
  <si>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</si>
  <si>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</si>
  <si>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</si>
  <si>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</si>
  <si>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</si>
  <si>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</si>
  <si>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</si>
  <si>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</si>
  <si>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</si>
  <si>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</si>
  <si>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</si>
  <si>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</si>
  <si>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</si>
  <si>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</si>
  <si>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</si>
  <si>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</si>
  <si>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</si>
  <si>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</si>
  <si>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</si>
  <si>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</si>
  <si>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</si>
  <si>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</si>
  <si>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</si>
  <si>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</si>
  <si>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</si>
  <si>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</si>
  <si>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</si>
  <si>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</si>
  <si>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</si>
  <si>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</si>
  <si>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</si>
  <si>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</si>
  <si>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</si>
  <si>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</si>
  <si>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</si>
  <si>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</si>
  <si>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</si>
  <si>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</si>
  <si>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</si>
  <si>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</si>
  <si>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</si>
  <si>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</si>
  <si>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</si>
  <si>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</si>
  <si>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</si>
  <si>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</si>
  <si>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</si>
  <si>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</si>
  <si>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</si>
  <si>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</si>
  <si>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</si>
  <si>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</si>
  <si>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</si>
  <si>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</si>
  <si>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</si>
  <si>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</si>
  <si>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</si>
  <si>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</si>
  <si>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</si>
  <si>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</si>
  <si>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</si>
  <si>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</si>
  <si>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</si>
  <si>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</si>
  <si>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</si>
  <si>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</si>
  <si>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</si>
  <si>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</si>
  <si>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</si>
  <si>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</si>
  <si>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</si>
  <si>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</si>
  <si>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</si>
  <si>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</si>
  <si>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</si>
  <si>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</si>
  <si>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</si>
  <si>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</si>
  <si>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</si>
  <si>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</si>
  <si>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</si>
  <si>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</si>
  <si>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</si>
  <si>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</si>
  <si>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</si>
  <si>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</si>
  <si>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</si>
  <si>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</si>
  <si>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</si>
  <si>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</si>
  <si>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</si>
  <si>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</si>
  <si>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</si>
  <si>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</si>
  <si>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</si>
  <si>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</si>
  <si>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</si>
  <si>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</si>
  <si>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</si>
  <si>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</si>
  <si>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</si>
  <si>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</si>
  <si>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</si>
  <si>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</si>
  <si>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</si>
  <si>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</si>
  <si>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</si>
  <si>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</si>
  <si>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</si>
  <si>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</si>
  <si>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</si>
  <si>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</si>
  <si>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11053</t>
  </si>
  <si>
    <t>WUUSTWEZEL</t>
  </si>
  <si>
    <t>Cultuurgrond (ha)</t>
  </si>
  <si>
    <t>Paarden&amp;pony's 200 - 600 kg</t>
  </si>
  <si>
    <t>Paarden&amp;pony's &lt; 200 kg</t>
  </si>
  <si>
    <t>Fluvius</t>
  </si>
  <si>
    <t>referentietaak LNE (2017); Jaarverslag De Lijn</t>
  </si>
  <si>
    <t>V.W. Tuinderijen bvba</t>
  </si>
  <si>
    <t>Schauwbosweg 10, 2990 Loenhout</t>
  </si>
  <si>
    <t>WKK-0124 V.W. Tuinderijen</t>
  </si>
  <si>
    <t>interne verbrandingsmotor</t>
  </si>
  <si>
    <t>WKK interne verbrandinsgmotor (gas)</t>
  </si>
  <si>
    <t>IVEKA</t>
  </si>
  <si>
    <t>Vissers Neel</t>
  </si>
  <si>
    <t>Heikenweg 29, 2990 Wuustwezel</t>
  </si>
  <si>
    <t>WKK-0163 Vissers Neel</t>
  </si>
  <si>
    <t>Heikenweg 29, 2990 Loenhout</t>
  </si>
  <si>
    <t>De Sprong bvba</t>
  </si>
  <si>
    <t>Heivelden 30, 2990 Wuustwezel</t>
  </si>
  <si>
    <t>WKK-0171 De Sprong</t>
  </si>
  <si>
    <t>Groeikracht de Blackt NV</t>
  </si>
  <si>
    <t>Blaktweg 1, 2990 Loenhout</t>
  </si>
  <si>
    <t>WKK-0066 Groeikracht de Blackt</t>
  </si>
  <si>
    <t>Varico BVBA</t>
  </si>
  <si>
    <t>Sint Lenaartseweg 210 , 2990 Loenhout</t>
  </si>
  <si>
    <t>WKK-0296 Varico</t>
  </si>
  <si>
    <t>Biolectric nv</t>
  </si>
  <si>
    <t>Jan de Malschelaan 4 B, 9140 Temse</t>
  </si>
  <si>
    <t>WKK-0443 Jan Aernouts</t>
  </si>
  <si>
    <t>Vaasweg 6 , 2990 Loenhout</t>
  </si>
  <si>
    <t>WKK-0444 Hugo Vissers</t>
  </si>
  <si>
    <t>Heikenweg 63 , 2990 Wuustwezel</t>
  </si>
  <si>
    <t>WKK-0442 Filip Van Loon</t>
  </si>
  <si>
    <t>Tereik 93 , 2990 Wuustwezel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</si>
</sst>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174277.71130052287</c:v>
                </c:pt>
                <c:pt idx="1">
                  <c:v>36046.187992927931</c:v>
                </c:pt>
                <c:pt idx="2">
                  <c:v>1366.9839999999999</c:v>
                </c:pt>
                <c:pt idx="3">
                  <c:v>135117.87305500882</c:v>
                </c:pt>
                <c:pt idx="4">
                  <c:v>16053.460771955301</c:v>
                </c:pt>
                <c:pt idx="5">
                  <c:v>206211.419264172</c:v>
                </c:pt>
                <c:pt idx="6">
                  <c:v>2065.8008656587494</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174277.71130052287</c:v>
                </c:pt>
                <c:pt idx="1">
                  <c:v>36046.187992927931</c:v>
                </c:pt>
                <c:pt idx="2">
                  <c:v>1366.9839999999999</c:v>
                </c:pt>
                <c:pt idx="3">
                  <c:v>135117.87305500882</c:v>
                </c:pt>
                <c:pt idx="4">
                  <c:v>16053.460771955301</c:v>
                </c:pt>
                <c:pt idx="5">
                  <c:v>206211.419264172</c:v>
                </c:pt>
                <c:pt idx="6">
                  <c:v>2065.8008656587494</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26817.522856895299</c:v>
                </c:pt>
                <c:pt idx="2">
                  <c:v>6302.4360594381542</c:v>
                </c:pt>
                <c:pt idx="3">
                  <c:v>196.38066792410109</c:v>
                </c:pt>
                <c:pt idx="4">
                  <c:v>32342.624222064926</c:v>
                </c:pt>
                <c:pt idx="5">
                  <c:v>2979.2091121153853</c:v>
                </c:pt>
                <c:pt idx="6">
                  <c:v>52262.287859467804</c:v>
                </c:pt>
                <c:pt idx="7">
                  <c:v>528.06425430819809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26817.522856895299</c:v>
                </c:pt>
                <c:pt idx="2">
                  <c:v>6302.4360594381542</c:v>
                </c:pt>
                <c:pt idx="3">
                  <c:v>196.38066792410109</c:v>
                </c:pt>
                <c:pt idx="4">
                  <c:v>32342.624222064926</c:v>
                </c:pt>
                <c:pt idx="5">
                  <c:v>2979.2091121153853</c:v>
                </c:pt>
                <c:pt idx="6">
                  <c:v>52262.287859467804</c:v>
                </c:pt>
                <c:pt idx="7">
                  <c:v>528.06425430819809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11053</v>
      </c>
      <c r="B6" s="395"/>
      <c r="C6" s="396"/>
    </row>
    <row r="7" spans="1:7" s="393" customFormat="1" ht="15.75" customHeight="1">
      <c r="A7" s="397" t="str">
        <f>txtMunicipality</f>
        <v>WUUSTWEZEL</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0.14365981454362384</v>
      </c>
      <c r="C17" s="508">
        <f ca="1">'EF ele_warmte'!B22</f>
        <v>0.23711358076567554</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0.14365981454362384</v>
      </c>
      <c r="C29" s="509">
        <f ca="1">'EF ele_warmte'!B22</f>
        <v>0.23711358076567554</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7647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5857</v>
      </c>
      <c r="C14" s="332"/>
      <c r="D14" s="332"/>
      <c r="E14" s="332"/>
      <c r="F14" s="332"/>
    </row>
    <row r="15" spans="1:6">
      <c r="A15" s="1306" t="s">
        <v>183</v>
      </c>
      <c r="B15" s="1307">
        <v>4528</v>
      </c>
      <c r="C15" s="332"/>
      <c r="D15" s="332"/>
      <c r="E15" s="332"/>
      <c r="F15" s="332"/>
    </row>
    <row r="16" spans="1:6">
      <c r="A16" s="1306" t="s">
        <v>6</v>
      </c>
      <c r="B16" s="1307">
        <v>7471</v>
      </c>
      <c r="C16" s="332"/>
      <c r="D16" s="332"/>
      <c r="E16" s="332"/>
      <c r="F16" s="332"/>
    </row>
    <row r="17" spans="1:6">
      <c r="A17" s="1306" t="s">
        <v>7</v>
      </c>
      <c r="B17" s="1307">
        <v>786</v>
      </c>
      <c r="C17" s="332"/>
      <c r="D17" s="332"/>
      <c r="E17" s="332"/>
      <c r="F17" s="332"/>
    </row>
    <row r="18" spans="1:6">
      <c r="A18" s="1306" t="s">
        <v>8</v>
      </c>
      <c r="B18" s="1307">
        <v>4187</v>
      </c>
      <c r="C18" s="332"/>
      <c r="D18" s="332"/>
      <c r="E18" s="332"/>
      <c r="F18" s="332"/>
    </row>
    <row r="19" spans="1:6">
      <c r="A19" s="1306" t="s">
        <v>9</v>
      </c>
      <c r="B19" s="1307">
        <v>3824</v>
      </c>
      <c r="C19" s="332"/>
      <c r="D19" s="332"/>
      <c r="E19" s="332"/>
      <c r="F19" s="332"/>
    </row>
    <row r="20" spans="1:6">
      <c r="A20" s="1306" t="s">
        <v>10</v>
      </c>
      <c r="B20" s="1307">
        <v>2165</v>
      </c>
      <c r="C20" s="332"/>
      <c r="D20" s="332"/>
      <c r="E20" s="332"/>
      <c r="F20" s="332"/>
    </row>
    <row r="21" spans="1:6">
      <c r="A21" s="1306" t="s">
        <v>11</v>
      </c>
      <c r="B21" s="1307">
        <v>44535</v>
      </c>
      <c r="C21" s="332"/>
      <c r="D21" s="332"/>
      <c r="E21" s="332"/>
      <c r="F21" s="332"/>
    </row>
    <row r="22" spans="1:6">
      <c r="A22" s="1306" t="s">
        <v>12</v>
      </c>
      <c r="B22" s="1307">
        <v>101478</v>
      </c>
      <c r="C22" s="332"/>
      <c r="D22" s="332"/>
      <c r="E22" s="332"/>
      <c r="F22" s="332"/>
    </row>
    <row r="23" spans="1:6">
      <c r="A23" s="1306" t="s">
        <v>13</v>
      </c>
      <c r="B23" s="1307">
        <v>1777</v>
      </c>
      <c r="C23" s="332"/>
      <c r="D23" s="332"/>
      <c r="E23" s="332"/>
      <c r="F23" s="332"/>
    </row>
    <row r="24" spans="1:6">
      <c r="A24" s="1306" t="s">
        <v>14</v>
      </c>
      <c r="B24" s="1307">
        <v>74</v>
      </c>
      <c r="C24" s="332"/>
      <c r="D24" s="332"/>
      <c r="E24" s="332"/>
      <c r="F24" s="332"/>
    </row>
    <row r="25" spans="1:6">
      <c r="A25" s="1306" t="s">
        <v>15</v>
      </c>
      <c r="B25" s="1307">
        <v>11881</v>
      </c>
      <c r="C25" s="332"/>
      <c r="D25" s="332"/>
      <c r="E25" s="332"/>
      <c r="F25" s="332"/>
    </row>
    <row r="26" spans="1:6">
      <c r="A26" s="1306" t="s">
        <v>16</v>
      </c>
      <c r="B26" s="1307">
        <v>383</v>
      </c>
      <c r="C26" s="332"/>
      <c r="D26" s="332"/>
      <c r="E26" s="332"/>
      <c r="F26" s="332"/>
    </row>
    <row r="27" spans="1:6">
      <c r="A27" s="1306" t="s">
        <v>17</v>
      </c>
      <c r="B27" s="1307">
        <v>2885</v>
      </c>
      <c r="C27" s="332"/>
      <c r="D27" s="332"/>
      <c r="E27" s="332"/>
      <c r="F27" s="332"/>
    </row>
    <row r="28" spans="1:6" s="43" customFormat="1">
      <c r="A28" s="1308" t="s">
        <v>18</v>
      </c>
      <c r="B28" s="1309">
        <v>1055375</v>
      </c>
      <c r="C28" s="338"/>
      <c r="D28" s="338"/>
      <c r="E28" s="338"/>
      <c r="F28" s="338"/>
    </row>
    <row r="29" spans="1:6">
      <c r="A29" s="1308" t="s">
        <v>916</v>
      </c>
      <c r="B29" s="1309">
        <v>390</v>
      </c>
      <c r="C29" s="338"/>
      <c r="D29" s="338"/>
      <c r="E29" s="338"/>
      <c r="F29" s="338"/>
    </row>
    <row r="30" spans="1:6">
      <c r="A30" s="1301" t="s">
        <v>917</v>
      </c>
      <c r="B30" s="1310">
        <v>90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3</v>
      </c>
      <c r="F35" s="1307">
        <v>38624.589164290803</v>
      </c>
    </row>
    <row r="36" spans="1:6">
      <c r="A36" s="1306" t="s">
        <v>24</v>
      </c>
      <c r="B36" s="1306" t="s">
        <v>26</v>
      </c>
      <c r="C36" s="1307">
        <v>0</v>
      </c>
      <c r="D36" s="1307">
        <v>0</v>
      </c>
      <c r="E36" s="1307">
        <v>3</v>
      </c>
      <c r="F36" s="1307">
        <v>3793</v>
      </c>
    </row>
    <row r="37" spans="1:6">
      <c r="A37" s="1306" t="s">
        <v>24</v>
      </c>
      <c r="B37" s="1306" t="s">
        <v>27</v>
      </c>
      <c r="C37" s="1307">
        <v>0</v>
      </c>
      <c r="D37" s="1307">
        <v>0</v>
      </c>
      <c r="E37" s="1307">
        <v>0</v>
      </c>
      <c r="F37" s="1307">
        <v>0</v>
      </c>
    </row>
    <row r="38" spans="1:6">
      <c r="A38" s="1306" t="s">
        <v>24</v>
      </c>
      <c r="B38" s="1306" t="s">
        <v>28</v>
      </c>
      <c r="C38" s="1307">
        <v>3</v>
      </c>
      <c r="D38" s="1307">
        <v>42979907.570659399</v>
      </c>
      <c r="E38" s="1307">
        <v>4</v>
      </c>
      <c r="F38" s="1307">
        <v>217457.65020387</v>
      </c>
    </row>
    <row r="39" spans="1:6">
      <c r="A39" s="1306" t="s">
        <v>29</v>
      </c>
      <c r="B39" s="1306" t="s">
        <v>30</v>
      </c>
      <c r="C39" s="1307">
        <v>4959</v>
      </c>
      <c r="D39" s="1307">
        <v>101536552.920614</v>
      </c>
      <c r="E39" s="1307">
        <v>7362</v>
      </c>
      <c r="F39" s="1307">
        <v>35109518.508479699</v>
      </c>
    </row>
    <row r="40" spans="1:6">
      <c r="A40" s="1306" t="s">
        <v>29</v>
      </c>
      <c r="B40" s="1306" t="s">
        <v>28</v>
      </c>
      <c r="C40" s="1307">
        <v>0</v>
      </c>
      <c r="D40" s="1307">
        <v>0</v>
      </c>
      <c r="E40" s="1307">
        <v>0</v>
      </c>
      <c r="F40" s="1307">
        <v>0</v>
      </c>
    </row>
    <row r="41" spans="1:6">
      <c r="A41" s="1306" t="s">
        <v>31</v>
      </c>
      <c r="B41" s="1306" t="s">
        <v>32</v>
      </c>
      <c r="C41" s="1307">
        <v>76</v>
      </c>
      <c r="D41" s="1307">
        <v>2071901.5029692601</v>
      </c>
      <c r="E41" s="1307">
        <v>215</v>
      </c>
      <c r="F41" s="1307">
        <v>2632005.93119404</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10</v>
      </c>
      <c r="D44" s="1307">
        <v>793011.40256043198</v>
      </c>
      <c r="E44" s="1307">
        <v>26</v>
      </c>
      <c r="F44" s="1307">
        <v>742594.11973734898</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99463.368213064998</v>
      </c>
    </row>
    <row r="48" spans="1:6">
      <c r="A48" s="1306" t="s">
        <v>31</v>
      </c>
      <c r="B48" s="1306" t="s">
        <v>28</v>
      </c>
      <c r="C48" s="1307">
        <v>26</v>
      </c>
      <c r="D48" s="1307">
        <v>1876089.29764493</v>
      </c>
      <c r="E48" s="1307">
        <v>27</v>
      </c>
      <c r="F48" s="1307">
        <v>2900382.6790498099</v>
      </c>
    </row>
    <row r="49" spans="1:6">
      <c r="A49" s="1306" t="s">
        <v>31</v>
      </c>
      <c r="B49" s="1306" t="s">
        <v>39</v>
      </c>
      <c r="C49" s="1307">
        <v>0</v>
      </c>
      <c r="D49" s="1307">
        <v>0</v>
      </c>
      <c r="E49" s="1307">
        <v>0</v>
      </c>
      <c r="F49" s="1307">
        <v>0</v>
      </c>
    </row>
    <row r="50" spans="1:6">
      <c r="A50" s="1306" t="s">
        <v>31</v>
      </c>
      <c r="B50" s="1306" t="s">
        <v>40</v>
      </c>
      <c r="C50" s="1307">
        <v>6</v>
      </c>
      <c r="D50" s="1307">
        <v>531661.93284701405</v>
      </c>
      <c r="E50" s="1307">
        <v>11</v>
      </c>
      <c r="F50" s="1307">
        <v>345553.14319632202</v>
      </c>
    </row>
    <row r="51" spans="1:6">
      <c r="A51" s="1306" t="s">
        <v>41</v>
      </c>
      <c r="B51" s="1306" t="s">
        <v>42</v>
      </c>
      <c r="C51" s="1307">
        <v>32</v>
      </c>
      <c r="D51" s="1307">
        <v>139104474.81432599</v>
      </c>
      <c r="E51" s="1307">
        <v>383</v>
      </c>
      <c r="F51" s="1307">
        <v>10910237.032546001</v>
      </c>
    </row>
    <row r="52" spans="1:6">
      <c r="A52" s="1306" t="s">
        <v>41</v>
      </c>
      <c r="B52" s="1306" t="s">
        <v>28</v>
      </c>
      <c r="C52" s="1307">
        <v>9</v>
      </c>
      <c r="D52" s="1307">
        <v>7402026.7346812002</v>
      </c>
      <c r="E52" s="1307">
        <v>3</v>
      </c>
      <c r="F52" s="1307">
        <v>314770.52815360797</v>
      </c>
    </row>
    <row r="53" spans="1:6">
      <c r="A53" s="1306" t="s">
        <v>43</v>
      </c>
      <c r="B53" s="1306" t="s">
        <v>44</v>
      </c>
      <c r="C53" s="1307">
        <v>92</v>
      </c>
      <c r="D53" s="1307">
        <v>2297862.1438433998</v>
      </c>
      <c r="E53" s="1307">
        <v>225</v>
      </c>
      <c r="F53" s="1307">
        <v>1159487.97495364</v>
      </c>
    </row>
    <row r="54" spans="1:6">
      <c r="A54" s="1306" t="s">
        <v>45</v>
      </c>
      <c r="B54" s="1306" t="s">
        <v>46</v>
      </c>
      <c r="C54" s="1307">
        <v>0</v>
      </c>
      <c r="D54" s="1307">
        <v>0</v>
      </c>
      <c r="E54" s="1307">
        <v>1</v>
      </c>
      <c r="F54" s="1307">
        <v>1366984</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34</v>
      </c>
      <c r="D57" s="1307">
        <v>1163228.2609129399</v>
      </c>
      <c r="E57" s="1307">
        <v>122</v>
      </c>
      <c r="F57" s="1307">
        <v>2077882.2429883101</v>
      </c>
    </row>
    <row r="58" spans="1:6">
      <c r="A58" s="1306" t="s">
        <v>48</v>
      </c>
      <c r="B58" s="1306" t="s">
        <v>50</v>
      </c>
      <c r="C58" s="1307">
        <v>19</v>
      </c>
      <c r="D58" s="1307">
        <v>1217281.74786792</v>
      </c>
      <c r="E58" s="1307">
        <v>29</v>
      </c>
      <c r="F58" s="1307">
        <v>390478.35210716701</v>
      </c>
    </row>
    <row r="59" spans="1:6">
      <c r="A59" s="1306" t="s">
        <v>48</v>
      </c>
      <c r="B59" s="1306" t="s">
        <v>51</v>
      </c>
      <c r="C59" s="1307">
        <v>91</v>
      </c>
      <c r="D59" s="1307">
        <v>2921032.8425571099</v>
      </c>
      <c r="E59" s="1307">
        <v>195</v>
      </c>
      <c r="F59" s="1307">
        <v>4856287.6789565897</v>
      </c>
    </row>
    <row r="60" spans="1:6">
      <c r="A60" s="1306" t="s">
        <v>48</v>
      </c>
      <c r="B60" s="1306" t="s">
        <v>52</v>
      </c>
      <c r="C60" s="1307">
        <v>50</v>
      </c>
      <c r="D60" s="1307">
        <v>2318654.35446992</v>
      </c>
      <c r="E60" s="1307">
        <v>72</v>
      </c>
      <c r="F60" s="1307">
        <v>1348339.7864636399</v>
      </c>
    </row>
    <row r="61" spans="1:6">
      <c r="A61" s="1306" t="s">
        <v>48</v>
      </c>
      <c r="B61" s="1306" t="s">
        <v>53</v>
      </c>
      <c r="C61" s="1307">
        <v>135</v>
      </c>
      <c r="D61" s="1307">
        <v>6795375.9065616997</v>
      </c>
      <c r="E61" s="1307">
        <v>241</v>
      </c>
      <c r="F61" s="1307">
        <v>3540072.8055502698</v>
      </c>
    </row>
    <row r="62" spans="1:6">
      <c r="A62" s="1306" t="s">
        <v>48</v>
      </c>
      <c r="B62" s="1306" t="s">
        <v>54</v>
      </c>
      <c r="C62" s="1307">
        <v>10</v>
      </c>
      <c r="D62" s="1307">
        <v>1318675.4327072799</v>
      </c>
      <c r="E62" s="1307">
        <v>13</v>
      </c>
      <c r="F62" s="1307">
        <v>223470.64030423301</v>
      </c>
    </row>
    <row r="63" spans="1:6">
      <c r="A63" s="1306" t="s">
        <v>48</v>
      </c>
      <c r="B63" s="1306" t="s">
        <v>28</v>
      </c>
      <c r="C63" s="1307">
        <v>82</v>
      </c>
      <c r="D63" s="1307">
        <v>3019563.3604779402</v>
      </c>
      <c r="E63" s="1307">
        <v>94</v>
      </c>
      <c r="F63" s="1307">
        <v>1922993.23653328</v>
      </c>
    </row>
    <row r="64" spans="1:6">
      <c r="A64" s="1306" t="s">
        <v>55</v>
      </c>
      <c r="B64" s="1306" t="s">
        <v>56</v>
      </c>
      <c r="C64" s="1307">
        <v>0</v>
      </c>
      <c r="D64" s="1307">
        <v>0</v>
      </c>
      <c r="E64" s="1307">
        <v>0</v>
      </c>
      <c r="F64" s="1307">
        <v>0</v>
      </c>
    </row>
    <row r="65" spans="1:6">
      <c r="A65" s="1306" t="s">
        <v>55</v>
      </c>
      <c r="B65" s="1306" t="s">
        <v>28</v>
      </c>
      <c r="C65" s="1307">
        <v>2</v>
      </c>
      <c r="D65" s="1307">
        <v>6434.9802523560002</v>
      </c>
      <c r="E65" s="1307">
        <v>1</v>
      </c>
      <c r="F65" s="1307">
        <v>13043.6281607812</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7</v>
      </c>
      <c r="D68" s="1310">
        <v>207467.397967756</v>
      </c>
      <c r="E68" s="1310">
        <v>22</v>
      </c>
      <c r="F68" s="1310">
        <v>447417.49674576498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68561996</v>
      </c>
      <c r="E73" s="456"/>
      <c r="F73" s="332"/>
    </row>
    <row r="74" spans="1:6">
      <c r="A74" s="1306" t="s">
        <v>63</v>
      </c>
      <c r="B74" s="1306" t="s">
        <v>724</v>
      </c>
      <c r="C74" s="1320" t="s">
        <v>725</v>
      </c>
      <c r="D74" s="1321">
        <v>4973271.5317140492</v>
      </c>
      <c r="E74" s="456"/>
      <c r="F74" s="332"/>
    </row>
    <row r="75" spans="1:6">
      <c r="A75" s="1306" t="s">
        <v>64</v>
      </c>
      <c r="B75" s="1306" t="s">
        <v>722</v>
      </c>
      <c r="C75" s="1320" t="s">
        <v>726</v>
      </c>
      <c r="D75" s="1321">
        <v>13285528</v>
      </c>
      <c r="E75" s="456"/>
      <c r="F75" s="332"/>
    </row>
    <row r="76" spans="1:6">
      <c r="A76" s="1306" t="s">
        <v>64</v>
      </c>
      <c r="B76" s="1306" t="s">
        <v>724</v>
      </c>
      <c r="C76" s="1320" t="s">
        <v>727</v>
      </c>
      <c r="D76" s="1321">
        <v>324586.53171404928</v>
      </c>
      <c r="E76" s="456"/>
      <c r="F76" s="332"/>
    </row>
    <row r="77" spans="1:6">
      <c r="A77" s="1306" t="s">
        <v>65</v>
      </c>
      <c r="B77" s="1306" t="s">
        <v>722</v>
      </c>
      <c r="C77" s="1320" t="s">
        <v>728</v>
      </c>
      <c r="D77" s="1321">
        <v>94153533</v>
      </c>
      <c r="E77" s="456"/>
      <c r="F77" s="332"/>
    </row>
    <row r="78" spans="1:6">
      <c r="A78" s="1301" t="s">
        <v>65</v>
      </c>
      <c r="B78" s="1301" t="s">
        <v>724</v>
      </c>
      <c r="C78" s="1301" t="s">
        <v>729</v>
      </c>
      <c r="D78" s="1322">
        <v>28045189</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546624.93657190143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29626.488300000001</v>
      </c>
      <c r="C90" s="332"/>
      <c r="D90" s="332"/>
      <c r="E90" s="332"/>
      <c r="F90" s="332"/>
    </row>
    <row r="91" spans="1:6">
      <c r="A91" s="1306" t="s">
        <v>67</v>
      </c>
      <c r="B91" s="1307">
        <v>4743.4970075677793</v>
      </c>
      <c r="C91" s="332"/>
      <c r="D91" s="332"/>
      <c r="E91" s="332"/>
      <c r="F91" s="332"/>
    </row>
    <row r="92" spans="1:6">
      <c r="A92" s="1301" t="s">
        <v>68</v>
      </c>
      <c r="B92" s="1302">
        <v>3577.4904247877253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3580</v>
      </c>
      <c r="C97" s="332"/>
      <c r="D97" s="332"/>
      <c r="E97" s="332"/>
      <c r="F97" s="332"/>
    </row>
    <row r="98" spans="1:6">
      <c r="A98" s="1306" t="s">
        <v>71</v>
      </c>
      <c r="B98" s="1307">
        <v>5</v>
      </c>
      <c r="C98" s="332"/>
      <c r="D98" s="332"/>
      <c r="E98" s="332"/>
      <c r="F98" s="332"/>
    </row>
    <row r="99" spans="1:6">
      <c r="A99" s="1306" t="s">
        <v>72</v>
      </c>
      <c r="B99" s="1307">
        <v>229</v>
      </c>
      <c r="C99" s="332"/>
      <c r="D99" s="332"/>
      <c r="E99" s="332"/>
      <c r="F99" s="332"/>
    </row>
    <row r="100" spans="1:6">
      <c r="A100" s="1306" t="s">
        <v>73</v>
      </c>
      <c r="B100" s="1307">
        <v>824</v>
      </c>
      <c r="C100" s="332"/>
      <c r="D100" s="332"/>
      <c r="E100" s="332"/>
      <c r="F100" s="332"/>
    </row>
    <row r="101" spans="1:6">
      <c r="A101" s="1306" t="s">
        <v>74</v>
      </c>
      <c r="B101" s="1307">
        <v>181</v>
      </c>
      <c r="C101" s="332"/>
      <c r="D101" s="332"/>
      <c r="E101" s="332"/>
      <c r="F101" s="332"/>
    </row>
    <row r="102" spans="1:6">
      <c r="A102" s="1306" t="s">
        <v>75</v>
      </c>
      <c r="B102" s="1307">
        <v>79</v>
      </c>
      <c r="C102" s="332"/>
      <c r="D102" s="332"/>
      <c r="E102" s="332"/>
      <c r="F102" s="332"/>
    </row>
    <row r="103" spans="1:6">
      <c r="A103" s="1306" t="s">
        <v>76</v>
      </c>
      <c r="B103" s="1307">
        <v>142</v>
      </c>
      <c r="C103" s="332"/>
      <c r="D103" s="332"/>
      <c r="E103" s="332"/>
      <c r="F103" s="332"/>
    </row>
    <row r="104" spans="1:6">
      <c r="A104" s="1306" t="s">
        <v>77</v>
      </c>
      <c r="B104" s="1307">
        <v>1224</v>
      </c>
      <c r="C104" s="332"/>
      <c r="D104" s="332"/>
      <c r="E104" s="332"/>
      <c r="F104" s="332"/>
    </row>
    <row r="105" spans="1:6">
      <c r="A105" s="1301" t="s">
        <v>78</v>
      </c>
      <c r="B105" s="1310">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28</v>
      </c>
      <c r="C123" s="1307">
        <v>12</v>
      </c>
      <c r="D123" s="332"/>
      <c r="E123" s="332"/>
      <c r="F123" s="332"/>
    </row>
    <row r="124" spans="1:6" s="43" customFormat="1">
      <c r="A124" s="1308" t="s">
        <v>88</v>
      </c>
      <c r="B124" s="1329">
        <v>2</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111</v>
      </c>
      <c r="C129" s="332"/>
      <c r="D129" s="332"/>
      <c r="E129" s="332"/>
      <c r="F129" s="332"/>
    </row>
    <row r="130" spans="1:6">
      <c r="A130" s="1306" t="s">
        <v>294</v>
      </c>
      <c r="B130" s="1307">
        <v>2</v>
      </c>
      <c r="C130" s="332"/>
      <c r="D130" s="332"/>
      <c r="E130" s="332"/>
      <c r="F130" s="332"/>
    </row>
    <row r="131" spans="1:6">
      <c r="A131" s="1306" t="s">
        <v>295</v>
      </c>
      <c r="B131" s="1307">
        <v>2</v>
      </c>
      <c r="C131" s="332"/>
      <c r="D131" s="332"/>
      <c r="E131" s="332"/>
      <c r="F131" s="332"/>
    </row>
    <row r="132" spans="1:6">
      <c r="A132" s="1301" t="s">
        <v>296</v>
      </c>
      <c r="B132" s="1302">
        <v>24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74691.616974736433</v>
      </c>
      <c r="C3" s="43" t="s">
        <v>169</v>
      </c>
      <c r="D3" s="43"/>
      <c r="E3" s="156"/>
      <c r="F3" s="43"/>
      <c r="G3" s="43"/>
      <c r="H3" s="43"/>
      <c r="I3" s="43"/>
      <c r="J3" s="43"/>
      <c r="K3" s="96"/>
    </row>
    <row r="4" spans="1:11">
      <c r="A4" s="363" t="s">
        <v>170</v>
      </c>
      <c r="B4" s="49">
        <f>IF(ISERROR('SEAP template'!B78+'SEAP template'!C78),0,'SEAP template'!B78+'SEAP template'!C78)</f>
        <v>96281.425732355507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13831.771764705883</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0.14365981454362384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19759.673949579828</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83334.21428571429</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0.23711358076567554</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1366.9839999999999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1366.9839999999999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0.14365981454362384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196.38066792410109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35109.518508479698</v>
      </c>
      <c r="C5" s="17">
        <f>IF(ISERROR('Eigen informatie GS &amp; warmtenet'!B57),0,'Eigen informatie GS &amp; warmtenet'!B57)</f>
        <v>0</v>
      </c>
      <c r="D5" s="30">
        <f>(SUM(HH_hh_gas_kWh,HH_rest_gas_kWh)/1000)*0.902</f>
        <v>91585.970734393835</v>
      </c>
      <c r="E5" s="17">
        <f>B46*B57</f>
        <v>11191.496502893255</v>
      </c>
      <c r="F5" s="17">
        <f>B51*B62</f>
        <v>0</v>
      </c>
      <c r="G5" s="18"/>
      <c r="H5" s="17"/>
      <c r="I5" s="17"/>
      <c r="J5" s="17">
        <f>B50*B61+C50*C61</f>
        <v>145.22667895884689</v>
      </c>
      <c r="K5" s="17"/>
      <c r="L5" s="17"/>
      <c r="M5" s="17"/>
      <c r="N5" s="17">
        <f>B48*B59+C48*C59</f>
        <v>30278.548534896108</v>
      </c>
      <c r="O5" s="17">
        <f>B69*B70*B71</f>
        <v>193.85333333333335</v>
      </c>
      <c r="P5" s="17">
        <f>B77*B78*B79/1000-B77*B78*B79/1000/B80</f>
        <v>1029.5999999999999</v>
      </c>
    </row>
    <row r="6" spans="1:16">
      <c r="A6" s="16" t="s">
        <v>633</v>
      </c>
      <c r="B6" s="779">
        <f>kWh_PV_kleiner_dan_10kW</f>
        <v>4743.4970075677793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39853.015516047475</v>
      </c>
      <c r="C8" s="21">
        <f>C5</f>
        <v>0</v>
      </c>
      <c r="D8" s="21">
        <f>D5</f>
        <v>91585.970734393835</v>
      </c>
      <c r="E8" s="21">
        <f>E5</f>
        <v>11191.496502893255</v>
      </c>
      <c r="F8" s="21">
        <f>F5</f>
        <v>0</v>
      </c>
      <c r="G8" s="21"/>
      <c r="H8" s="21"/>
      <c r="I8" s="21"/>
      <c r="J8" s="21">
        <f>J5</f>
        <v>145.22667895884689</v>
      </c>
      <c r="K8" s="21"/>
      <c r="L8" s="21">
        <f>L5</f>
        <v>0</v>
      </c>
      <c r="M8" s="21">
        <f>M5</f>
        <v>0</v>
      </c>
      <c r="N8" s="21">
        <f>N5</f>
        <v>30278.548534896108</v>
      </c>
      <c r="O8" s="21">
        <f>O5</f>
        <v>193.85333333333335</v>
      </c>
      <c r="P8" s="21">
        <f>P5</f>
        <v>1029.5999999999999</v>
      </c>
    </row>
    <row r="9" spans="1:16">
      <c r="B9" s="19"/>
      <c r="C9" s="19"/>
      <c r="D9" s="261"/>
      <c r="E9" s="19"/>
      <c r="F9" s="19"/>
      <c r="G9" s="19"/>
      <c r="H9" s="19"/>
      <c r="I9" s="19"/>
      <c r="J9" s="19"/>
      <c r="K9" s="19"/>
      <c r="L9" s="19"/>
      <c r="M9" s="19"/>
      <c r="N9" s="19"/>
      <c r="O9" s="19"/>
      <c r="P9" s="19"/>
    </row>
    <row r="10" spans="1:16">
      <c r="A10" s="24" t="s">
        <v>213</v>
      </c>
      <c r="B10" s="25">
        <f ca="1">'EF ele_warmte'!B12</f>
        <v>0.14365981454362384</v>
      </c>
      <c r="C10" s="25">
        <f ca="1">'EF ele_warmte'!B22</f>
        <v>0.23711358076567554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5725.2768180395433</v>
      </c>
      <c r="C12" s="23">
        <f ca="1">C10*C8</f>
        <v>0</v>
      </c>
      <c r="D12" s="23">
        <f>D8*D10</f>
        <v>18500.366088347557</v>
      </c>
      <c r="E12" s="23">
        <f>E10*E8</f>
        <v>2540.469706156769</v>
      </c>
      <c r="F12" s="23">
        <f>F10*F8</f>
        <v>0</v>
      </c>
      <c r="G12" s="23"/>
      <c r="H12" s="23"/>
      <c r="I12" s="23"/>
      <c r="J12" s="23">
        <f>J10*J8</f>
        <v>51.4102443514318</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3580</v>
      </c>
      <c r="C18" s="168" t="s">
        <v>110</v>
      </c>
      <c r="D18" s="230"/>
      <c r="E18" s="15"/>
    </row>
    <row r="19" spans="1:7">
      <c r="A19" s="173" t="s">
        <v>71</v>
      </c>
      <c r="B19" s="37">
        <f>aantalw2001_ander</f>
        <v>5</v>
      </c>
      <c r="C19" s="168" t="s">
        <v>110</v>
      </c>
      <c r="D19" s="231"/>
      <c r="E19" s="15"/>
    </row>
    <row r="20" spans="1:7">
      <c r="A20" s="173" t="s">
        <v>72</v>
      </c>
      <c r="B20" s="37">
        <f>aantalw2001_propaan</f>
        <v>229</v>
      </c>
      <c r="C20" s="169">
        <f>IF(ISERROR(B20/SUM($B$20,$B$21,$B$22)*100),0,B20/SUM($B$20,$B$21,$B$22)*100)</f>
        <v>18.557536466774714</v>
      </c>
      <c r="D20" s="231"/>
      <c r="E20" s="15"/>
    </row>
    <row r="21" spans="1:7">
      <c r="A21" s="173" t="s">
        <v>73</v>
      </c>
      <c r="B21" s="37">
        <f>aantalw2001_elektriciteit</f>
        <v>824</v>
      </c>
      <c r="C21" s="169">
        <f>IF(ISERROR(B21/SUM($B$20,$B$21,$B$22)*100),0,B21/SUM($B$20,$B$21,$B$22)*100)</f>
        <v>66.774716369529983</v>
      </c>
      <c r="D21" s="231"/>
      <c r="E21" s="15"/>
    </row>
    <row r="22" spans="1:7">
      <c r="A22" s="173" t="s">
        <v>74</v>
      </c>
      <c r="B22" s="37">
        <f>aantalw2001_hout</f>
        <v>181</v>
      </c>
      <c r="C22" s="169">
        <f>IF(ISERROR(B22/SUM($B$20,$B$21,$B$22)*100),0,B22/SUM($B$20,$B$21,$B$22)*100)</f>
        <v>14.667747163695299</v>
      </c>
      <c r="D22" s="231"/>
      <c r="E22" s="15"/>
    </row>
    <row r="23" spans="1:7">
      <c r="A23" s="173" t="s">
        <v>75</v>
      </c>
      <c r="B23" s="37">
        <f>aantalw2001_niet_gespec</f>
        <v>79</v>
      </c>
      <c r="C23" s="168" t="s">
        <v>110</v>
      </c>
      <c r="D23" s="230"/>
      <c r="E23" s="15"/>
    </row>
    <row r="24" spans="1:7">
      <c r="A24" s="173" t="s">
        <v>76</v>
      </c>
      <c r="B24" s="37">
        <f>aantalw2001_steenkool</f>
        <v>142</v>
      </c>
      <c r="C24" s="168" t="s">
        <v>110</v>
      </c>
      <c r="D24" s="231"/>
      <c r="E24" s="15"/>
    </row>
    <row r="25" spans="1:7">
      <c r="A25" s="173" t="s">
        <v>77</v>
      </c>
      <c r="B25" s="37">
        <f>aantalw2001_stookolie</f>
        <v>1224</v>
      </c>
      <c r="C25" s="168" t="s">
        <v>110</v>
      </c>
      <c r="D25" s="230"/>
      <c r="E25" s="52"/>
    </row>
    <row r="26" spans="1:7">
      <c r="A26" s="173" t="s">
        <v>78</v>
      </c>
      <c r="B26" s="37">
        <f>aantalw2001_WP</f>
        <v>4</v>
      </c>
      <c r="C26" s="168" t="s">
        <v>110</v>
      </c>
      <c r="D26" s="230"/>
      <c r="E26" s="15"/>
    </row>
    <row r="27" spans="1:7" s="15" customFormat="1">
      <c r="A27" s="173"/>
      <c r="B27" s="29"/>
      <c r="C27" s="36"/>
      <c r="D27" s="230"/>
    </row>
    <row r="28" spans="1:7" s="15" customFormat="1">
      <c r="A28" s="232" t="s">
        <v>742</v>
      </c>
      <c r="B28" s="37">
        <f>aantalHuishoudens</f>
        <v>7647</v>
      </c>
      <c r="C28" s="36"/>
      <c r="D28" s="230"/>
    </row>
    <row r="29" spans="1:7" s="15" customFormat="1">
      <c r="A29" s="232" t="s">
        <v>743</v>
      </c>
      <c r="B29" s="37">
        <f>SUM(HH_hh_gas_aantal,HH_rest_gas_aantal)</f>
        <v>4959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4959</v>
      </c>
      <c r="C32" s="169">
        <f>IF(ISERROR(B32/SUM($B$32,$B$34,$B$35,$B$36,$B$38,$B$39)*100),0,B32/SUM($B$32,$B$34,$B$35,$B$36,$B$38,$B$39)*100)</f>
        <v>65.310154089292766</v>
      </c>
      <c r="D32" s="235"/>
      <c r="G32" s="15"/>
    </row>
    <row r="33" spans="1:7">
      <c r="A33" s="173" t="s">
        <v>71</v>
      </c>
      <c r="B33" s="34" t="s">
        <v>110</v>
      </c>
      <c r="C33" s="169"/>
      <c r="D33" s="235"/>
      <c r="G33" s="15"/>
    </row>
    <row r="34" spans="1:7">
      <c r="A34" s="173" t="s">
        <v>72</v>
      </c>
      <c r="B34" s="33">
        <f>IF((($B$28-$B$32-$B$39-$B$77-$B$38)*C20/100)&lt;0,0,($B$28-$B$32-$B$39-$B$77-$B$38)*C20/100)</f>
        <v>488.04465153970818</v>
      </c>
      <c r="C34" s="169">
        <f>IF(ISERROR(B34/SUM($B$32,$B$34,$B$35,$B$36,$B$38,$B$39)*100),0,B34/SUM($B$32,$B$34,$B$35,$B$36,$B$38,$B$39)*100)</f>
        <v>6.4275602731424755</v>
      </c>
      <c r="D34" s="235"/>
      <c r="G34" s="15"/>
    </row>
    <row r="35" spans="1:7">
      <c r="A35" s="173" t="s">
        <v>73</v>
      </c>
      <c r="B35" s="33">
        <f>IF((($B$28-$B$32-$B$39-$B$77-$B$38)*C21/100)&lt;0,0,($B$28-$B$32-$B$39-$B$77-$B$38)*C21/100)</f>
        <v>1756.1082658022692</v>
      </c>
      <c r="C35" s="169">
        <f>IF(ISERROR(B35/SUM($B$32,$B$34,$B$35,$B$36,$B$38,$B$39)*100),0,B35/SUM($B$32,$B$34,$B$35,$B$36,$B$38,$B$39)*100)</f>
        <v>23.12798980379651</v>
      </c>
      <c r="D35" s="235"/>
      <c r="G35" s="15"/>
    </row>
    <row r="36" spans="1:7">
      <c r="A36" s="173" t="s">
        <v>74</v>
      </c>
      <c r="B36" s="33">
        <f>IF((($B$28-$B$32-$B$39-$B$77-$B$38)*C22/100)&lt;0,0,($B$28-$B$32-$B$39-$B$77-$B$38)*C22/100)</f>
        <v>385.74708265802269</v>
      </c>
      <c r="C36" s="169">
        <f>IF(ISERROR(B36/SUM($B$32,$B$34,$B$35,$B$36,$B$38,$B$39)*100),0,B36/SUM($B$32,$B$34,$B$35,$B$36,$B$38,$B$39)*100)</f>
        <v>5.0802987311737482</v>
      </c>
      <c r="D36" s="235"/>
      <c r="G36" s="15"/>
    </row>
    <row r="37" spans="1:7">
      <c r="A37" s="173" t="s">
        <v>75</v>
      </c>
      <c r="B37" s="34" t="s">
        <v>110</v>
      </c>
      <c r="C37" s="169"/>
      <c r="D37" s="175"/>
      <c r="G37" s="15"/>
    </row>
    <row r="38" spans="1:7">
      <c r="A38" s="173" t="s">
        <v>76</v>
      </c>
      <c r="B38" s="33">
        <f>IF((B24-(B29-B18)*0.1)&lt;0,0,B24-(B29-B18)*0.1)</f>
        <v>4.0999999999999943</v>
      </c>
      <c r="C38" s="169">
        <f>IF(ISERROR(B38/SUM($B$32,$B$34,$B$35,$B$36,$B$38,$B$39)*100),0,B38/SUM($B$32,$B$34,$B$35,$B$36,$B$38,$B$39)*100)</f>
        <v>5.3997102594494854E-2</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4959</v>
      </c>
      <c r="C44" s="34" t="s">
        <v>110</v>
      </c>
      <c r="D44" s="176"/>
    </row>
    <row r="45" spans="1:7">
      <c r="A45" s="173" t="s">
        <v>71</v>
      </c>
      <c r="B45" s="33" t="str">
        <f t="shared" si="0"/>
        <v>-</v>
      </c>
      <c r="C45" s="34" t="s">
        <v>110</v>
      </c>
      <c r="D45" s="176"/>
    </row>
    <row r="46" spans="1:7">
      <c r="A46" s="173" t="s">
        <v>72</v>
      </c>
      <c r="B46" s="33">
        <f t="shared" si="0"/>
        <v>488.04465153970818</v>
      </c>
      <c r="C46" s="34" t="s">
        <v>110</v>
      </c>
      <c r="D46" s="176"/>
    </row>
    <row r="47" spans="1:7">
      <c r="A47" s="173" t="s">
        <v>73</v>
      </c>
      <c r="B47" s="33">
        <f t="shared" si="0"/>
        <v>1756.1082658022692</v>
      </c>
      <c r="C47" s="34" t="s">
        <v>110</v>
      </c>
      <c r="D47" s="176"/>
    </row>
    <row r="48" spans="1:7">
      <c r="A48" s="173" t="s">
        <v>74</v>
      </c>
      <c r="B48" s="33">
        <f t="shared" si="0"/>
        <v>385.74708265802269</v>
      </c>
      <c r="C48" s="33">
        <f>B48*10</f>
        <v>3857.4708265802269</v>
      </c>
      <c r="D48" s="236"/>
    </row>
    <row r="49" spans="1:6">
      <c r="A49" s="173" t="s">
        <v>75</v>
      </c>
      <c r="B49" s="33" t="str">
        <f t="shared" si="0"/>
        <v>-</v>
      </c>
      <c r="C49" s="34" t="s">
        <v>110</v>
      </c>
      <c r="D49" s="236"/>
    </row>
    <row r="50" spans="1:6">
      <c r="A50" s="173" t="s">
        <v>76</v>
      </c>
      <c r="B50" s="33">
        <f t="shared" si="0"/>
        <v>4.0999999999999943</v>
      </c>
      <c r="C50" s="33">
        <f>B50*2</f>
        <v>8.1999999999999886</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124</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54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14359.524742903492</v>
      </c>
      <c r="C5" s="17">
        <f>IF(ISERROR('Eigen informatie GS &amp; warmtenet'!B58),0,'Eigen informatie GS &amp; warmtenet'!B58)</f>
        <v>0</v>
      </c>
      <c r="D5" s="30">
        <f>SUM(D6:D12)</f>
        <v>16915.938338810436</v>
      </c>
      <c r="E5" s="17">
        <f>SUM(E6:E12)</f>
        <v>193.20710099741427</v>
      </c>
      <c r="F5" s="17">
        <f>SUM(F6:F12)</f>
        <v>2916.3739384716791</v>
      </c>
      <c r="G5" s="18"/>
      <c r="H5" s="17"/>
      <c r="I5" s="17"/>
      <c r="J5" s="17">
        <f>SUM(J6:J12)</f>
        <v>0</v>
      </c>
      <c r="K5" s="17"/>
      <c r="L5" s="17"/>
      <c r="M5" s="17"/>
      <c r="N5" s="17">
        <f>SUM(N6:N12)</f>
        <v>1619.8838717449187</v>
      </c>
      <c r="O5" s="17">
        <f>B38*B39*B40</f>
        <v>3.1266666666666669</v>
      </c>
      <c r="P5" s="17">
        <f>B46*B47*B48/1000-B46*B47*B48/1000/B49</f>
        <v>38.133333333333333</v>
      </c>
      <c r="R5" s="32"/>
    </row>
    <row r="6" spans="1:18">
      <c r="A6" s="32" t="s">
        <v>53</v>
      </c>
      <c r="B6" s="37">
        <f>B26</f>
        <v>3540.07280555027</v>
      </c>
      <c r="C6" s="33"/>
      <c r="D6" s="37">
        <f>IF(ISERROR(TER_kantoor_gas_kWh/1000),0,TER_kantoor_gas_kWh/1000)*0.902</f>
        <v>6129.4290677186536</v>
      </c>
      <c r="E6" s="33">
        <f>$C$26*'E Balans VL '!I12/100/3.6*1000000</f>
        <v>13.753932326643895</v>
      </c>
      <c r="F6" s="33">
        <f>$C$26*('E Balans VL '!L12+'E Balans VL '!N12)/100/3.6*1000000</f>
        <v>538.41286162983658</v>
      </c>
      <c r="G6" s="34"/>
      <c r="H6" s="33"/>
      <c r="I6" s="33"/>
      <c r="J6" s="33">
        <f>$C$26*('E Balans VL '!D12+'E Balans VL '!E12)/100/3.6*1000000</f>
        <v>0</v>
      </c>
      <c r="K6" s="33"/>
      <c r="L6" s="33"/>
      <c r="M6" s="33"/>
      <c r="N6" s="33">
        <f>$C$26*'E Balans VL '!Y12/100/3.6*1000000</f>
        <v>1.951004206136256</v>
      </c>
      <c r="O6" s="33"/>
      <c r="P6" s="33"/>
      <c r="R6" s="32"/>
    </row>
    <row r="7" spans="1:18">
      <c r="A7" s="32" t="s">
        <v>52</v>
      </c>
      <c r="B7" s="37">
        <f t="shared" ref="B7:B12" si="0">B27</f>
        <v>1348.3397864636399</v>
      </c>
      <c r="C7" s="33"/>
      <c r="D7" s="37">
        <f>IF(ISERROR(TER_horeca_gas_kWh/1000),0,TER_horeca_gas_kWh/1000)*0.902</f>
        <v>2091.426227731868</v>
      </c>
      <c r="E7" s="33">
        <f>$C$27*'E Balans VL '!I9/100/3.6*1000000</f>
        <v>75.952340657829467</v>
      </c>
      <c r="F7" s="33">
        <f>$C$27*('E Balans VL '!L9+'E Balans VL '!N9)/100/3.6*1000000</f>
        <v>388.78047096098652</v>
      </c>
      <c r="G7" s="34"/>
      <c r="H7" s="33"/>
      <c r="I7" s="33"/>
      <c r="J7" s="33">
        <f>$C$27*('E Balans VL '!D9+'E Balans VL '!E9)/100/3.6*1000000</f>
        <v>0</v>
      </c>
      <c r="K7" s="33"/>
      <c r="L7" s="33"/>
      <c r="M7" s="33"/>
      <c r="N7" s="33">
        <f>$C$27*'E Balans VL '!Y9/100/3.6*1000000</f>
        <v>0.37226960840984796</v>
      </c>
      <c r="O7" s="33"/>
      <c r="P7" s="33"/>
      <c r="R7" s="32"/>
    </row>
    <row r="8" spans="1:18">
      <c r="A8" s="6" t="s">
        <v>51</v>
      </c>
      <c r="B8" s="37">
        <f t="shared" si="0"/>
        <v>4856.2876789565898</v>
      </c>
      <c r="C8" s="33"/>
      <c r="D8" s="37">
        <f>IF(ISERROR(TER_handel_gas_kWh/1000),0,TER_handel_gas_kWh/1000)*0.902</f>
        <v>2634.7716239865131</v>
      </c>
      <c r="E8" s="33">
        <f>$C$28*'E Balans VL '!I13/100/3.6*1000000</f>
        <v>69.995581198923261</v>
      </c>
      <c r="F8" s="33">
        <f>$C$28*('E Balans VL '!L13+'E Balans VL '!N13)/100/3.6*1000000</f>
        <v>843.65026514326098</v>
      </c>
      <c r="G8" s="34"/>
      <c r="H8" s="33"/>
      <c r="I8" s="33"/>
      <c r="J8" s="33">
        <f>$C$28*('E Balans VL '!D13+'E Balans VL '!E13)/100/3.6*1000000</f>
        <v>0</v>
      </c>
      <c r="K8" s="33"/>
      <c r="L8" s="33"/>
      <c r="M8" s="33"/>
      <c r="N8" s="33">
        <f>$C$28*'E Balans VL '!Y13/100/3.6*1000000</f>
        <v>14.549978499235078</v>
      </c>
      <c r="O8" s="33"/>
      <c r="P8" s="33"/>
      <c r="R8" s="32"/>
    </row>
    <row r="9" spans="1:18">
      <c r="A9" s="32" t="s">
        <v>50</v>
      </c>
      <c r="B9" s="37">
        <f t="shared" si="0"/>
        <v>390.47835210716698</v>
      </c>
      <c r="C9" s="33"/>
      <c r="D9" s="37">
        <f>IF(ISERROR(TER_gezond_gas_kWh/1000),0,TER_gezond_gas_kWh/1000)*0.902</f>
        <v>1097.9881365768638</v>
      </c>
      <c r="E9" s="33">
        <f>$C$29*'E Balans VL '!I10/100/3.6*1000000</f>
        <v>0.41713208832256443</v>
      </c>
      <c r="F9" s="33">
        <f>$C$29*('E Balans VL '!L10+'E Balans VL '!N10)/100/3.6*1000000</f>
        <v>63.698886311114585</v>
      </c>
      <c r="G9" s="34"/>
      <c r="H9" s="33"/>
      <c r="I9" s="33"/>
      <c r="J9" s="33">
        <f>$C$29*('E Balans VL '!D10+'E Balans VL '!E10)/100/3.6*1000000</f>
        <v>0</v>
      </c>
      <c r="K9" s="33"/>
      <c r="L9" s="33"/>
      <c r="M9" s="33"/>
      <c r="N9" s="33">
        <f>$C$29*'E Balans VL '!Y10/100/3.6*1000000</f>
        <v>4.0197518324405497</v>
      </c>
      <c r="O9" s="33"/>
      <c r="P9" s="33"/>
      <c r="R9" s="32"/>
    </row>
    <row r="10" spans="1:18">
      <c r="A10" s="32" t="s">
        <v>49</v>
      </c>
      <c r="B10" s="37">
        <f t="shared" si="0"/>
        <v>2077.8822429883103</v>
      </c>
      <c r="C10" s="33"/>
      <c r="D10" s="37">
        <f>IF(ISERROR(TER_ander_gas_kWh/1000),0,TER_ander_gas_kWh/1000)*0.902</f>
        <v>1049.2318913434719</v>
      </c>
      <c r="E10" s="33">
        <f>$C$30*'E Balans VL '!I14/100/3.6*1000000</f>
        <v>9.555864366151102</v>
      </c>
      <c r="F10" s="33">
        <f>$C$30*('E Balans VL '!L14+'E Balans VL '!N14)/100/3.6*1000000</f>
        <v>622.80685052037052</v>
      </c>
      <c r="G10" s="34"/>
      <c r="H10" s="33"/>
      <c r="I10" s="33"/>
      <c r="J10" s="33">
        <f>$C$30*('E Balans VL '!D14+'E Balans VL '!E14)/100/3.6*1000000</f>
        <v>0</v>
      </c>
      <c r="K10" s="33"/>
      <c r="L10" s="33"/>
      <c r="M10" s="33"/>
      <c r="N10" s="33">
        <f>$C$30*'E Balans VL '!Y14/100/3.6*1000000</f>
        <v>1446.3432037239616</v>
      </c>
      <c r="O10" s="33"/>
      <c r="P10" s="33"/>
      <c r="R10" s="32"/>
    </row>
    <row r="11" spans="1:18">
      <c r="A11" s="32" t="s">
        <v>54</v>
      </c>
      <c r="B11" s="37">
        <f t="shared" si="0"/>
        <v>223.470640304233</v>
      </c>
      <c r="C11" s="33"/>
      <c r="D11" s="37">
        <f>IF(ISERROR(TER_onderwijs_gas_kWh/1000),0,TER_onderwijs_gas_kWh/1000)*0.902</f>
        <v>1189.4452403019666</v>
      </c>
      <c r="E11" s="33">
        <f>$C$31*'E Balans VL '!I11/100/3.6*1000000</f>
        <v>0.20729840723305135</v>
      </c>
      <c r="F11" s="33">
        <f>$C$31*('E Balans VL '!L11+'E Balans VL '!N11)/100/3.6*1000000</f>
        <v>78.500099835476036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1922.99323653328</v>
      </c>
      <c r="C12" s="33"/>
      <c r="D12" s="37">
        <f>IF(ISERROR(TER_rest_gas_kWh/1000),0,TER_rest_gas_kWh/1000)*0.902</f>
        <v>2723.646151151102</v>
      </c>
      <c r="E12" s="33">
        <f>$C$32*'E Balans VL '!I8/100/3.6*1000000</f>
        <v>23.324951952310933</v>
      </c>
      <c r="F12" s="33">
        <f>$C$32*('E Balans VL '!L8+'E Balans VL '!N8)/100/3.6*1000000</f>
        <v>380.5245040706335</v>
      </c>
      <c r="G12" s="34"/>
      <c r="H12" s="33"/>
      <c r="I12" s="33"/>
      <c r="J12" s="33">
        <f>$C$32*('E Balans VL '!D8+'E Balans VL '!E8)/100/3.6*1000000</f>
        <v>0</v>
      </c>
      <c r="K12" s="33"/>
      <c r="L12" s="33"/>
      <c r="M12" s="33"/>
      <c r="N12" s="33">
        <f>$C$32*'E Balans VL '!Y8/100/3.6*1000000</f>
        <v>152.64766387473537</v>
      </c>
      <c r="O12" s="33"/>
      <c r="P12" s="33"/>
      <c r="R12" s="32"/>
    </row>
    <row r="13" spans="1:18">
      <c r="A13" s="16" t="s">
        <v>496</v>
      </c>
      <c r="B13" s="249">
        <f ca="1">'lokale energieproductie'!N45+'lokale energieproductie'!N38</f>
        <v>0</v>
      </c>
      <c r="C13" s="249">
        <f ca="1">'lokale energieproductie'!O45+'lokale energieproductie'!O38</f>
        <v>0</v>
      </c>
      <c r="D13" s="310">
        <f ca="1">('lokale energieproductie'!P38+'lokale energieproductie'!P45)*(-1)</f>
        <v>0</v>
      </c>
      <c r="E13" s="250"/>
      <c r="F13" s="310">
        <f ca="1">('lokale energieproductie'!S38+'lokale energieproductie'!S45)*(-1)</f>
        <v>0</v>
      </c>
      <c r="G13" s="251"/>
      <c r="H13" s="250"/>
      <c r="I13" s="250"/>
      <c r="J13" s="250"/>
      <c r="K13" s="250"/>
      <c r="L13" s="310">
        <f ca="1">('lokale energieproductie'!U38+'lokale energieproductie'!T38+'lokale energieproductie'!U45+'lokale energieproductie'!T45)*(-1)</f>
        <v>0</v>
      </c>
      <c r="M13" s="250"/>
      <c r="N13" s="310">
        <f ca="1">('lokale energieproductie'!Q38+'lokale energieproductie'!R38+'lokale energieproductie'!V38+'lokale energieproductie'!Q45+'lokale energieproductie'!R45+'lokale energieproductie'!V45)*(-1)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14359.524742903492</v>
      </c>
      <c r="C16" s="21">
        <f t="shared" ca="1" si="1"/>
        <v>0</v>
      </c>
      <c r="D16" s="21">
        <f t="shared" ca="1" si="1"/>
        <v>16915.938338810436</v>
      </c>
      <c r="E16" s="21">
        <f t="shared" si="1"/>
        <v>193.20710099741427</v>
      </c>
      <c r="F16" s="21">
        <f t="shared" ca="1" si="1"/>
        <v>2916.3739384716791</v>
      </c>
      <c r="G16" s="21">
        <f t="shared" si="1"/>
        <v>0</v>
      </c>
      <c r="H16" s="21">
        <f t="shared" si="1"/>
        <v>0</v>
      </c>
      <c r="I16" s="21">
        <f t="shared" si="1"/>
        <v>0</v>
      </c>
      <c r="J16" s="21">
        <f t="shared" si="1"/>
        <v>0</v>
      </c>
      <c r="K16" s="21">
        <f t="shared" si="1"/>
        <v>0</v>
      </c>
      <c r="L16" s="21">
        <f t="shared" ca="1" si="1"/>
        <v>0</v>
      </c>
      <c r="M16" s="21">
        <f t="shared" si="1"/>
        <v>0</v>
      </c>
      <c r="N16" s="21">
        <f t="shared" ca="1" si="1"/>
        <v>1619.8838717449187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0.14365981454362384</v>
      </c>
      <c r="C18" s="25">
        <f ca="1">'EF ele_warmte'!B22</f>
        <v>0.23711358076567554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2062.8866615000934</v>
      </c>
      <c r="C20" s="23">
        <f t="shared" ref="C20:P20" ca="1" si="2">C16*C18</f>
        <v>0</v>
      </c>
      <c r="D20" s="23">
        <f t="shared" ca="1" si="2"/>
        <v>3417.0195444397082</v>
      </c>
      <c r="E20" s="23">
        <f t="shared" si="2"/>
        <v>43.858011926413042</v>
      </c>
      <c r="F20" s="23">
        <f t="shared" ca="1" si="2"/>
        <v>778.67184157193833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3540.07280555027</v>
      </c>
      <c r="C26" s="39">
        <f>IF(ISERROR(B26*3.6/1000000/'E Balans VL '!Z12*100),0,B26*3.6/1000000/'E Balans VL '!Z12*100)</f>
        <v>7.5192899914000577E-2</v>
      </c>
      <c r="D26" s="239" t="s">
        <v>689</v>
      </c>
      <c r="F26" s="6"/>
    </row>
    <row r="27" spans="1:18">
      <c r="A27" s="233" t="s">
        <v>52</v>
      </c>
      <c r="B27" s="33">
        <f>IF(ISERROR(TER_horeca_ele_kWh/1000),0,TER_horeca_ele_kWh/1000)</f>
        <v>1348.3397864636399</v>
      </c>
      <c r="C27" s="39">
        <f>IF(ISERROR(B27*3.6/1000000/'E Balans VL '!Z9*100),0,B27*3.6/1000000/'E Balans VL '!Z9*100)</f>
        <v>0.1048416298924169</v>
      </c>
      <c r="D27" s="239" t="s">
        <v>689</v>
      </c>
      <c r="F27" s="6"/>
    </row>
    <row r="28" spans="1:18">
      <c r="A28" s="173" t="s">
        <v>51</v>
      </c>
      <c r="B28" s="33">
        <f>IF(ISERROR(TER_handel_ele_kWh/1000),0,TER_handel_ele_kWh/1000)</f>
        <v>4856.2876789565898</v>
      </c>
      <c r="C28" s="39">
        <f>IF(ISERROR(B28*3.6/1000000/'E Balans VL '!Z13*100),0,B28*3.6/1000000/'E Balans VL '!Z13*100)</f>
        <v>0.1389441057738178</v>
      </c>
      <c r="D28" s="239" t="s">
        <v>689</v>
      </c>
      <c r="F28" s="6"/>
    </row>
    <row r="29" spans="1:18">
      <c r="A29" s="233" t="s">
        <v>50</v>
      </c>
      <c r="B29" s="33">
        <f>IF(ISERROR(TER_gezond_ele_kWh/1000),0,TER_gezond_ele_kWh/1000)</f>
        <v>390.47835210716698</v>
      </c>
      <c r="C29" s="39">
        <f>IF(ISERROR(B29*3.6/1000000/'E Balans VL '!Z10*100),0,B29*3.6/1000000/'E Balans VL '!Z10*100)</f>
        <v>4.2571214008367317E-2</v>
      </c>
      <c r="D29" s="239" t="s">
        <v>689</v>
      </c>
      <c r="F29" s="6"/>
    </row>
    <row r="30" spans="1:18">
      <c r="A30" s="233" t="s">
        <v>49</v>
      </c>
      <c r="B30" s="33">
        <f>IF(ISERROR(TER_ander_ele_kWh/1000),0,TER_ander_ele_kWh/1000)</f>
        <v>2077.8822429883103</v>
      </c>
      <c r="C30" s="39">
        <f>IF(ISERROR(B30*3.6/1000000/'E Balans VL '!Z14*100),0,B30*3.6/1000000/'E Balans VL '!Z14*100)</f>
        <v>0.15205470897775347</v>
      </c>
      <c r="D30" s="239" t="s">
        <v>689</v>
      </c>
      <c r="F30" s="6"/>
    </row>
    <row r="31" spans="1:18">
      <c r="A31" s="233" t="s">
        <v>54</v>
      </c>
      <c r="B31" s="33">
        <f>IF(ISERROR(TER_onderwijs_ele_kWh/1000),0,TER_onderwijs_ele_kWh/1000)</f>
        <v>223.470640304233</v>
      </c>
      <c r="C31" s="39">
        <f>IF(ISERROR(B31*3.6/1000000/'E Balans VL '!Z11*100),0,B31*3.6/1000000/'E Balans VL '!Z11*100)</f>
        <v>4.4884244049826778E-2</v>
      </c>
      <c r="D31" s="239" t="s">
        <v>689</v>
      </c>
    </row>
    <row r="32" spans="1:18">
      <c r="A32" s="233" t="s">
        <v>259</v>
      </c>
      <c r="B32" s="33">
        <f>IF(ISERROR(TER_rest_ele_kWh/1000),0,TER_rest_ele_kWh/1000)</f>
        <v>1922.99323653328</v>
      </c>
      <c r="C32" s="39">
        <f>IF(ISERROR(B32*3.6/1000000/'E Balans VL '!Z8*100),0,B32*3.6/1000000/'E Balans VL '!Z8*100)</f>
        <v>1.5671227872445577E-2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6719.9992413905857</v>
      </c>
      <c r="C5" s="17">
        <f>IF(ISERROR('Eigen informatie GS &amp; warmtenet'!B59),0,'Eigen informatie GS &amp; warmtenet'!B59)</f>
        <v>0</v>
      </c>
      <c r="D5" s="30">
        <f>SUM(D6:D15)</f>
        <v>4755.943050691516</v>
      </c>
      <c r="E5" s="17">
        <f>SUM(E6:E15)</f>
        <v>924.78257877755891</v>
      </c>
      <c r="F5" s="17">
        <f>SUM(F6:F15)</f>
        <v>3148.1495129090713</v>
      </c>
      <c r="G5" s="18"/>
      <c r="H5" s="17"/>
      <c r="I5" s="17"/>
      <c r="J5" s="17">
        <f>SUM(J6:J15)</f>
        <v>7.4384344491716163</v>
      </c>
      <c r="K5" s="17"/>
      <c r="L5" s="17"/>
      <c r="M5" s="17"/>
      <c r="N5" s="17">
        <f>SUM(N6:N15)</f>
        <v>497.14795373739855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742.59411973734893</v>
      </c>
      <c r="C8" s="33"/>
      <c r="D8" s="37">
        <f>IF( ISERROR(IND_metaal_Gas_kWH/1000),0,IND_metaal_Gas_kWH/1000)*0.902</f>
        <v>715.29628510950965</v>
      </c>
      <c r="E8" s="33">
        <f>C30*'E Balans VL '!I18/100/3.6*1000000</f>
        <v>21.330090475233295</v>
      </c>
      <c r="F8" s="33">
        <f>C30*'E Balans VL '!L18/100/3.6*1000000+C30*'E Balans VL '!N18/100/3.6*1000000</f>
        <v>190.46110957520318</v>
      </c>
      <c r="G8" s="34"/>
      <c r="H8" s="33"/>
      <c r="I8" s="33"/>
      <c r="J8" s="40">
        <f>C30*'E Balans VL '!D18/100/3.6*1000000+C30*'E Balans VL '!E18/100/3.6*1000000</f>
        <v>0</v>
      </c>
      <c r="K8" s="33"/>
      <c r="L8" s="33"/>
      <c r="M8" s="33"/>
      <c r="N8" s="33">
        <f>C30*'E Balans VL '!Y18/100/3.6*1000000</f>
        <v>20.162946200229495</v>
      </c>
      <c r="O8" s="33"/>
      <c r="P8" s="33"/>
      <c r="R8" s="32"/>
    </row>
    <row r="9" spans="1:18">
      <c r="A9" s="6" t="s">
        <v>32</v>
      </c>
      <c r="B9" s="37">
        <f t="shared" si="0"/>
        <v>2632.0059311940399</v>
      </c>
      <c r="C9" s="33"/>
      <c r="D9" s="37">
        <f>IF( ISERROR(IND_andere_gas_kWh/1000),0,IND_andere_gas_kWh/1000)*0.902</f>
        <v>1868.8551556782727</v>
      </c>
      <c r="E9" s="33">
        <f>C31*'E Balans VL '!I19/100/3.6*1000000</f>
        <v>712.41929233794281</v>
      </c>
      <c r="F9" s="33">
        <f>C31*'E Balans VL '!L19/100/3.6*1000000+C31*'E Balans VL '!N19/100/3.6*1000000</f>
        <v>1753.1944745837841</v>
      </c>
      <c r="G9" s="34"/>
      <c r="H9" s="33"/>
      <c r="I9" s="33"/>
      <c r="J9" s="40">
        <f>C31*'E Balans VL '!D19/100/3.6*1000000+C31*'E Balans VL '!E19/100/3.6*1000000</f>
        <v>0</v>
      </c>
      <c r="K9" s="33"/>
      <c r="L9" s="33"/>
      <c r="M9" s="33"/>
      <c r="N9" s="33">
        <f>C31*'E Balans VL '!Y19/100/3.6*1000000</f>
        <v>222.51866643413584</v>
      </c>
      <c r="O9" s="33"/>
      <c r="P9" s="33"/>
      <c r="R9" s="32"/>
    </row>
    <row r="10" spans="1:18">
      <c r="A10" s="6" t="s">
        <v>40</v>
      </c>
      <c r="B10" s="37">
        <f t="shared" si="0"/>
        <v>345.55314319632203</v>
      </c>
      <c r="C10" s="33"/>
      <c r="D10" s="37">
        <f>IF( ISERROR(IND_voed_gas_kWh/1000),0,IND_voed_gas_kWh/1000)*0.902</f>
        <v>479.55906342800671</v>
      </c>
      <c r="E10" s="33">
        <f>C32*'E Balans VL '!I20/100/3.6*1000000</f>
        <v>28.184108246780486</v>
      </c>
      <c r="F10" s="33">
        <f>C32*'E Balans VL '!L20/100/3.6*1000000+C32*'E Balans VL '!N20/100/3.6*1000000</f>
        <v>515.25108783391079</v>
      </c>
      <c r="G10" s="34"/>
      <c r="H10" s="33"/>
      <c r="I10" s="33"/>
      <c r="J10" s="40">
        <f>C32*'E Balans VL '!D20/100/3.6*1000000+C32*'E Balans VL '!E20/100/3.6*1000000</f>
        <v>4.571248639240336E-3</v>
      </c>
      <c r="K10" s="33"/>
      <c r="L10" s="33"/>
      <c r="M10" s="33"/>
      <c r="N10" s="33">
        <f>C32*'E Balans VL '!Y20/100/3.6*1000000</f>
        <v>101.51132021542865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99.463368213064996</v>
      </c>
      <c r="C13" s="33"/>
      <c r="D13" s="37">
        <f>IF( ISERROR(IND_papier_gas_kWh/1000),0,IND_papier_gas_kWh/1000)*0.902</f>
        <v>0</v>
      </c>
      <c r="E13" s="33">
        <f>C35*'E Balans VL '!I23/100/3.6*1000000</f>
        <v>1.0420599821750287</v>
      </c>
      <c r="F13" s="33">
        <f>C35*'E Balans VL '!L23/100/3.6*1000000+C35*'E Balans VL '!N23/100/3.6*1000000</f>
        <v>7.4219741655463549</v>
      </c>
      <c r="G13" s="34"/>
      <c r="H13" s="33"/>
      <c r="I13" s="33"/>
      <c r="J13" s="40">
        <f>C35*'E Balans VL '!D23/100/3.6*1000000+C35*'E Balans VL '!E23/100/3.6*1000000</f>
        <v>0</v>
      </c>
      <c r="K13" s="33"/>
      <c r="L13" s="33"/>
      <c r="M13" s="33"/>
      <c r="N13" s="33">
        <f>C35*'E Balans VL '!Y23/100/3.6*1000000</f>
        <v>18.34884079047562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2900.3826790498101</v>
      </c>
      <c r="C15" s="33"/>
      <c r="D15" s="37">
        <f>IF( ISERROR(IND_rest_gas_kWh/1000),0,IND_rest_gas_kWh/1000)*0.902</f>
        <v>1692.2325464757268</v>
      </c>
      <c r="E15" s="33">
        <f>C37*'E Balans VL '!I15/100/3.6*1000000</f>
        <v>161.80702773542728</v>
      </c>
      <c r="F15" s="33">
        <f>C37*'E Balans VL '!L15/100/3.6*1000000+C37*'E Balans VL '!N15/100/3.6*1000000</f>
        <v>681.82086675062692</v>
      </c>
      <c r="G15" s="34"/>
      <c r="H15" s="33"/>
      <c r="I15" s="33"/>
      <c r="J15" s="40">
        <f>C37*'E Balans VL '!D15/100/3.6*1000000+C37*'E Balans VL '!E15/100/3.6*1000000</f>
        <v>7.4338632005323761</v>
      </c>
      <c r="K15" s="33"/>
      <c r="L15" s="33"/>
      <c r="M15" s="33"/>
      <c r="N15" s="33">
        <f>C37*'E Balans VL '!Y15/100/3.6*1000000</f>
        <v>134.60618009712897</v>
      </c>
      <c r="O15" s="33"/>
      <c r="P15" s="33"/>
      <c r="R15" s="32"/>
    </row>
    <row r="16" spans="1:18">
      <c r="A16" s="16" t="s">
        <v>496</v>
      </c>
      <c r="B16" s="249">
        <f>'lokale energieproductie'!N44+'lokale energieproductie'!N37</f>
        <v>0</v>
      </c>
      <c r="C16" s="249">
        <f>'lokale energieproductie'!O44+'lokale energieproductie'!O37</f>
        <v>0</v>
      </c>
      <c r="D16" s="310">
        <f>('lokale energieproductie'!P37+'lokale energieproductie'!P44)*(-1)</f>
        <v>0</v>
      </c>
      <c r="E16" s="250"/>
      <c r="F16" s="310">
        <f>('lokale energieproductie'!S37+'lokale energieproductie'!S44)*(-1)</f>
        <v>0</v>
      </c>
      <c r="G16" s="251"/>
      <c r="H16" s="250"/>
      <c r="I16" s="250"/>
      <c r="J16" s="250"/>
      <c r="K16" s="250"/>
      <c r="L16" s="310">
        <f>('lokale energieproductie'!T37+'lokale energieproductie'!U37+'lokale energieproductie'!T44+'lokale energieproductie'!U44)*(-1)</f>
        <v>0</v>
      </c>
      <c r="M16" s="250"/>
      <c r="N16" s="310">
        <f>('lokale energieproductie'!Q37+'lokale energieproductie'!R37+'lokale energieproductie'!V37+'lokale energieproductie'!Q44+'lokale energieproductie'!R44+'lokale energieproductie'!V44)*(-1)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6719.9992413905857</v>
      </c>
      <c r="C18" s="21">
        <f>C5+C16</f>
        <v>0</v>
      </c>
      <c r="D18" s="21">
        <f>MAX((D5+D16),0)</f>
        <v>4755.943050691516</v>
      </c>
      <c r="E18" s="21">
        <f>MAX((E5+E16),0)</f>
        <v>924.78257877755891</v>
      </c>
      <c r="F18" s="21">
        <f>MAX((F5+F16),0)</f>
        <v>3148.1495129090713</v>
      </c>
      <c r="G18" s="21"/>
      <c r="H18" s="21"/>
      <c r="I18" s="21"/>
      <c r="J18" s="21">
        <f>MAX((J5+J16),0)</f>
        <v>7.4384344491716163</v>
      </c>
      <c r="K18" s="21"/>
      <c r="L18" s="21">
        <f>MAX((L5+L16),0)</f>
        <v>0</v>
      </c>
      <c r="M18" s="21"/>
      <c r="N18" s="21">
        <f>MAX((N5+N16),0)</f>
        <v>497.14795373739855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0.14365981454362384</v>
      </c>
      <c r="C20" s="25">
        <f ca="1">'EF ele_warmte'!B22</f>
        <v>0.23711358076567554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965.39384475146437</v>
      </c>
      <c r="C22" s="23">
        <f ca="1">C18*C20</f>
        <v>0</v>
      </c>
      <c r="D22" s="23">
        <f>D18*D20</f>
        <v>960.70049623968623</v>
      </c>
      <c r="E22" s="23">
        <f>E18*E20</f>
        <v>209.92564538250588</v>
      </c>
      <c r="F22" s="23">
        <f>F18*F20</f>
        <v>840.55591994672204</v>
      </c>
      <c r="G22" s="23"/>
      <c r="H22" s="23"/>
      <c r="I22" s="23"/>
      <c r="J22" s="23">
        <f>J18*J20</f>
        <v>2.6332057950067522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742.59411973734893</v>
      </c>
      <c r="C30" s="39">
        <f>IF(ISERROR(B30*3.6/1000000/'E Balans VL '!Z18*100),0,B30*3.6/1000000/'E Balans VL '!Z18*100)</f>
        <v>7.3069365741300699E-2</v>
      </c>
      <c r="D30" s="239" t="s">
        <v>689</v>
      </c>
    </row>
    <row r="31" spans="1:18">
      <c r="A31" s="6" t="s">
        <v>32</v>
      </c>
      <c r="B31" s="37">
        <f>IF( ISERROR(IND_ander_ele_kWh/1000),0,IND_ander_ele_kWh/1000)</f>
        <v>2632.0059311940399</v>
      </c>
      <c r="C31" s="39">
        <f>IF(ISERROR(B31*3.6/1000000/'E Balans VL '!Z19*100),0,B31*3.6/1000000/'E Balans VL '!Z19*100)</f>
        <v>0.11462175877305085</v>
      </c>
      <c r="D31" s="239" t="s">
        <v>689</v>
      </c>
    </row>
    <row r="32" spans="1:18">
      <c r="A32" s="173" t="s">
        <v>40</v>
      </c>
      <c r="B32" s="37">
        <f>IF( ISERROR(IND_voed_ele_kWh/1000),0,IND_voed_ele_kWh/1000)</f>
        <v>345.55314319632203</v>
      </c>
      <c r="C32" s="39">
        <f>IF(ISERROR(B32*3.6/1000000/'E Balans VL '!Z20*100),0,B32*3.6/1000000/'E Balans VL '!Z20*100)</f>
        <v>6.5563725503046066E-2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99.463368213064996</v>
      </c>
      <c r="C35" s="39">
        <f>IF(ISERROR(B35*3.6/1000000/'E Balans VL '!Z22*100),0,B35*3.6/1000000/'E Balans VL '!Z22*100)</f>
        <v>1.398554835076893E-2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2900.3826790498101</v>
      </c>
      <c r="C37" s="39">
        <f>IF(ISERROR(B37*3.6/1000000/'E Balans VL '!Z15*100),0,B37*3.6/1000000/'E Balans VL '!Z15*100)</f>
        <v>2.2351010946321873E-2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11225.007560699609</v>
      </c>
      <c r="C5" s="17">
        <f>'Eigen informatie GS &amp; warmtenet'!B60</f>
        <v>0</v>
      </c>
      <c r="D5" s="30">
        <f>IF(ISERROR(SUM(LB_lb_gas_kWh,LB_rest_gas_kWh)/1000),0,SUM(LB_lb_gas_kWh,LB_rest_gas_kWh)/1000)*0.902</f>
        <v>132148.86439720448</v>
      </c>
      <c r="E5" s="17">
        <f>B17*'E Balans VL '!I25/3.6*1000000/100</f>
        <v>141.44955601472122</v>
      </c>
      <c r="F5" s="17">
        <f>B17*('E Balans VL '!L25/3.6*1000000+'E Balans VL '!N25/3.6*1000000)/100</f>
        <v>38729.088116833438</v>
      </c>
      <c r="G5" s="18"/>
      <c r="H5" s="17"/>
      <c r="I5" s="17"/>
      <c r="J5" s="17">
        <f>('E Balans VL '!D25+'E Balans VL '!E25)/3.6*1000000*landbouw!B17/100</f>
        <v>1688.1135357467431</v>
      </c>
      <c r="K5" s="17"/>
      <c r="L5" s="17">
        <f>L6*(-1)</f>
        <v>0</v>
      </c>
      <c r="M5" s="17"/>
      <c r="N5" s="17">
        <f>N6*(-1)</f>
        <v>374.14285714285711</v>
      </c>
      <c r="O5" s="17"/>
      <c r="P5" s="17"/>
      <c r="R5" s="32"/>
    </row>
    <row r="6" spans="1:18">
      <c r="A6" s="16" t="s">
        <v>496</v>
      </c>
      <c r="B6" s="17" t="s">
        <v>210</v>
      </c>
      <c r="C6" s="17">
        <f>'lokale energieproductie'!O46+'lokale energieproductie'!O39</f>
        <v>83334.21428571429</v>
      </c>
      <c r="D6" s="310">
        <f>('lokale energieproductie'!P39+'lokale energieproductie'!P46)*(-1)</f>
        <v>-166294.28571428571</v>
      </c>
      <c r="E6" s="250"/>
      <c r="F6" s="310">
        <f>('lokale energieproductie'!S39+'lokale energieproductie'!S46)*(-1)</f>
        <v>0</v>
      </c>
      <c r="G6" s="251"/>
      <c r="H6" s="250"/>
      <c r="I6" s="250"/>
      <c r="J6" s="250"/>
      <c r="K6" s="250"/>
      <c r="L6" s="310">
        <f>('lokale energieproductie'!T39+'lokale energieproductie'!U39+'lokale energieproductie'!T46+'lokale energieproductie'!U46)*(-1)</f>
        <v>0</v>
      </c>
      <c r="M6" s="250"/>
      <c r="N6" s="1030">
        <f>('lokale energieproductie'!V39+'lokale energieproductie'!R39+'lokale energieproductie'!Q39+'lokale energieproductie'!Q46+'lokale energieproductie'!R46+'lokale energieproductie'!V46)*(-1)</f>
        <v>-374.14285714285711</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11225.007560699609</v>
      </c>
      <c r="C8" s="21">
        <f>C5+C6</f>
        <v>83334.21428571429</v>
      </c>
      <c r="D8" s="21">
        <f>MAX((D5+D6),0)</f>
        <v>0</v>
      </c>
      <c r="E8" s="21">
        <f>MAX((E5+E6),0)</f>
        <v>141.44955601472122</v>
      </c>
      <c r="F8" s="21">
        <f>MAX((F5+F6),0)</f>
        <v>38729.088116833438</v>
      </c>
      <c r="G8" s="21"/>
      <c r="H8" s="21"/>
      <c r="I8" s="21"/>
      <c r="J8" s="21">
        <f>MAX((J5+J6),0)</f>
        <v>1688.1135357467431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0.14365981454362384</v>
      </c>
      <c r="C10" s="31">
        <f ca="1">'EF ele_warmte'!B22</f>
        <v>0.23711358076567554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1612.5825044208812</v>
      </c>
      <c r="C12" s="23">
        <f ca="1">C8*C10</f>
        <v>19759.673949579828</v>
      </c>
      <c r="D12" s="23">
        <f>D8*D10</f>
        <v>0</v>
      </c>
      <c r="E12" s="23">
        <f>E8*E10</f>
        <v>32.10904921534172</v>
      </c>
      <c r="F12" s="23">
        <f>F8*F10</f>
        <v>10340.666527194529</v>
      </c>
      <c r="G12" s="23"/>
      <c r="H12" s="23"/>
      <c r="I12" s="23"/>
      <c r="J12" s="23">
        <f>J8*J10</f>
        <v>597.59219165434706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1.5655347630155816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1852.1741855366197</v>
      </c>
      <c r="C26" s="249">
        <f>B26*'GWP N2O_CH4'!B5</f>
        <v>38895.657896269011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1089.7862224913272</v>
      </c>
      <c r="C27" s="249">
        <f>B27*'GWP N2O_CH4'!B5</f>
        <v>22885.510672317872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27.718052529075081</v>
      </c>
      <c r="C28" s="249">
        <f>B28*'GWP N2O_CH4'!B4</f>
        <v>8592.5962840132743</v>
      </c>
      <c r="D28" s="50"/>
    </row>
    <row r="29" spans="1:4">
      <c r="A29" s="41" t="s">
        <v>276</v>
      </c>
      <c r="B29" s="249">
        <f>B34*'ha_N2O bodem landbouw'!B4</f>
        <v>34.887947679808903</v>
      </c>
      <c r="C29" s="249">
        <f>B29*'GWP N2O_CH4'!B4</f>
        <v>10815.263780740759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8.7111719255452847E-3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2.735257946990265E-5</v>
      </c>
      <c r="C5" s="444" t="s">
        <v>210</v>
      </c>
      <c r="D5" s="429">
        <f>SUM(D6:D11)</f>
        <v>4.2629003380539915E-5</v>
      </c>
      <c r="E5" s="429">
        <f>SUM(E6:E11)</f>
        <v>1.7092534352146703E-3</v>
      </c>
      <c r="F5" s="442" t="s">
        <v>210</v>
      </c>
      <c r="G5" s="429">
        <f>SUM(G6:G11)</f>
        <v>0.62852411788461715</v>
      </c>
      <c r="H5" s="429">
        <f>SUM(H6:H11)</f>
        <v>8.0031147646268189E-2</v>
      </c>
      <c r="I5" s="444" t="s">
        <v>210</v>
      </c>
      <c r="J5" s="444" t="s">
        <v>210</v>
      </c>
      <c r="K5" s="444" t="s">
        <v>210</v>
      </c>
      <c r="L5" s="444" t="s">
        <v>210</v>
      </c>
      <c r="M5" s="429">
        <f>SUM(M6:M11)</f>
        <v>3.2026608802068715E-2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1.06553192132542E-5</v>
      </c>
      <c r="C6" s="883"/>
      <c r="D6" s="883">
        <f>vkm_GW_PW*SUMIFS(TableVerdeelsleutelVkm[CNG],TableVerdeelsleutelVkm[Voertuigtype],"Lichte voertuigen")*SUMIFS(TableECFTransport[EnergieConsumptieFactor (PJ per km)],TableECFTransport[Index],CONCATENATE($A6,"_CNG_CNG"))</f>
        <v>1.5790865698712066E-5</v>
      </c>
      <c r="E6" s="883">
        <f>vkm_GW_PW*SUMIFS(TableVerdeelsleutelVkm[LPG],TableVerdeelsleutelVkm[Voertuigtype],"Lichte voertuigen")*SUMIFS(TableECFTransport[EnergieConsumptieFactor (PJ per km)],TableECFTransport[Index],CONCATENATE($A6,"_LPG_LPG"))</f>
        <v>5.6557110890538748E-4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0.11382288706231439</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2.9077683422437526E-2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6.4647428420422405E-3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4.7087902981980817E-2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1.0940565949426419E-6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2.126092317766812E-3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2.0647231704956001E-6</v>
      </c>
      <c r="C8" s="883"/>
      <c r="D8" s="432">
        <f>vkm_NGW_PW*SUMIFS(TableVerdeelsleutelVkm[CNG],TableVerdeelsleutelVkm[Voertuigtype],"Lichte voertuigen")*SUMIFS(TableECFTransport[EnergieConsumptieFactor (PJ per km)],TableECFTransport[Index],CONCATENATE($A8,"_CNG_CNG"))</f>
        <v>5.192656349529173E-6</v>
      </c>
      <c r="E8" s="432">
        <f>vkm_NGW_PW*SUMIFS(TableVerdeelsleutelVkm[LPG],TableVerdeelsleutelVkm[Voertuigtype],"Lichte voertuigen")*SUMIFS(TableECFTransport[EnergieConsumptieFactor (PJ per km)],TableECFTransport[Index],CONCATENATE($A8,"_LPG_LPG"))</f>
        <v>1.7585773511372564E-4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3.3619438082566629E-2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9.1881225731672619E-3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1.9367991379745128E-3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3.9696483178300211E-3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1.0690548190348912E-7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1.7923648657890314E-4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1.4632537086152851E-5</v>
      </c>
      <c r="C10" s="883"/>
      <c r="D10" s="432">
        <f>vkm_SW_PW*SUMIFS(TableVerdeelsleutelVkm[CNG],TableVerdeelsleutelVkm[Voertuigtype],"Lichte voertuigen")*SUMIFS(TableECFTransport[EnergieConsumptieFactor (PJ per km)],TableECFTransport[Index],CONCATENATE($A10,"_CNG_CNG"))</f>
        <v>2.1645481332298675E-5</v>
      </c>
      <c r="E10" s="432">
        <f>vkm_SW_PW*SUMIFS(TableVerdeelsleutelVkm[LPG],TableVerdeelsleutelVkm[Voertuigtype],"Lichte voertuigen")*SUMIFS(TableECFTransport[EnergieConsumptieFactor (PJ per km)],TableECFTransport[Index],CONCATENATE($A10,"_LPG_LPG"))</f>
        <v>9.6782459119555729E-4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0.17657210488842445</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4.1757859253495448E-2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9.875960546827189E-3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0.25345213655150084</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6.2814350911191818E-6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1.1443777470879055E-2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7.5979387416396245</v>
      </c>
      <c r="C14" s="21"/>
      <c r="D14" s="21">
        <f t="shared" ref="D14:M14" si="0">((D5)*10^9/3600)+D12</f>
        <v>11.841389827927754</v>
      </c>
      <c r="E14" s="21">
        <f t="shared" si="0"/>
        <v>474.79262089296401</v>
      </c>
      <c r="F14" s="21"/>
      <c r="G14" s="21">
        <f t="shared" si="0"/>
        <v>174590.03274572699</v>
      </c>
      <c r="H14" s="21">
        <f t="shared" si="0"/>
        <v>22230.874346185607</v>
      </c>
      <c r="I14" s="21"/>
      <c r="J14" s="21"/>
      <c r="K14" s="21"/>
      <c r="L14" s="21"/>
      <c r="M14" s="21">
        <f t="shared" si="0"/>
        <v>8896.2802227968641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0.14365981454362384</v>
      </c>
      <c r="C16" s="56">
        <f ca="1">'EF ele_warmte'!B22</f>
        <v>0.23711358076567554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1.0915184705377632</v>
      </c>
      <c r="C18" s="23"/>
      <c r="D18" s="23">
        <f t="shared" ref="D18:M18" si="1">D14*D16</f>
        <v>2.3919607452414064</v>
      </c>
      <c r="E18" s="23">
        <f t="shared" si="1"/>
        <v>107.77792494270284</v>
      </c>
      <c r="F18" s="23"/>
      <c r="G18" s="23">
        <f t="shared" si="1"/>
        <v>46615.538743109108</v>
      </c>
      <c r="H18" s="23">
        <f t="shared" si="1"/>
        <v>5535.4877122002163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7.1199674738183999E-3</v>
      </c>
      <c r="H50" s="321">
        <f t="shared" si="2"/>
        <v>0</v>
      </c>
      <c r="I50" s="321">
        <f t="shared" si="2"/>
        <v>0</v>
      </c>
      <c r="J50" s="321">
        <f t="shared" si="2"/>
        <v>0</v>
      </c>
      <c r="K50" s="321">
        <f t="shared" si="2"/>
        <v>0</v>
      </c>
      <c r="L50" s="321">
        <f t="shared" si="2"/>
        <v>0</v>
      </c>
      <c r="M50" s="321">
        <f t="shared" si="2"/>
        <v>3.1691564255309859E-4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7.1199674738183999E-3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3.1691564255309859E-4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1977.7687427273333</v>
      </c>
      <c r="H54" s="21">
        <f t="shared" si="3"/>
        <v>0</v>
      </c>
      <c r="I54" s="21">
        <f t="shared" si="3"/>
        <v>0</v>
      </c>
      <c r="J54" s="21">
        <f t="shared" si="3"/>
        <v>0</v>
      </c>
      <c r="K54" s="21">
        <f t="shared" si="3"/>
        <v>0</v>
      </c>
      <c r="L54" s="21">
        <f t="shared" si="3"/>
        <v>0</v>
      </c>
      <c r="M54" s="21">
        <f t="shared" si="3"/>
        <v>88.032122931416282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0.14365981454362384</v>
      </c>
      <c r="C56" s="56">
        <f ca="1">'EF ele_warmte'!B22</f>
        <v>0.23711358076567554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528.06425430819809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15726.508742903492</v>
      </c>
      <c r="D10" s="686">
        <f ca="1">tertiair!C16</f>
        <v>0</v>
      </c>
      <c r="E10" s="686">
        <f ca="1">tertiair!D16</f>
        <v>16915.938338810436</v>
      </c>
      <c r="F10" s="686">
        <f>tertiair!E16</f>
        <v>193.20710099741427</v>
      </c>
      <c r="G10" s="686">
        <f ca="1">tertiair!F16</f>
        <v>2916.3739384716791</v>
      </c>
      <c r="H10" s="686">
        <f>tertiair!G16</f>
        <v>0</v>
      </c>
      <c r="I10" s="686">
        <f>tertiair!H16</f>
        <v>0</v>
      </c>
      <c r="J10" s="686">
        <f>tertiair!I16</f>
        <v>0</v>
      </c>
      <c r="K10" s="686">
        <f>tertiair!J16</f>
        <v>0</v>
      </c>
      <c r="L10" s="686">
        <f>tertiair!K16</f>
        <v>0</v>
      </c>
      <c r="M10" s="686">
        <f ca="1">tertiair!L16</f>
        <v>0</v>
      </c>
      <c r="N10" s="686">
        <f>tertiair!M16</f>
        <v>0</v>
      </c>
      <c r="O10" s="686">
        <f ca="1">tertiair!N16</f>
        <v>1619.8838717449187</v>
      </c>
      <c r="P10" s="686">
        <f>tertiair!O16</f>
        <v>3.1266666666666669</v>
      </c>
      <c r="Q10" s="687">
        <f>tertiair!P16</f>
        <v>38.133333333333333</v>
      </c>
      <c r="R10" s="689">
        <f ca="1">SUM(C10:Q10)</f>
        <v>37413.171992927942</v>
      </c>
      <c r="S10" s="67"/>
    </row>
    <row r="11" spans="1:19" s="454" customFormat="1">
      <c r="A11" s="801" t="s">
        <v>224</v>
      </c>
      <c r="B11" s="806"/>
      <c r="C11" s="686">
        <f>huishoudens!B8</f>
        <v>39853.015516047475</v>
      </c>
      <c r="D11" s="686">
        <f>huishoudens!C8</f>
        <v>0</v>
      </c>
      <c r="E11" s="686">
        <f>huishoudens!D8</f>
        <v>91585.970734393835</v>
      </c>
      <c r="F11" s="686">
        <f>huishoudens!E8</f>
        <v>11191.496502893255</v>
      </c>
      <c r="G11" s="686">
        <f>huishoudens!F8</f>
        <v>0</v>
      </c>
      <c r="H11" s="686">
        <f>huishoudens!G8</f>
        <v>0</v>
      </c>
      <c r="I11" s="686">
        <f>huishoudens!H8</f>
        <v>0</v>
      </c>
      <c r="J11" s="686">
        <f>huishoudens!I8</f>
        <v>0</v>
      </c>
      <c r="K11" s="686">
        <f>huishoudens!J8</f>
        <v>145.22667895884689</v>
      </c>
      <c r="L11" s="686">
        <f>huishoudens!K8</f>
        <v>0</v>
      </c>
      <c r="M11" s="686">
        <f>huishoudens!L8</f>
        <v>0</v>
      </c>
      <c r="N11" s="686">
        <f>huishoudens!M8</f>
        <v>0</v>
      </c>
      <c r="O11" s="686">
        <f>huishoudens!N8</f>
        <v>30278.548534896108</v>
      </c>
      <c r="P11" s="686">
        <f>huishoudens!O8</f>
        <v>193.85333333333335</v>
      </c>
      <c r="Q11" s="687">
        <f>huishoudens!P8</f>
        <v>1029.5999999999999</v>
      </c>
      <c r="R11" s="689">
        <f>SUM(C11:Q11)</f>
        <v>174277.71130052287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6719.9992413905857</v>
      </c>
      <c r="D13" s="686">
        <f>industrie!C18</f>
        <v>0</v>
      </c>
      <c r="E13" s="686">
        <f>industrie!D18</f>
        <v>4755.943050691516</v>
      </c>
      <c r="F13" s="686">
        <f>industrie!E18</f>
        <v>924.78257877755891</v>
      </c>
      <c r="G13" s="686">
        <f>industrie!F18</f>
        <v>3148.1495129090713</v>
      </c>
      <c r="H13" s="686">
        <f>industrie!G18</f>
        <v>0</v>
      </c>
      <c r="I13" s="686">
        <f>industrie!H18</f>
        <v>0</v>
      </c>
      <c r="J13" s="686">
        <f>industrie!I18</f>
        <v>0</v>
      </c>
      <c r="K13" s="686">
        <f>industrie!J18</f>
        <v>7.4384344491716163</v>
      </c>
      <c r="L13" s="686">
        <f>industrie!K18</f>
        <v>0</v>
      </c>
      <c r="M13" s="686">
        <f>industrie!L18</f>
        <v>0</v>
      </c>
      <c r="N13" s="686">
        <f>industrie!M18</f>
        <v>0</v>
      </c>
      <c r="O13" s="686">
        <f>industrie!N18</f>
        <v>497.14795373739855</v>
      </c>
      <c r="P13" s="686">
        <f>industrie!O18</f>
        <v>0</v>
      </c>
      <c r="Q13" s="687">
        <f>industrie!P18</f>
        <v>0</v>
      </c>
      <c r="R13" s="689">
        <f>SUM(C13:Q13)</f>
        <v>16053.460771955301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62299.523500341551</v>
      </c>
      <c r="D16" s="721">
        <f t="shared" ref="D16:R16" ca="1" si="0">SUM(D9:D15)</f>
        <v>0</v>
      </c>
      <c r="E16" s="721">
        <f t="shared" ca="1" si="0"/>
        <v>113257.85212389578</v>
      </c>
      <c r="F16" s="721">
        <f t="shared" si="0"/>
        <v>12309.486182668228</v>
      </c>
      <c r="G16" s="721">
        <f t="shared" ca="1" si="0"/>
        <v>6064.52345138075</v>
      </c>
      <c r="H16" s="721">
        <f t="shared" si="0"/>
        <v>0</v>
      </c>
      <c r="I16" s="721">
        <f t="shared" si="0"/>
        <v>0</v>
      </c>
      <c r="J16" s="721">
        <f t="shared" si="0"/>
        <v>0</v>
      </c>
      <c r="K16" s="721">
        <f t="shared" si="0"/>
        <v>152.6651134080185</v>
      </c>
      <c r="L16" s="721">
        <f t="shared" si="0"/>
        <v>0</v>
      </c>
      <c r="M16" s="721">
        <f t="shared" ca="1" si="0"/>
        <v>0</v>
      </c>
      <c r="N16" s="721">
        <f t="shared" si="0"/>
        <v>0</v>
      </c>
      <c r="O16" s="721">
        <f t="shared" ca="1" si="0"/>
        <v>32395.580360378426</v>
      </c>
      <c r="P16" s="721">
        <f t="shared" si="0"/>
        <v>196.98000000000002</v>
      </c>
      <c r="Q16" s="721">
        <f t="shared" si="0"/>
        <v>1067.7333333333333</v>
      </c>
      <c r="R16" s="721">
        <f t="shared" ca="1" si="0"/>
        <v>227744.3440654061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1977.7687427273333</v>
      </c>
      <c r="I19" s="686">
        <f>transport!H54</f>
        <v>0</v>
      </c>
      <c r="J19" s="686">
        <f>transport!I54</f>
        <v>0</v>
      </c>
      <c r="K19" s="686">
        <f>transport!J54</f>
        <v>0</v>
      </c>
      <c r="L19" s="686">
        <f>transport!K54</f>
        <v>0</v>
      </c>
      <c r="M19" s="686">
        <f>transport!L54</f>
        <v>0</v>
      </c>
      <c r="N19" s="686">
        <f>transport!M54</f>
        <v>88.032122931416282</v>
      </c>
      <c r="O19" s="686">
        <f>transport!N54</f>
        <v>0</v>
      </c>
      <c r="P19" s="686">
        <f>transport!O54</f>
        <v>0</v>
      </c>
      <c r="Q19" s="687">
        <f>transport!P54</f>
        <v>0</v>
      </c>
      <c r="R19" s="689">
        <f>SUM(C19:Q19)</f>
        <v>2065.8008656587494</v>
      </c>
      <c r="S19" s="67"/>
    </row>
    <row r="20" spans="1:19" s="454" customFormat="1">
      <c r="A20" s="801" t="s">
        <v>306</v>
      </c>
      <c r="B20" s="806"/>
      <c r="C20" s="686">
        <f>transport!B14</f>
        <v>7.5979387416396245</v>
      </c>
      <c r="D20" s="686">
        <f>transport!C14</f>
        <v>0</v>
      </c>
      <c r="E20" s="686">
        <f>transport!D14</f>
        <v>11.841389827927754</v>
      </c>
      <c r="F20" s="686">
        <f>transport!E14</f>
        <v>474.79262089296401</v>
      </c>
      <c r="G20" s="686">
        <f>transport!F14</f>
        <v>0</v>
      </c>
      <c r="H20" s="686">
        <f>transport!G14</f>
        <v>174590.03274572699</v>
      </c>
      <c r="I20" s="686">
        <f>transport!H14</f>
        <v>22230.874346185607</v>
      </c>
      <c r="J20" s="686">
        <f>transport!I14</f>
        <v>0</v>
      </c>
      <c r="K20" s="686">
        <f>transport!J14</f>
        <v>0</v>
      </c>
      <c r="L20" s="686">
        <f>transport!K14</f>
        <v>0</v>
      </c>
      <c r="M20" s="686">
        <f>transport!L14</f>
        <v>0</v>
      </c>
      <c r="N20" s="686">
        <f>transport!M14</f>
        <v>8896.2802227968641</v>
      </c>
      <c r="O20" s="686">
        <f>transport!N14</f>
        <v>0</v>
      </c>
      <c r="P20" s="686">
        <f>transport!O14</f>
        <v>0</v>
      </c>
      <c r="Q20" s="687">
        <f>transport!P14</f>
        <v>0</v>
      </c>
      <c r="R20" s="689">
        <f>SUM(C20:Q20)</f>
        <v>206211.419264172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7.5979387416396245</v>
      </c>
      <c r="D22" s="804">
        <f t="shared" ref="D22:R22" si="1">SUM(D18:D21)</f>
        <v>0</v>
      </c>
      <c r="E22" s="804">
        <f t="shared" si="1"/>
        <v>11.841389827927754</v>
      </c>
      <c r="F22" s="804">
        <f t="shared" si="1"/>
        <v>474.79262089296401</v>
      </c>
      <c r="G22" s="804">
        <f t="shared" si="1"/>
        <v>0</v>
      </c>
      <c r="H22" s="804">
        <f t="shared" si="1"/>
        <v>176567.80148845431</v>
      </c>
      <c r="I22" s="804">
        <f t="shared" si="1"/>
        <v>22230.874346185607</v>
      </c>
      <c r="J22" s="804">
        <f t="shared" si="1"/>
        <v>0</v>
      </c>
      <c r="K22" s="804">
        <f t="shared" si="1"/>
        <v>0</v>
      </c>
      <c r="L22" s="804">
        <f t="shared" si="1"/>
        <v>0</v>
      </c>
      <c r="M22" s="804">
        <f t="shared" si="1"/>
        <v>0</v>
      </c>
      <c r="N22" s="804">
        <f t="shared" si="1"/>
        <v>8984.31234572828</v>
      </c>
      <c r="O22" s="804">
        <f t="shared" si="1"/>
        <v>0</v>
      </c>
      <c r="P22" s="804">
        <f t="shared" si="1"/>
        <v>0</v>
      </c>
      <c r="Q22" s="804">
        <f t="shared" si="1"/>
        <v>0</v>
      </c>
      <c r="R22" s="804">
        <f t="shared" si="1"/>
        <v>208277.22012983076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11225.007560699609</v>
      </c>
      <c r="D24" s="686">
        <f>+landbouw!C8</f>
        <v>83334.21428571429</v>
      </c>
      <c r="E24" s="686">
        <f>+landbouw!D8</f>
        <v>0</v>
      </c>
      <c r="F24" s="686">
        <f>+landbouw!E8</f>
        <v>141.44955601472122</v>
      </c>
      <c r="G24" s="686">
        <f>+landbouw!F8</f>
        <v>38729.088116833438</v>
      </c>
      <c r="H24" s="686">
        <f>+landbouw!G8</f>
        <v>0</v>
      </c>
      <c r="I24" s="686">
        <f>+landbouw!H8</f>
        <v>0</v>
      </c>
      <c r="J24" s="686">
        <f>+landbouw!I8</f>
        <v>0</v>
      </c>
      <c r="K24" s="686">
        <f>+landbouw!J8</f>
        <v>1688.1135357467431</v>
      </c>
      <c r="L24" s="686">
        <f>+landbouw!K8</f>
        <v>0</v>
      </c>
      <c r="M24" s="686">
        <f>+landbouw!L8</f>
        <v>0</v>
      </c>
      <c r="N24" s="686">
        <f>+landbouw!M8</f>
        <v>0</v>
      </c>
      <c r="O24" s="686">
        <f>+landbouw!N8</f>
        <v>0</v>
      </c>
      <c r="P24" s="686">
        <f>+landbouw!O8</f>
        <v>0</v>
      </c>
      <c r="Q24" s="687">
        <f>+landbouw!P8</f>
        <v>0</v>
      </c>
      <c r="R24" s="689">
        <f>SUM(C24:Q24)</f>
        <v>135117.87305500882</v>
      </c>
      <c r="S24" s="67"/>
    </row>
    <row r="25" spans="1:19" s="454" customFormat="1" ht="15" thickBot="1">
      <c r="A25" s="823" t="s">
        <v>856</v>
      </c>
      <c r="B25" s="991"/>
      <c r="C25" s="992">
        <f>IF(Onbekend_ele_kWh="---",0,Onbekend_ele_kWh)/1000+IF(REST_rest_ele_kWh="---",0,REST_rest_ele_kWh)/1000</f>
        <v>1159.4879749536401</v>
      </c>
      <c r="D25" s="992"/>
      <c r="E25" s="992">
        <f>IF(onbekend_gas_kWh="---",0,onbekend_gas_kWh)/1000+IF(REST_rest_gas_kWh="---",0,REST_rest_gas_kWh)/1000</f>
        <v>2297.8621438433997</v>
      </c>
      <c r="F25" s="992"/>
      <c r="G25" s="992"/>
      <c r="H25" s="992"/>
      <c r="I25" s="992"/>
      <c r="J25" s="992"/>
      <c r="K25" s="992"/>
      <c r="L25" s="992"/>
      <c r="M25" s="992"/>
      <c r="N25" s="992"/>
      <c r="O25" s="992"/>
      <c r="P25" s="992"/>
      <c r="Q25" s="993"/>
      <c r="R25" s="689">
        <f>SUM(C25:Q25)</f>
        <v>3457.3501187970396</v>
      </c>
      <c r="S25" s="67"/>
    </row>
    <row r="26" spans="1:19" s="454" customFormat="1" ht="15.75" thickBot="1">
      <c r="A26" s="694" t="s">
        <v>857</v>
      </c>
      <c r="B26" s="809"/>
      <c r="C26" s="804">
        <f>SUM(C24:C25)</f>
        <v>12384.495535653248</v>
      </c>
      <c r="D26" s="804">
        <f t="shared" ref="D26:R26" si="2">SUM(D24:D25)</f>
        <v>83334.21428571429</v>
      </c>
      <c r="E26" s="804">
        <f t="shared" si="2"/>
        <v>2297.8621438433997</v>
      </c>
      <c r="F26" s="804">
        <f t="shared" si="2"/>
        <v>141.44955601472122</v>
      </c>
      <c r="G26" s="804">
        <f t="shared" si="2"/>
        <v>38729.088116833438</v>
      </c>
      <c r="H26" s="804">
        <f t="shared" si="2"/>
        <v>0</v>
      </c>
      <c r="I26" s="804">
        <f t="shared" si="2"/>
        <v>0</v>
      </c>
      <c r="J26" s="804">
        <f t="shared" si="2"/>
        <v>0</v>
      </c>
      <c r="K26" s="804">
        <f t="shared" si="2"/>
        <v>1688.1135357467431</v>
      </c>
      <c r="L26" s="804">
        <f t="shared" si="2"/>
        <v>0</v>
      </c>
      <c r="M26" s="804">
        <f t="shared" si="2"/>
        <v>0</v>
      </c>
      <c r="N26" s="804">
        <f t="shared" si="2"/>
        <v>0</v>
      </c>
      <c r="O26" s="804">
        <f t="shared" si="2"/>
        <v>0</v>
      </c>
      <c r="P26" s="804">
        <f t="shared" si="2"/>
        <v>0</v>
      </c>
      <c r="Q26" s="804">
        <f t="shared" si="2"/>
        <v>0</v>
      </c>
      <c r="R26" s="804">
        <f t="shared" si="2"/>
        <v>138575.22317380586</v>
      </c>
      <c r="S26" s="67"/>
    </row>
    <row r="27" spans="1:19" s="454" customFormat="1" ht="17.25" thickTop="1" thickBot="1">
      <c r="A27" s="695" t="s">
        <v>115</v>
      </c>
      <c r="B27" s="796"/>
      <c r="C27" s="696">
        <f ca="1">C22+C16+C26</f>
        <v>74691.616974736433</v>
      </c>
      <c r="D27" s="696">
        <f t="shared" ref="D27:R27" ca="1" si="3">D22+D16+D26</f>
        <v>83334.21428571429</v>
      </c>
      <c r="E27" s="696">
        <f t="shared" ca="1" si="3"/>
        <v>115567.55565756711</v>
      </c>
      <c r="F27" s="696">
        <f t="shared" si="3"/>
        <v>12925.728359575913</v>
      </c>
      <c r="G27" s="696">
        <f t="shared" ca="1" si="3"/>
        <v>44793.61156821419</v>
      </c>
      <c r="H27" s="696">
        <f t="shared" si="3"/>
        <v>176567.80148845431</v>
      </c>
      <c r="I27" s="696">
        <f t="shared" si="3"/>
        <v>22230.874346185607</v>
      </c>
      <c r="J27" s="696">
        <f t="shared" si="3"/>
        <v>0</v>
      </c>
      <c r="K27" s="696">
        <f t="shared" si="3"/>
        <v>1840.7786491547615</v>
      </c>
      <c r="L27" s="696">
        <f t="shared" si="3"/>
        <v>0</v>
      </c>
      <c r="M27" s="696">
        <f t="shared" ca="1" si="3"/>
        <v>0</v>
      </c>
      <c r="N27" s="696">
        <f t="shared" si="3"/>
        <v>8984.31234572828</v>
      </c>
      <c r="O27" s="696">
        <f t="shared" ca="1" si="3"/>
        <v>32395.580360378426</v>
      </c>
      <c r="P27" s="696">
        <f t="shared" si="3"/>
        <v>196.98000000000002</v>
      </c>
      <c r="Q27" s="696">
        <f t="shared" si="3"/>
        <v>1067.7333333333333</v>
      </c>
      <c r="R27" s="696">
        <f t="shared" ca="1" si="3"/>
        <v>574596.78736904275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2259.2673294241945</v>
      </c>
      <c r="D40" s="686">
        <f ca="1">tertiair!C20</f>
        <v>0</v>
      </c>
      <c r="E40" s="686">
        <f ca="1">tertiair!D20</f>
        <v>3417.0195444397082</v>
      </c>
      <c r="F40" s="686">
        <f>tertiair!E20</f>
        <v>43.858011926413042</v>
      </c>
      <c r="G40" s="686">
        <f ca="1">tertiair!F20</f>
        <v>778.67184157193833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6498.8167273622548</v>
      </c>
    </row>
    <row r="41" spans="1:18">
      <c r="A41" s="814" t="s">
        <v>224</v>
      </c>
      <c r="B41" s="821"/>
      <c r="C41" s="686">
        <f ca="1">huishoudens!B12</f>
        <v>5725.2768180395433</v>
      </c>
      <c r="D41" s="686">
        <f ca="1">huishoudens!C12</f>
        <v>0</v>
      </c>
      <c r="E41" s="686">
        <f>huishoudens!D12</f>
        <v>18500.366088347557</v>
      </c>
      <c r="F41" s="686">
        <f>huishoudens!E12</f>
        <v>2540.469706156769</v>
      </c>
      <c r="G41" s="686">
        <f>huishoudens!F12</f>
        <v>0</v>
      </c>
      <c r="H41" s="686">
        <f>huishoudens!G12</f>
        <v>0</v>
      </c>
      <c r="I41" s="686">
        <f>huishoudens!H12</f>
        <v>0</v>
      </c>
      <c r="J41" s="686">
        <f>huishoudens!I12</f>
        <v>0</v>
      </c>
      <c r="K41" s="686">
        <f>huishoudens!J12</f>
        <v>51.4102443514318</v>
      </c>
      <c r="L41" s="686">
        <f>huishoudens!K12</f>
        <v>0</v>
      </c>
      <c r="M41" s="686">
        <f>huishoudens!L12</f>
        <v>0</v>
      </c>
      <c r="N41" s="686">
        <f>huishoudens!M12</f>
        <v>0</v>
      </c>
      <c r="O41" s="686">
        <f>huishoudens!N12</f>
        <v>0</v>
      </c>
      <c r="P41" s="686">
        <f>huishoudens!O12</f>
        <v>0</v>
      </c>
      <c r="Q41" s="763">
        <f>huishoudens!P12</f>
        <v>0</v>
      </c>
      <c r="R41" s="842">
        <f t="shared" ca="1" si="4"/>
        <v>26817.522856895299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965.39384475146437</v>
      </c>
      <c r="D43" s="686">
        <f ca="1">industrie!C22</f>
        <v>0</v>
      </c>
      <c r="E43" s="686">
        <f>industrie!D22</f>
        <v>960.70049623968623</v>
      </c>
      <c r="F43" s="686">
        <f>industrie!E22</f>
        <v>209.92564538250588</v>
      </c>
      <c r="G43" s="686">
        <f>industrie!F22</f>
        <v>840.55591994672204</v>
      </c>
      <c r="H43" s="686">
        <f>industrie!G22</f>
        <v>0</v>
      </c>
      <c r="I43" s="686">
        <f>industrie!H22</f>
        <v>0</v>
      </c>
      <c r="J43" s="686">
        <f>industrie!I22</f>
        <v>0</v>
      </c>
      <c r="K43" s="686">
        <f>industrie!J22</f>
        <v>2.6332057950067522</v>
      </c>
      <c r="L43" s="686">
        <f>industrie!K22</f>
        <v>0</v>
      </c>
      <c r="M43" s="686">
        <f>industrie!L22</f>
        <v>0</v>
      </c>
      <c r="N43" s="686">
        <f>industrie!M22</f>
        <v>0</v>
      </c>
      <c r="O43" s="686">
        <f>industrie!N22</f>
        <v>0</v>
      </c>
      <c r="P43" s="686">
        <f>industrie!O22</f>
        <v>0</v>
      </c>
      <c r="Q43" s="763">
        <f>industrie!P22</f>
        <v>0</v>
      </c>
      <c r="R43" s="841">
        <f t="shared" ca="1" si="4"/>
        <v>2979.2091121153853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8949.937992215202</v>
      </c>
      <c r="D46" s="721">
        <f t="shared" ref="D46:Q46" ca="1" si="5">SUM(D39:D45)</f>
        <v>0</v>
      </c>
      <c r="E46" s="721">
        <f t="shared" ca="1" si="5"/>
        <v>22878.086129026949</v>
      </c>
      <c r="F46" s="721">
        <f t="shared" si="5"/>
        <v>2794.2533634656879</v>
      </c>
      <c r="G46" s="721">
        <f t="shared" ca="1" si="5"/>
        <v>1619.2277615186604</v>
      </c>
      <c r="H46" s="721">
        <f t="shared" si="5"/>
        <v>0</v>
      </c>
      <c r="I46" s="721">
        <f t="shared" si="5"/>
        <v>0</v>
      </c>
      <c r="J46" s="721">
        <f t="shared" si="5"/>
        <v>0</v>
      </c>
      <c r="K46" s="721">
        <f t="shared" si="5"/>
        <v>54.043450146438552</v>
      </c>
      <c r="L46" s="721">
        <f t="shared" si="5"/>
        <v>0</v>
      </c>
      <c r="M46" s="721">
        <f t="shared" ca="1" si="5"/>
        <v>0</v>
      </c>
      <c r="N46" s="721">
        <f t="shared" si="5"/>
        <v>0</v>
      </c>
      <c r="O46" s="721">
        <f t="shared" ca="1" si="5"/>
        <v>0</v>
      </c>
      <c r="P46" s="721">
        <f t="shared" si="5"/>
        <v>0</v>
      </c>
      <c r="Q46" s="721">
        <f t="shared" si="5"/>
        <v>0</v>
      </c>
      <c r="R46" s="721">
        <f ca="1">SUM(R39:R45)</f>
        <v>36295.548696372942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528.06425430819809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528.06425430819809</v>
      </c>
    </row>
    <row r="50" spans="1:18">
      <c r="A50" s="817" t="s">
        <v>306</v>
      </c>
      <c r="B50" s="827"/>
      <c r="C50" s="692">
        <f ca="1">transport!B18</f>
        <v>1.0915184705377632</v>
      </c>
      <c r="D50" s="692">
        <f>transport!C18</f>
        <v>0</v>
      </c>
      <c r="E50" s="692">
        <f>transport!D18</f>
        <v>2.3919607452414064</v>
      </c>
      <c r="F50" s="692">
        <f>transport!E18</f>
        <v>107.77792494270284</v>
      </c>
      <c r="G50" s="692">
        <f>transport!F18</f>
        <v>0</v>
      </c>
      <c r="H50" s="692">
        <f>transport!G18</f>
        <v>46615.538743109108</v>
      </c>
      <c r="I50" s="692">
        <f>transport!H18</f>
        <v>5535.4877122002163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52262.287859467804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1.0915184705377632</v>
      </c>
      <c r="D52" s="721">
        <f t="shared" ref="D52:Q52" ca="1" si="6">SUM(D48:D51)</f>
        <v>0</v>
      </c>
      <c r="E52" s="721">
        <f t="shared" si="6"/>
        <v>2.3919607452414064</v>
      </c>
      <c r="F52" s="721">
        <f t="shared" si="6"/>
        <v>107.77792494270284</v>
      </c>
      <c r="G52" s="721">
        <f t="shared" si="6"/>
        <v>0</v>
      </c>
      <c r="H52" s="721">
        <f t="shared" si="6"/>
        <v>47143.602997417307</v>
      </c>
      <c r="I52" s="721">
        <f t="shared" si="6"/>
        <v>5535.4877122002163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52790.352113776004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1612.5825044208812</v>
      </c>
      <c r="D54" s="692">
        <f ca="1">+landbouw!C12</f>
        <v>19759.673949579828</v>
      </c>
      <c r="E54" s="692">
        <f>+landbouw!D12</f>
        <v>0</v>
      </c>
      <c r="F54" s="692">
        <f>+landbouw!E12</f>
        <v>32.10904921534172</v>
      </c>
      <c r="G54" s="692">
        <f>+landbouw!F12</f>
        <v>10340.666527194529</v>
      </c>
      <c r="H54" s="692">
        <f>+landbouw!G12</f>
        <v>0</v>
      </c>
      <c r="I54" s="692">
        <f>+landbouw!H12</f>
        <v>0</v>
      </c>
      <c r="J54" s="692">
        <f>+landbouw!I12</f>
        <v>0</v>
      </c>
      <c r="K54" s="692">
        <f>+landbouw!J12</f>
        <v>597.59219165434706</v>
      </c>
      <c r="L54" s="692">
        <f>+landbouw!K12</f>
        <v>0</v>
      </c>
      <c r="M54" s="692">
        <f>+landbouw!L12</f>
        <v>0</v>
      </c>
      <c r="N54" s="692">
        <f>+landbouw!M12</f>
        <v>0</v>
      </c>
      <c r="O54" s="692">
        <f>+landbouw!N12</f>
        <v>0</v>
      </c>
      <c r="P54" s="692">
        <f>+landbouw!O12</f>
        <v>0</v>
      </c>
      <c r="Q54" s="693">
        <f>+landbouw!P12</f>
        <v>0</v>
      </c>
      <c r="R54" s="720">
        <f ca="1">SUM(C54:Q54)</f>
        <v>32342.624222064926</v>
      </c>
    </row>
    <row r="55" spans="1:18" ht="15" thickBot="1">
      <c r="A55" s="817" t="s">
        <v>856</v>
      </c>
      <c r="B55" s="827"/>
      <c r="C55" s="692">
        <f ca="1">C25*'EF ele_warmte'!B12</f>
        <v>166.57182744740189</v>
      </c>
      <c r="D55" s="692"/>
      <c r="E55" s="692">
        <f>E25*EF_CO2_aardgas</f>
        <v>464.16815305636675</v>
      </c>
      <c r="F55" s="692"/>
      <c r="G55" s="692"/>
      <c r="H55" s="692"/>
      <c r="I55" s="692"/>
      <c r="J55" s="692"/>
      <c r="K55" s="692"/>
      <c r="L55" s="692"/>
      <c r="M55" s="692"/>
      <c r="N55" s="692"/>
      <c r="O55" s="692"/>
      <c r="P55" s="692"/>
      <c r="Q55" s="693"/>
      <c r="R55" s="720">
        <f ca="1">SUM(C55:Q55)</f>
        <v>630.73998050376861</v>
      </c>
    </row>
    <row r="56" spans="1:18" ht="15.75" thickBot="1">
      <c r="A56" s="815" t="s">
        <v>857</v>
      </c>
      <c r="B56" s="828"/>
      <c r="C56" s="721">
        <f ca="1">SUM(C54:C55)</f>
        <v>1779.154331868283</v>
      </c>
      <c r="D56" s="721">
        <f t="shared" ref="D56:Q56" ca="1" si="7">SUM(D54:D55)</f>
        <v>19759.673949579828</v>
      </c>
      <c r="E56" s="721">
        <f t="shared" si="7"/>
        <v>464.16815305636675</v>
      </c>
      <c r="F56" s="721">
        <f t="shared" si="7"/>
        <v>32.10904921534172</v>
      </c>
      <c r="G56" s="721">
        <f t="shared" si="7"/>
        <v>10340.666527194529</v>
      </c>
      <c r="H56" s="721">
        <f t="shared" si="7"/>
        <v>0</v>
      </c>
      <c r="I56" s="721">
        <f t="shared" si="7"/>
        <v>0</v>
      </c>
      <c r="J56" s="721">
        <f t="shared" si="7"/>
        <v>0</v>
      </c>
      <c r="K56" s="721">
        <f t="shared" si="7"/>
        <v>597.59219165434706</v>
      </c>
      <c r="L56" s="721">
        <f t="shared" si="7"/>
        <v>0</v>
      </c>
      <c r="M56" s="721">
        <f t="shared" si="7"/>
        <v>0</v>
      </c>
      <c r="N56" s="721">
        <f t="shared" si="7"/>
        <v>0</v>
      </c>
      <c r="O56" s="721">
        <f t="shared" si="7"/>
        <v>0</v>
      </c>
      <c r="P56" s="721">
        <f t="shared" si="7"/>
        <v>0</v>
      </c>
      <c r="Q56" s="722">
        <f t="shared" si="7"/>
        <v>0</v>
      </c>
      <c r="R56" s="723">
        <f ca="1">SUM(R54:R55)</f>
        <v>32973.364202568693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10730.183842554023</v>
      </c>
      <c r="D61" s="729">
        <f t="shared" ref="D61:Q61" ca="1" si="8">D46+D52+D56</f>
        <v>19759.673949579828</v>
      </c>
      <c r="E61" s="729">
        <f t="shared" ca="1" si="8"/>
        <v>23344.646242828556</v>
      </c>
      <c r="F61" s="729">
        <f t="shared" si="8"/>
        <v>2934.1403376237322</v>
      </c>
      <c r="G61" s="729">
        <f t="shared" ca="1" si="8"/>
        <v>11959.894288713189</v>
      </c>
      <c r="H61" s="729">
        <f t="shared" si="8"/>
        <v>47143.602997417307</v>
      </c>
      <c r="I61" s="729">
        <f t="shared" si="8"/>
        <v>5535.4877122002163</v>
      </c>
      <c r="J61" s="729">
        <f t="shared" si="8"/>
        <v>0</v>
      </c>
      <c r="K61" s="729">
        <f t="shared" si="8"/>
        <v>651.63564180078561</v>
      </c>
      <c r="L61" s="729">
        <f t="shared" si="8"/>
        <v>0</v>
      </c>
      <c r="M61" s="729">
        <f t="shared" ca="1" si="8"/>
        <v>0</v>
      </c>
      <c r="N61" s="729">
        <f t="shared" si="8"/>
        <v>0</v>
      </c>
      <c r="O61" s="729">
        <f t="shared" ca="1" si="8"/>
        <v>0</v>
      </c>
      <c r="P61" s="729">
        <f t="shared" si="8"/>
        <v>0</v>
      </c>
      <c r="Q61" s="729">
        <f t="shared" si="8"/>
        <v>0</v>
      </c>
      <c r="R61" s="729">
        <f ca="1">R46+R52+R56</f>
        <v>122059.26501271763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0.14365981454362384</v>
      </c>
      <c r="D63" s="772">
        <f t="shared" ca="1" si="9"/>
        <v>0.23711358076567554</v>
      </c>
      <c r="E63" s="998">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29626.488300000001</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8320.987432355505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130.94999999999999</v>
      </c>
      <c r="C76" s="739">
        <f>'lokale energieproductie'!B8*IFERROR(SUM(D76:H76)/SUM(D76:O76),0)</f>
        <v>58203.000000000007</v>
      </c>
      <c r="D76" s="1008">
        <f>'lokale energieproductie'!C8</f>
        <v>68474.117647058825</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154.05882352941174</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13831.771764705883</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38078.425732355507</v>
      </c>
      <c r="C78" s="744">
        <f>SUM(C72:C77)</f>
        <v>58203.000000000007</v>
      </c>
      <c r="D78" s="745">
        <f t="shared" ref="D78:H78" si="10">SUM(D76:D77)</f>
        <v>68474.117647058825</v>
      </c>
      <c r="E78" s="745">
        <f t="shared" si="10"/>
        <v>0</v>
      </c>
      <c r="F78" s="745">
        <f t="shared" si="10"/>
        <v>0</v>
      </c>
      <c r="G78" s="745">
        <f t="shared" si="10"/>
        <v>0</v>
      </c>
      <c r="H78" s="745">
        <f t="shared" si="10"/>
        <v>0</v>
      </c>
      <c r="I78" s="745">
        <f>SUM(I76:I77)</f>
        <v>0</v>
      </c>
      <c r="J78" s="745">
        <f>SUM(J76:J77)</f>
        <v>154.05882352941174</v>
      </c>
      <c r="K78" s="745">
        <f t="shared" ref="K78:L78" si="11">SUM(K76:K77)</f>
        <v>0</v>
      </c>
      <c r="L78" s="745">
        <f t="shared" si="11"/>
        <v>0</v>
      </c>
      <c r="M78" s="745">
        <f>SUM(M76:M77)</f>
        <v>0</v>
      </c>
      <c r="N78" s="745">
        <f>SUM(N76:N77)</f>
        <v>0</v>
      </c>
      <c r="O78" s="852">
        <f>SUM(O76:O77)</f>
        <v>0</v>
      </c>
      <c r="P78" s="746">
        <v>0</v>
      </c>
      <c r="Q78" s="746">
        <f>SUM(Q76:Q77)</f>
        <v>13831.771764705883</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187.07142857142858</v>
      </c>
      <c r="C87" s="755">
        <f>'lokale energieproductie'!B17*IFERROR(SUM(D87:H87)/SUM(D87:O87),0)</f>
        <v>83147.142857142855</v>
      </c>
      <c r="D87" s="766">
        <f>'lokale energieproductie'!C17</f>
        <v>97820.16806722687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220.08403361344531</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19759.673949579828</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187.07142857142858</v>
      </c>
      <c r="C90" s="744">
        <f>SUM(C87:C89)</f>
        <v>83147.142857142855</v>
      </c>
      <c r="D90" s="744">
        <f t="shared" ref="D90:H90" si="12">SUM(D87:D89)</f>
        <v>97820.16806722687</v>
      </c>
      <c r="E90" s="744">
        <f t="shared" si="12"/>
        <v>0</v>
      </c>
      <c r="F90" s="744">
        <f t="shared" si="12"/>
        <v>0</v>
      </c>
      <c r="G90" s="744">
        <f t="shared" si="12"/>
        <v>0</v>
      </c>
      <c r="H90" s="744">
        <f t="shared" si="12"/>
        <v>0</v>
      </c>
      <c r="I90" s="744">
        <f>SUM(I87:I89)</f>
        <v>0</v>
      </c>
      <c r="J90" s="744">
        <f>SUM(J87:J89)</f>
        <v>220.08403361344531</v>
      </c>
      <c r="K90" s="744">
        <f t="shared" ref="K90:L90" si="13">SUM(K87:K89)</f>
        <v>0</v>
      </c>
      <c r="L90" s="744">
        <f t="shared" si="13"/>
        <v>0</v>
      </c>
      <c r="M90" s="744">
        <f>SUM(M87:M89)</f>
        <v>0</v>
      </c>
      <c r="N90" s="744">
        <f>SUM(N87:N89)</f>
        <v>0</v>
      </c>
      <c r="O90" s="744">
        <f>SUM(O87:O89)</f>
        <v>0</v>
      </c>
      <c r="P90" s="744">
        <v>0</v>
      </c>
      <c r="Q90" s="744">
        <f>SUM(Q87:Q89)</f>
        <v>19759.673949579828</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8"/>
  <sheetViews>
    <sheetView showGridLines="0" topLeftCell="A267" zoomScale="65" zoomScaleNormal="65" workbookViewId="0">
      <selection activeCell="M35" sqref="M35"/>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29626.488300000001</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8320.987432355505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N36</f>
        <v>58333.950000000004</v>
      </c>
      <c r="C8" s="556">
        <f>B55</f>
        <v>68474.117647058825</v>
      </c>
      <c r="D8" s="1015"/>
      <c r="E8" s="1015">
        <f>E55</f>
        <v>0</v>
      </c>
      <c r="F8" s="1016"/>
      <c r="G8" s="557"/>
      <c r="H8" s="1015">
        <f>I55</f>
        <v>0</v>
      </c>
      <c r="I8" s="1015">
        <f>G55+F55</f>
        <v>0</v>
      </c>
      <c r="J8" s="1015">
        <f>H55+D55+C55</f>
        <v>154.05882352941174</v>
      </c>
      <c r="K8" s="1015"/>
      <c r="L8" s="1015"/>
      <c r="M8" s="1015"/>
      <c r="N8" s="558"/>
      <c r="O8" s="559">
        <f>C8*$C$12+D8*$D$12+E8*$E$12+F8*$F$12+G8*$G$12+H8*$H$12+I8*$I$12+J8*$J$12</f>
        <v>13831.771764705883</v>
      </c>
      <c r="P8" s="1254"/>
      <c r="Q8" s="1255"/>
      <c r="S8" s="1027"/>
      <c r="T8" s="1275"/>
      <c r="U8" s="1275"/>
    </row>
    <row r="9" spans="1:21" s="544" customFormat="1" ht="17.45" customHeight="1" thickBot="1">
      <c r="A9" s="560" t="s">
        <v>247</v>
      </c>
      <c r="B9" s="561">
        <f>N43+'Eigen informatie GS &amp; warmtenet'!B12</f>
        <v>0</v>
      </c>
      <c r="C9" s="562">
        <f>P43+IF(ISERROR(('Eigen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S43+IF(ISERROR('Eigen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W43+IF(ISERROR('Eigen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(T43+U43)+IF(ISERROR('Eigen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V43+Q43+R43+IF(ISERROR('Eigen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96281.425732355507</v>
      </c>
      <c r="C10" s="569">
        <f t="shared" ref="C10:L10" si="0">SUM(C8:C9)</f>
        <v>68474.117647058825</v>
      </c>
      <c r="D10" s="569">
        <f t="shared" si="0"/>
        <v>0</v>
      </c>
      <c r="E10" s="569">
        <f t="shared" si="0"/>
        <v>0</v>
      </c>
      <c r="F10" s="569">
        <f t="shared" si="0"/>
        <v>0</v>
      </c>
      <c r="G10" s="569">
        <f t="shared" si="0"/>
        <v>0</v>
      </c>
      <c r="H10" s="569">
        <f t="shared" si="0"/>
        <v>0</v>
      </c>
      <c r="I10" s="569">
        <f t="shared" si="0"/>
        <v>0</v>
      </c>
      <c r="J10" s="569">
        <f t="shared" si="0"/>
        <v>154.05882352941174</v>
      </c>
      <c r="K10" s="569">
        <f t="shared" si="0"/>
        <v>0</v>
      </c>
      <c r="L10" s="569">
        <f t="shared" si="0"/>
        <v>0</v>
      </c>
      <c r="M10" s="1018"/>
      <c r="N10" s="1018"/>
      <c r="O10" s="570">
        <f>SUM(O4:O9)</f>
        <v>13831.771764705883</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O36</f>
        <v>83334.21428571429</v>
      </c>
      <c r="C17" s="581">
        <f>B56</f>
        <v>97820.16806722687</v>
      </c>
      <c r="D17" s="582"/>
      <c r="E17" s="582">
        <f>E56</f>
        <v>0</v>
      </c>
      <c r="F17" s="1021"/>
      <c r="G17" s="583"/>
      <c r="H17" s="581">
        <f>I56</f>
        <v>0</v>
      </c>
      <c r="I17" s="582">
        <f>G56+F56</f>
        <v>0</v>
      </c>
      <c r="J17" s="582">
        <f>H56+D56+C56</f>
        <v>220.08403361344531</v>
      </c>
      <c r="K17" s="582"/>
      <c r="L17" s="582"/>
      <c r="M17" s="582"/>
      <c r="N17" s="1022"/>
      <c r="O17" s="584">
        <f>C17*$C$22+E17*$E$22+H17*$H$22+I17*$I$22+J17*$J$22+D17*$D$22+F17*$F$22+G17*$G$22+K17*$K$22+L17*$L$22</f>
        <v>19759.673949579828</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83334.21428571429</v>
      </c>
      <c r="C20" s="568">
        <f>SUM(C17:C19)</f>
        <v>97820.16806722687</v>
      </c>
      <c r="D20" s="568">
        <f t="shared" ref="D20:L20" si="1">SUM(D17:D19)</f>
        <v>0</v>
      </c>
      <c r="E20" s="568">
        <f t="shared" si="1"/>
        <v>0</v>
      </c>
      <c r="F20" s="568">
        <f t="shared" si="1"/>
        <v>0</v>
      </c>
      <c r="G20" s="568">
        <f t="shared" si="1"/>
        <v>0</v>
      </c>
      <c r="H20" s="568">
        <f t="shared" si="1"/>
        <v>0</v>
      </c>
      <c r="I20" s="568">
        <f t="shared" si="1"/>
        <v>0</v>
      </c>
      <c r="J20" s="568">
        <f t="shared" si="1"/>
        <v>220.08403361344531</v>
      </c>
      <c r="K20" s="568">
        <f t="shared" si="1"/>
        <v>0</v>
      </c>
      <c r="L20" s="568">
        <f t="shared" si="1"/>
        <v>0</v>
      </c>
      <c r="M20" s="568"/>
      <c r="N20" s="568"/>
      <c r="O20" s="588">
        <f>SUM(O17:O19)</f>
        <v>19759.673949579828</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11053</v>
      </c>
      <c r="C28" s="787">
        <v>2990</v>
      </c>
      <c r="D28" s="640" t="s">
        <v>920</v>
      </c>
      <c r="E28" s="639" t="s">
        <v>921</v>
      </c>
      <c r="F28" s="639" t="s">
        <v>922</v>
      </c>
      <c r="G28" s="639" t="s">
        <v>923</v>
      </c>
      <c r="H28" s="639" t="s">
        <v>924</v>
      </c>
      <c r="I28" s="639" t="s">
        <v>921</v>
      </c>
      <c r="J28" s="786">
        <v>39623</v>
      </c>
      <c r="K28" s="786">
        <v>39623</v>
      </c>
      <c r="L28" s="639" t="s">
        <v>925</v>
      </c>
      <c r="M28" s="639">
        <v>5140</v>
      </c>
      <c r="N28" s="639">
        <v>23130</v>
      </c>
      <c r="O28" s="639">
        <v>33042.857142857145</v>
      </c>
      <c r="P28" s="639">
        <v>66085.71428571429</v>
      </c>
      <c r="Q28" s="639">
        <v>0</v>
      </c>
      <c r="R28" s="639">
        <v>0</v>
      </c>
      <c r="S28" s="639">
        <v>0</v>
      </c>
      <c r="T28" s="639">
        <v>0</v>
      </c>
      <c r="U28" s="639">
        <v>0</v>
      </c>
      <c r="V28" s="639">
        <v>0</v>
      </c>
      <c r="W28" s="639">
        <v>0</v>
      </c>
      <c r="X28" s="639">
        <v>10</v>
      </c>
      <c r="Y28" s="639" t="s">
        <v>111</v>
      </c>
      <c r="Z28" s="641" t="s">
        <v>111</v>
      </c>
    </row>
    <row r="29" spans="1:26" s="593" customFormat="1" ht="25.5">
      <c r="A29" s="592"/>
      <c r="B29" s="787">
        <v>11053</v>
      </c>
      <c r="C29" s="787">
        <v>2990</v>
      </c>
      <c r="D29" s="640" t="s">
        <v>926</v>
      </c>
      <c r="E29" s="639" t="s">
        <v>927</v>
      </c>
      <c r="F29" s="639" t="s">
        <v>928</v>
      </c>
      <c r="G29" s="639" t="s">
        <v>923</v>
      </c>
      <c r="H29" s="639" t="s">
        <v>924</v>
      </c>
      <c r="I29" s="639" t="s">
        <v>929</v>
      </c>
      <c r="J29" s="786">
        <v>39778</v>
      </c>
      <c r="K29" s="786">
        <v>39806</v>
      </c>
      <c r="L29" s="639" t="s">
        <v>925</v>
      </c>
      <c r="M29" s="639">
        <v>801</v>
      </c>
      <c r="N29" s="639">
        <v>3604.5</v>
      </c>
      <c r="O29" s="639">
        <v>5149.2857142857147</v>
      </c>
      <c r="P29" s="639">
        <v>10298.571428571429</v>
      </c>
      <c r="Q29" s="639">
        <v>0</v>
      </c>
      <c r="R29" s="639">
        <v>0</v>
      </c>
      <c r="S29" s="639">
        <v>0</v>
      </c>
      <c r="T29" s="639">
        <v>0</v>
      </c>
      <c r="U29" s="639">
        <v>0</v>
      </c>
      <c r="V29" s="639">
        <v>0</v>
      </c>
      <c r="W29" s="639">
        <v>0</v>
      </c>
      <c r="X29" s="639">
        <v>10</v>
      </c>
      <c r="Y29" s="639" t="s">
        <v>111</v>
      </c>
      <c r="Z29" s="641" t="s">
        <v>111</v>
      </c>
    </row>
    <row r="30" spans="1:26" s="593" customFormat="1" ht="25.5">
      <c r="A30" s="592"/>
      <c r="B30" s="787">
        <v>11053</v>
      </c>
      <c r="C30" s="787">
        <v>2990</v>
      </c>
      <c r="D30" s="640" t="s">
        <v>930</v>
      </c>
      <c r="E30" s="639" t="s">
        <v>931</v>
      </c>
      <c r="F30" s="639" t="s">
        <v>932</v>
      </c>
      <c r="G30" s="639" t="s">
        <v>923</v>
      </c>
      <c r="H30" s="639" t="s">
        <v>924</v>
      </c>
      <c r="I30" s="639" t="s">
        <v>931</v>
      </c>
      <c r="J30" s="786">
        <v>39798</v>
      </c>
      <c r="K30" s="786">
        <v>39798</v>
      </c>
      <c r="L30" s="639" t="s">
        <v>925</v>
      </c>
      <c r="M30" s="639">
        <v>1558</v>
      </c>
      <c r="N30" s="639">
        <v>7011</v>
      </c>
      <c r="O30" s="639">
        <v>10015.714285714286</v>
      </c>
      <c r="P30" s="639">
        <v>20031.428571428572</v>
      </c>
      <c r="Q30" s="639">
        <v>0</v>
      </c>
      <c r="R30" s="639">
        <v>0</v>
      </c>
      <c r="S30" s="639">
        <v>0</v>
      </c>
      <c r="T30" s="639">
        <v>0</v>
      </c>
      <c r="U30" s="639">
        <v>0</v>
      </c>
      <c r="V30" s="639">
        <v>0</v>
      </c>
      <c r="W30" s="639">
        <v>0</v>
      </c>
      <c r="X30" s="639">
        <v>10</v>
      </c>
      <c r="Y30" s="639" t="s">
        <v>111</v>
      </c>
      <c r="Z30" s="641" t="s">
        <v>111</v>
      </c>
    </row>
    <row r="31" spans="1:26" s="593" customFormat="1" ht="38.25">
      <c r="A31" s="592"/>
      <c r="B31" s="787">
        <v>11053</v>
      </c>
      <c r="C31" s="787">
        <v>2990</v>
      </c>
      <c r="D31" s="640" t="s">
        <v>933</v>
      </c>
      <c r="E31" s="639" t="s">
        <v>934</v>
      </c>
      <c r="F31" s="639" t="s">
        <v>935</v>
      </c>
      <c r="G31" s="639" t="s">
        <v>923</v>
      </c>
      <c r="H31" s="639" t="s">
        <v>924</v>
      </c>
      <c r="I31" s="639" t="s">
        <v>934</v>
      </c>
      <c r="J31" s="786">
        <v>40259</v>
      </c>
      <c r="K31" s="786">
        <v>39255</v>
      </c>
      <c r="L31" s="639" t="s">
        <v>925</v>
      </c>
      <c r="M31" s="639">
        <v>3435</v>
      </c>
      <c r="N31" s="639">
        <v>15457.5</v>
      </c>
      <c r="O31" s="639">
        <v>22082.142857142859</v>
      </c>
      <c r="P31" s="639">
        <v>44164.285714285717</v>
      </c>
      <c r="Q31" s="639">
        <v>0</v>
      </c>
      <c r="R31" s="639">
        <v>0</v>
      </c>
      <c r="S31" s="639">
        <v>0</v>
      </c>
      <c r="T31" s="639">
        <v>0</v>
      </c>
      <c r="U31" s="639">
        <v>0</v>
      </c>
      <c r="V31" s="639">
        <v>0</v>
      </c>
      <c r="W31" s="639">
        <v>0</v>
      </c>
      <c r="X31" s="639">
        <v>10</v>
      </c>
      <c r="Y31" s="639" t="s">
        <v>111</v>
      </c>
      <c r="Z31" s="641" t="s">
        <v>111</v>
      </c>
    </row>
    <row r="32" spans="1:26" s="593" customFormat="1" ht="25.5">
      <c r="A32" s="592"/>
      <c r="B32" s="787">
        <v>11053</v>
      </c>
      <c r="C32" s="787">
        <v>2990</v>
      </c>
      <c r="D32" s="640" t="s">
        <v>936</v>
      </c>
      <c r="E32" s="639" t="s">
        <v>937</v>
      </c>
      <c r="F32" s="639" t="s">
        <v>938</v>
      </c>
      <c r="G32" s="639" t="s">
        <v>923</v>
      </c>
      <c r="H32" s="639" t="s">
        <v>924</v>
      </c>
      <c r="I32" s="639" t="s">
        <v>937</v>
      </c>
      <c r="J32" s="786">
        <v>40941</v>
      </c>
      <c r="K32" s="786">
        <v>40941</v>
      </c>
      <c r="L32" s="639" t="s">
        <v>925</v>
      </c>
      <c r="M32" s="639">
        <v>2000</v>
      </c>
      <c r="N32" s="639">
        <v>9000</v>
      </c>
      <c r="O32" s="639">
        <v>12857.142857142857</v>
      </c>
      <c r="P32" s="639">
        <v>25714.285714285717</v>
      </c>
      <c r="Q32" s="639">
        <v>0</v>
      </c>
      <c r="R32" s="639">
        <v>0</v>
      </c>
      <c r="S32" s="639">
        <v>0</v>
      </c>
      <c r="T32" s="639">
        <v>0</v>
      </c>
      <c r="U32" s="639">
        <v>0</v>
      </c>
      <c r="V32" s="639">
        <v>0</v>
      </c>
      <c r="W32" s="639">
        <v>0</v>
      </c>
      <c r="X32" s="639">
        <v>10</v>
      </c>
      <c r="Y32" s="639" t="s">
        <v>111</v>
      </c>
      <c r="Z32" s="641" t="s">
        <v>111</v>
      </c>
    </row>
    <row r="33" spans="1:27" s="593" customFormat="1" ht="25.5">
      <c r="A33" s="592"/>
      <c r="B33" s="787">
        <v>11053</v>
      </c>
      <c r="C33" s="787">
        <v>2990</v>
      </c>
      <c r="D33" s="640" t="s">
        <v>939</v>
      </c>
      <c r="E33" s="639" t="s">
        <v>940</v>
      </c>
      <c r="F33" s="639" t="s">
        <v>941</v>
      </c>
      <c r="G33" s="639" t="s">
        <v>923</v>
      </c>
      <c r="H33" s="639" t="s">
        <v>924</v>
      </c>
      <c r="I33" s="639" t="s">
        <v>942</v>
      </c>
      <c r="J33" s="786">
        <v>41086</v>
      </c>
      <c r="K33" s="786">
        <v>41244</v>
      </c>
      <c r="L33" s="639" t="s">
        <v>925</v>
      </c>
      <c r="M33" s="639">
        <v>9.6999999999999993</v>
      </c>
      <c r="N33" s="639">
        <v>43.649999999999991</v>
      </c>
      <c r="O33" s="639">
        <v>62.357142857142847</v>
      </c>
      <c r="P33" s="639">
        <v>0</v>
      </c>
      <c r="Q33" s="639">
        <v>124.71428571428569</v>
      </c>
      <c r="R33" s="639">
        <v>0</v>
      </c>
      <c r="S33" s="639">
        <v>0</v>
      </c>
      <c r="T33" s="639">
        <v>0</v>
      </c>
      <c r="U33" s="639">
        <v>0</v>
      </c>
      <c r="V33" s="639">
        <v>0</v>
      </c>
      <c r="W33" s="639">
        <v>0</v>
      </c>
      <c r="X33" s="639">
        <v>10</v>
      </c>
      <c r="Y33" s="639" t="s">
        <v>111</v>
      </c>
      <c r="Z33" s="641" t="s">
        <v>111</v>
      </c>
    </row>
    <row r="34" spans="1:27" s="593" customFormat="1" ht="25.5">
      <c r="A34" s="592"/>
      <c r="B34" s="787">
        <v>11053</v>
      </c>
      <c r="C34" s="787">
        <v>2990</v>
      </c>
      <c r="D34" s="640" t="s">
        <v>939</v>
      </c>
      <c r="E34" s="639" t="s">
        <v>940</v>
      </c>
      <c r="F34" s="639" t="s">
        <v>943</v>
      </c>
      <c r="G34" s="639" t="s">
        <v>923</v>
      </c>
      <c r="H34" s="639" t="s">
        <v>924</v>
      </c>
      <c r="I34" s="639" t="s">
        <v>944</v>
      </c>
      <c r="J34" s="786">
        <v>41086</v>
      </c>
      <c r="K34" s="786">
        <v>41244</v>
      </c>
      <c r="L34" s="639" t="s">
        <v>925</v>
      </c>
      <c r="M34" s="639">
        <v>9.6999999999999993</v>
      </c>
      <c r="N34" s="639">
        <v>43.649999999999991</v>
      </c>
      <c r="O34" s="639">
        <v>62.357142857142847</v>
      </c>
      <c r="P34" s="639">
        <v>0</v>
      </c>
      <c r="Q34" s="639">
        <v>124.71428571428569</v>
      </c>
      <c r="R34" s="639">
        <v>0</v>
      </c>
      <c r="S34" s="639">
        <v>0</v>
      </c>
      <c r="T34" s="639">
        <v>0</v>
      </c>
      <c r="U34" s="639">
        <v>0</v>
      </c>
      <c r="V34" s="639">
        <v>0</v>
      </c>
      <c r="W34" s="639">
        <v>0</v>
      </c>
      <c r="X34" s="639">
        <v>10</v>
      </c>
      <c r="Y34" s="639" t="s">
        <v>111</v>
      </c>
      <c r="Z34" s="641" t="s">
        <v>111</v>
      </c>
    </row>
    <row r="35" spans="1:27" s="593" customFormat="1" ht="25.5">
      <c r="A35" s="592"/>
      <c r="B35" s="787">
        <v>11053</v>
      </c>
      <c r="C35" s="787">
        <v>2990</v>
      </c>
      <c r="D35" s="640" t="s">
        <v>939</v>
      </c>
      <c r="E35" s="639" t="s">
        <v>940</v>
      </c>
      <c r="F35" s="639" t="s">
        <v>945</v>
      </c>
      <c r="G35" s="639" t="s">
        <v>923</v>
      </c>
      <c r="H35" s="639" t="s">
        <v>924</v>
      </c>
      <c r="I35" s="639" t="s">
        <v>946</v>
      </c>
      <c r="J35" s="786">
        <v>41086</v>
      </c>
      <c r="K35" s="786">
        <v>41214</v>
      </c>
      <c r="L35" s="639" t="s">
        <v>925</v>
      </c>
      <c r="M35" s="639">
        <v>9.6999999999999993</v>
      </c>
      <c r="N35" s="639">
        <v>43.649999999999991</v>
      </c>
      <c r="O35" s="639">
        <v>62.357142857142847</v>
      </c>
      <c r="P35" s="639">
        <v>0</v>
      </c>
      <c r="Q35" s="639">
        <v>124.71428571428569</v>
      </c>
      <c r="R35" s="639">
        <v>0</v>
      </c>
      <c r="S35" s="639">
        <v>0</v>
      </c>
      <c r="T35" s="639">
        <v>0</v>
      </c>
      <c r="U35" s="639">
        <v>0</v>
      </c>
      <c r="V35" s="639">
        <v>0</v>
      </c>
      <c r="W35" s="639">
        <v>0</v>
      </c>
      <c r="X35" s="639">
        <v>10</v>
      </c>
      <c r="Y35" s="639" t="s">
        <v>111</v>
      </c>
      <c r="Z35" s="641" t="s">
        <v>111</v>
      </c>
    </row>
    <row r="36" spans="1:27" s="576" customFormat="1">
      <c r="A36" s="595" t="s">
        <v>279</v>
      </c>
      <c r="B36" s="596"/>
      <c r="C36" s="596"/>
      <c r="D36" s="596"/>
      <c r="E36" s="596"/>
      <c r="F36" s="596"/>
      <c r="G36" s="596"/>
      <c r="H36" s="596"/>
      <c r="I36" s="596"/>
      <c r="J36" s="596"/>
      <c r="K36" s="596"/>
      <c r="L36" s="597"/>
      <c r="M36" s="597">
        <f>SUM(M28:M35)</f>
        <v>12963.100000000002</v>
      </c>
      <c r="N36" s="597">
        <f>SUM(N28:N35)</f>
        <v>58333.950000000004</v>
      </c>
      <c r="O36" s="597">
        <f>SUM(O28:O35)</f>
        <v>83334.21428571429</v>
      </c>
      <c r="P36" s="597">
        <f>SUM(P28:P35)</f>
        <v>166294.28571428571</v>
      </c>
      <c r="Q36" s="597">
        <f>SUM(Q28:Q35)</f>
        <v>374.14285714285711</v>
      </c>
      <c r="R36" s="597">
        <f>SUM(R28:R35)</f>
        <v>0</v>
      </c>
      <c r="S36" s="597">
        <f>SUM(S28:S35)</f>
        <v>0</v>
      </c>
      <c r="T36" s="597">
        <f>SUM(T28:T35)</f>
        <v>0</v>
      </c>
      <c r="U36" s="597">
        <f>SUM(U28:U35)</f>
        <v>0</v>
      </c>
      <c r="V36" s="597">
        <f>SUM(V28:V35)</f>
        <v>0</v>
      </c>
      <c r="W36" s="597">
        <f>SUM(W28:W35)</f>
        <v>0</v>
      </c>
      <c r="X36" s="598"/>
      <c r="Y36" s="598"/>
      <c r="Z36" s="599"/>
    </row>
    <row r="37" spans="1:27" s="576" customFormat="1">
      <c r="A37" s="595" t="s">
        <v>286</v>
      </c>
      <c r="B37" s="596"/>
      <c r="C37" s="596"/>
      <c r="D37" s="596"/>
      <c r="E37" s="596"/>
      <c r="F37" s="596"/>
      <c r="G37" s="596"/>
      <c r="H37" s="596"/>
      <c r="I37" s="596"/>
      <c r="J37" s="596"/>
      <c r="K37" s="596"/>
      <c r="L37" s="597"/>
      <c r="M37" s="597">
        <f>SUMIF($Z$28:$Z$35,"industrie",M28:M35)</f>
        <v>0</v>
      </c>
      <c r="N37" s="597">
        <f>SUMIF($Z$28:$Z$35,"industrie",N28:N35)</f>
        <v>0</v>
      </c>
      <c r="O37" s="597">
        <f>SUMIF($Z$28:$Z$35,"industrie",O28:O35)</f>
        <v>0</v>
      </c>
      <c r="P37" s="597">
        <f>SUMIF($Z$28:$Z$35,"industrie",P28:P35)</f>
        <v>0</v>
      </c>
      <c r="Q37" s="597">
        <f>SUMIF($Z$28:$Z$35,"industrie",Q28:Q35)</f>
        <v>0</v>
      </c>
      <c r="R37" s="597">
        <f>SUMIF($Z$28:$Z$35,"industrie",R28:R35)</f>
        <v>0</v>
      </c>
      <c r="S37" s="597">
        <f>SUMIF($Z$28:$Z$35,"industrie",S28:S35)</f>
        <v>0</v>
      </c>
      <c r="T37" s="597">
        <f>SUMIF($Z$28:$Z$35,"industrie",T28:T35)</f>
        <v>0</v>
      </c>
      <c r="U37" s="597">
        <f>SUMIF($Z$28:$Z$35,"industrie",U28:U35)</f>
        <v>0</v>
      </c>
      <c r="V37" s="597">
        <f>SUMIF($Z$28:$Z$35,"industrie",V28:V35)</f>
        <v>0</v>
      </c>
      <c r="W37" s="597">
        <f>SUMIF($Z$28:$Z$35,"industrie",W28:W35)</f>
        <v>0</v>
      </c>
      <c r="X37" s="598"/>
      <c r="Y37" s="598"/>
      <c r="Z37" s="599"/>
    </row>
    <row r="38" spans="1:27" s="576" customFormat="1">
      <c r="A38" s="595" t="s">
        <v>287</v>
      </c>
      <c r="B38" s="596"/>
      <c r="C38" s="596"/>
      <c r="D38" s="596"/>
      <c r="E38" s="596"/>
      <c r="F38" s="596"/>
      <c r="G38" s="596"/>
      <c r="H38" s="596"/>
      <c r="I38" s="596"/>
      <c r="J38" s="596"/>
      <c r="K38" s="596"/>
      <c r="L38" s="597"/>
      <c r="M38" s="597">
        <f ca="1">SUMIF($Z$28:AC35,"tertiair",M28:M35)</f>
        <v>0</v>
      </c>
      <c r="N38" s="597">
        <f ca="1">SUMIF($Z$28:AD35,"tertiair",N28:N35)</f>
        <v>0</v>
      </c>
      <c r="O38" s="597">
        <f ca="1">SUMIF($Z$28:AE35,"tertiair",O28:O35)</f>
        <v>0</v>
      </c>
      <c r="P38" s="597">
        <f ca="1">SUMIF($Z$28:AF35,"tertiair",P28:P35)</f>
        <v>0</v>
      </c>
      <c r="Q38" s="597">
        <f ca="1">SUMIF($Z$28:AG35,"tertiair",Q28:Q35)</f>
        <v>0</v>
      </c>
      <c r="R38" s="597">
        <f ca="1">SUMIF($Z$28:AH35,"tertiair",R28:R35)</f>
        <v>0</v>
      </c>
      <c r="S38" s="597">
        <f ca="1">SUMIF($Z$28:AI35,"tertiair",S28:S35)</f>
        <v>0</v>
      </c>
      <c r="T38" s="597">
        <f ca="1">SUMIF($Z$28:AJ35,"tertiair",T28:T35)</f>
        <v>0</v>
      </c>
      <c r="U38" s="597">
        <f ca="1">SUMIF($Z$28:AK35,"tertiair",U28:U35)</f>
        <v>0</v>
      </c>
      <c r="V38" s="597">
        <f ca="1">SUMIF($Z$28:AL35,"tertiair",V28:V35)</f>
        <v>0</v>
      </c>
      <c r="W38" s="597">
        <f ca="1">SUMIF($Z$28:AM35,"tertiair",W28:W35)</f>
        <v>0</v>
      </c>
      <c r="X38" s="598"/>
      <c r="Y38" s="598"/>
      <c r="Z38" s="599"/>
    </row>
    <row r="39" spans="1:27" s="576" customFormat="1" ht="15.75" thickBot="1">
      <c r="A39" s="600" t="s">
        <v>288</v>
      </c>
      <c r="B39" s="601"/>
      <c r="C39" s="601"/>
      <c r="D39" s="601"/>
      <c r="E39" s="601"/>
      <c r="F39" s="601"/>
      <c r="G39" s="601"/>
      <c r="H39" s="601"/>
      <c r="I39" s="601"/>
      <c r="J39" s="601"/>
      <c r="K39" s="601"/>
      <c r="L39" s="602"/>
      <c r="M39" s="602">
        <f>SUMIF($Z$28:$Z$35,"landbouw",M28:M35)</f>
        <v>12963.100000000002</v>
      </c>
      <c r="N39" s="602">
        <f>SUMIF($Z$28:$Z$35,"landbouw",N28:N35)</f>
        <v>58333.950000000004</v>
      </c>
      <c r="O39" s="602">
        <f>SUMIF($Z$28:$Z$35,"landbouw",O28:O35)</f>
        <v>83334.21428571429</v>
      </c>
      <c r="P39" s="602">
        <f>SUMIF($Z$28:$Z$35,"landbouw",P28:P35)</f>
        <v>166294.28571428571</v>
      </c>
      <c r="Q39" s="602">
        <f>SUMIF($Z$28:$Z$35,"landbouw",Q28:Q35)</f>
        <v>374.14285714285711</v>
      </c>
      <c r="R39" s="602">
        <f>SUMIF($Z$28:$Z$35,"landbouw",R28:R35)</f>
        <v>0</v>
      </c>
      <c r="S39" s="602">
        <f>SUMIF($Z$28:$Z$35,"landbouw",S28:S35)</f>
        <v>0</v>
      </c>
      <c r="T39" s="602">
        <f>SUMIF($Z$28:$Z$35,"landbouw",T28:T35)</f>
        <v>0</v>
      </c>
      <c r="U39" s="602">
        <f>SUMIF($Z$28:$Z$35,"landbouw",U28:U35)</f>
        <v>0</v>
      </c>
      <c r="V39" s="602">
        <f>SUMIF($Z$28:$Z$35,"landbouw",V28:V35)</f>
        <v>0</v>
      </c>
      <c r="W39" s="602">
        <f>SUMIF($Z$28:$Z$35,"landbouw",W28:W35)</f>
        <v>0</v>
      </c>
      <c r="X39" s="603"/>
      <c r="Y39" s="603"/>
      <c r="Z39" s="604"/>
    </row>
    <row r="40" spans="1:27" s="544" customFormat="1" ht="15.75" thickBot="1">
      <c r="A40" s="605"/>
      <c r="B40" s="606"/>
      <c r="C40" s="606"/>
      <c r="D40" s="606"/>
      <c r="E40" s="606"/>
      <c r="F40" s="606"/>
      <c r="G40" s="606"/>
      <c r="H40" s="606"/>
      <c r="I40" s="606"/>
      <c r="J40" s="606"/>
      <c r="K40" s="606"/>
      <c r="L40" s="589"/>
      <c r="M40" s="589"/>
      <c r="N40" s="589"/>
      <c r="O40" s="590"/>
      <c r="P40" s="590"/>
    </row>
    <row r="41" spans="1:27" s="544" customFormat="1" ht="45">
      <c r="A41" s="607" t="s">
        <v>280</v>
      </c>
      <c r="B41" s="636" t="s">
        <v>89</v>
      </c>
      <c r="C41" s="636" t="s">
        <v>90</v>
      </c>
      <c r="D41" s="636" t="s">
        <v>91</v>
      </c>
      <c r="E41" s="636" t="s">
        <v>92</v>
      </c>
      <c r="F41" s="636" t="s">
        <v>93</v>
      </c>
      <c r="G41" s="636" t="s">
        <v>94</v>
      </c>
      <c r="H41" s="636" t="s">
        <v>95</v>
      </c>
      <c r="I41" s="636" t="s">
        <v>96</v>
      </c>
      <c r="J41" s="636" t="s">
        <v>97</v>
      </c>
      <c r="K41" s="636" t="s">
        <v>98</v>
      </c>
      <c r="L41" s="636" t="s">
        <v>99</v>
      </c>
      <c r="M41" s="637" t="s">
        <v>297</v>
      </c>
      <c r="N41" s="637" t="s">
        <v>100</v>
      </c>
      <c r="O41" s="637" t="s">
        <v>101</v>
      </c>
      <c r="P41" s="637" t="s">
        <v>546</v>
      </c>
      <c r="Q41" s="637" t="s">
        <v>102</v>
      </c>
      <c r="R41" s="637" t="s">
        <v>103</v>
      </c>
      <c r="S41" s="637" t="s">
        <v>104</v>
      </c>
      <c r="T41" s="637" t="s">
        <v>105</v>
      </c>
      <c r="U41" s="637" t="s">
        <v>106</v>
      </c>
      <c r="V41" s="637" t="s">
        <v>107</v>
      </c>
      <c r="W41" s="636" t="s">
        <v>108</v>
      </c>
      <c r="X41" s="636" t="s">
        <v>298</v>
      </c>
      <c r="Y41" s="636" t="s">
        <v>109</v>
      </c>
      <c r="Z41" s="638" t="s">
        <v>299</v>
      </c>
    </row>
    <row r="42" spans="1:27" s="608" customFormat="1" ht="12.75">
      <c r="A42" s="594"/>
      <c r="B42" s="787"/>
      <c r="C42" s="787"/>
      <c r="D42" s="642"/>
      <c r="E42" s="642"/>
      <c r="F42" s="642"/>
      <c r="G42" s="642"/>
      <c r="H42" s="642"/>
      <c r="I42" s="642"/>
      <c r="J42" s="786"/>
      <c r="K42" s="786"/>
      <c r="L42" s="642"/>
      <c r="M42" s="642"/>
      <c r="N42" s="642"/>
      <c r="O42" s="642"/>
      <c r="P42" s="642"/>
      <c r="Q42" s="642"/>
      <c r="R42" s="642"/>
      <c r="S42" s="642"/>
      <c r="T42" s="642"/>
      <c r="U42" s="642"/>
      <c r="V42" s="642"/>
      <c r="W42" s="642"/>
      <c r="X42" s="642"/>
      <c r="Y42" s="642"/>
      <c r="Z42" s="643"/>
    </row>
    <row r="43" spans="1:27" s="576" customFormat="1">
      <c r="A43" s="595" t="s">
        <v>279</v>
      </c>
      <c r="B43" s="596"/>
      <c r="C43" s="596"/>
      <c r="D43" s="596"/>
      <c r="E43" s="596"/>
      <c r="F43" s="596"/>
      <c r="G43" s="596"/>
      <c r="H43" s="596"/>
      <c r="I43" s="596"/>
      <c r="J43" s="596"/>
      <c r="K43" s="596"/>
      <c r="L43" s="597"/>
      <c r="M43" s="597">
        <f>SUM(M42:M42)</f>
        <v>0</v>
      </c>
      <c r="N43" s="597">
        <f>SUM(N42:N42)</f>
        <v>0</v>
      </c>
      <c r="O43" s="597">
        <f>SUM(O42:O42)</f>
        <v>0</v>
      </c>
      <c r="P43" s="597">
        <f>SUM(P42:P42)</f>
        <v>0</v>
      </c>
      <c r="Q43" s="597">
        <f>SUM(Q42:Q42)</f>
        <v>0</v>
      </c>
      <c r="R43" s="597">
        <f>SUM(R42:R42)</f>
        <v>0</v>
      </c>
      <c r="S43" s="597">
        <f>SUM(S42:S42)</f>
        <v>0</v>
      </c>
      <c r="T43" s="597">
        <f>SUM(T42:T42)</f>
        <v>0</v>
      </c>
      <c r="U43" s="597">
        <f>SUM(U42:U42)</f>
        <v>0</v>
      </c>
      <c r="V43" s="597">
        <f>SUM(V42:V42)</f>
        <v>0</v>
      </c>
      <c r="W43" s="597">
        <f>SUM(W42:W42)</f>
        <v>0</v>
      </c>
      <c r="X43" s="598"/>
      <c r="Y43" s="598"/>
      <c r="Z43" s="599"/>
    </row>
    <row r="44" spans="1:27" s="576" customFormat="1">
      <c r="A44" s="595" t="s">
        <v>286</v>
      </c>
      <c r="B44" s="596"/>
      <c r="C44" s="596"/>
      <c r="D44" s="596"/>
      <c r="E44" s="596"/>
      <c r="F44" s="596"/>
      <c r="G44" s="596"/>
      <c r="H44" s="596"/>
      <c r="I44" s="596"/>
      <c r="J44" s="596"/>
      <c r="K44" s="596"/>
      <c r="L44" s="597"/>
      <c r="M44" s="597">
        <f>SUMIF($Z$42:$Z$42,"industrie",M42:M42)</f>
        <v>0</v>
      </c>
      <c r="N44" s="597">
        <f>SUMIF($Z$42:$Z$42,"industrie",N42:N42)</f>
        <v>0</v>
      </c>
      <c r="O44" s="597">
        <f>SUMIF($Z$42:$Z$42,"industrie",O42:O42)</f>
        <v>0</v>
      </c>
      <c r="P44" s="597">
        <f>SUMIF($Z$42:$Z$42,"industrie",P42:P42)</f>
        <v>0</v>
      </c>
      <c r="Q44" s="597">
        <f>SUMIF($Z$42:$Z$42,"industrie",Q42:Q42)</f>
        <v>0</v>
      </c>
      <c r="R44" s="597">
        <f>SUMIF($Z$42:$Z$42,"industrie",R42:R42)</f>
        <v>0</v>
      </c>
      <c r="S44" s="597">
        <f>SUMIF($Z$42:$Z$42,"industrie",S42:S42)</f>
        <v>0</v>
      </c>
      <c r="T44" s="597">
        <f>SUMIF($Z$42:$Z$42,"industrie",T42:T42)</f>
        <v>0</v>
      </c>
      <c r="U44" s="597">
        <f>SUMIF($Z$42:$Z$42,"industrie",U42:U42)</f>
        <v>0</v>
      </c>
      <c r="V44" s="597">
        <f>SUMIF($Z$42:$Z$42,"industrie",V42:V42)</f>
        <v>0</v>
      </c>
      <c r="W44" s="597">
        <f>SUMIF($Z$42:$Z$42,"industrie",W42:W42)</f>
        <v>0</v>
      </c>
      <c r="X44" s="598"/>
      <c r="Y44" s="598"/>
      <c r="Z44" s="599"/>
    </row>
    <row r="45" spans="1:27" s="576" customFormat="1">
      <c r="A45" s="595" t="s">
        <v>287</v>
      </c>
      <c r="B45" s="596"/>
      <c r="C45" s="596"/>
      <c r="D45" s="596"/>
      <c r="E45" s="596"/>
      <c r="F45" s="596"/>
      <c r="G45" s="596"/>
      <c r="H45" s="596"/>
      <c r="I45" s="596"/>
      <c r="J45" s="596"/>
      <c r="K45" s="596"/>
      <c r="L45" s="597"/>
      <c r="M45" s="597">
        <f>SUMIF($Z$42:$Z$43,"tertiair",M42:M43)</f>
        <v>0</v>
      </c>
      <c r="N45" s="597">
        <f>SUMIF($Z$42:$Z$43,"tertiair",N42:N43)</f>
        <v>0</v>
      </c>
      <c r="O45" s="597">
        <f>SUMIF($Z$42:$Z$43,"tertiair",O42:O43)</f>
        <v>0</v>
      </c>
      <c r="P45" s="597">
        <f>SUMIF($Z$42:$Z$43,"tertiair",P42:P43)</f>
        <v>0</v>
      </c>
      <c r="Q45" s="597">
        <f>SUMIF($Z$42:$Z$43,"tertiair",Q42:Q43)</f>
        <v>0</v>
      </c>
      <c r="R45" s="597">
        <f>SUMIF($Z$42:$Z$43,"tertiair",R42:R43)</f>
        <v>0</v>
      </c>
      <c r="S45" s="597">
        <f>SUMIF($Z$42:$Z$43,"tertiair",S42:S43)</f>
        <v>0</v>
      </c>
      <c r="T45" s="597">
        <f>SUMIF($Z$42:$Z$43,"tertiair",T42:T43)</f>
        <v>0</v>
      </c>
      <c r="U45" s="597">
        <f>SUMIF($Z$42:$Z$43,"tertiair",U42:U43)</f>
        <v>0</v>
      </c>
      <c r="V45" s="597">
        <f>SUMIF($Z$42:$Z$43,"tertiair",V42:V43)</f>
        <v>0</v>
      </c>
      <c r="W45" s="597">
        <f>SUMIF($Z$42:$Z$43,"tertiair",W42:W43)</f>
        <v>0</v>
      </c>
      <c r="X45" s="598"/>
      <c r="Y45" s="598"/>
      <c r="Z45" s="599"/>
    </row>
    <row r="46" spans="1:27" s="576" customFormat="1" ht="15.75" thickBot="1">
      <c r="A46" s="600" t="s">
        <v>288</v>
      </c>
      <c r="B46" s="601"/>
      <c r="C46" s="601"/>
      <c r="D46" s="601"/>
      <c r="E46" s="601"/>
      <c r="F46" s="601"/>
      <c r="G46" s="601"/>
      <c r="H46" s="601"/>
      <c r="I46" s="601"/>
      <c r="J46" s="601"/>
      <c r="K46" s="601"/>
      <c r="L46" s="602"/>
      <c r="M46" s="602">
        <f>SUMIF($Z$42:$Z$44,"landbouw",M42:M44)</f>
        <v>0</v>
      </c>
      <c r="N46" s="602">
        <f>SUMIF($Z$42:$Z$44,"landbouw",N42:N44)</f>
        <v>0</v>
      </c>
      <c r="O46" s="602">
        <f>SUMIF($Z$42:$Z$44,"landbouw",O42:O44)</f>
        <v>0</v>
      </c>
      <c r="P46" s="602">
        <f>SUMIF($Z$42:$Z$44,"landbouw",P42:P44)</f>
        <v>0</v>
      </c>
      <c r="Q46" s="602">
        <f>SUMIF($Z$42:$Z$44,"landbouw",Q42:Q44)</f>
        <v>0</v>
      </c>
      <c r="R46" s="602">
        <f>SUMIF($Z$42:$Z$44,"landbouw",R42:R44)</f>
        <v>0</v>
      </c>
      <c r="S46" s="602">
        <f>SUMIF($Z$42:$Z$44,"landbouw",S42:S44)</f>
        <v>0</v>
      </c>
      <c r="T46" s="602">
        <f>SUMIF($Z$42:$Z$44,"landbouw",T42:T44)</f>
        <v>0</v>
      </c>
      <c r="U46" s="602">
        <f>SUMIF($Z$42:$Z$44,"landbouw",U42:U44)</f>
        <v>0</v>
      </c>
      <c r="V46" s="602">
        <f>SUMIF($Z$42:$Z$44,"landbouw",V42:V44)</f>
        <v>0</v>
      </c>
      <c r="W46" s="602">
        <f>SUMIF($Z$42:$Z$44,"landbouw",W42:W44)</f>
        <v>0</v>
      </c>
      <c r="X46" s="603"/>
      <c r="Y46" s="603"/>
      <c r="Z46" s="604"/>
    </row>
    <row r="47" spans="1:27" s="609" customFormat="1">
      <c r="A47" s="605"/>
      <c r="B47" s="589"/>
      <c r="C47" s="589"/>
      <c r="D47" s="589"/>
      <c r="E47" s="589"/>
      <c r="F47" s="589"/>
      <c r="G47" s="589"/>
      <c r="H47" s="589"/>
      <c r="I47" s="589"/>
      <c r="J47" s="589"/>
      <c r="K47" s="589"/>
      <c r="L47" s="589"/>
      <c r="M47" s="589"/>
      <c r="N47" s="589"/>
      <c r="O47" s="589"/>
      <c r="P47" s="589"/>
      <c r="Q47" s="589"/>
      <c r="R47" s="589"/>
      <c r="S47" s="589"/>
      <c r="T47" s="589"/>
      <c r="U47" s="589"/>
      <c r="V47" s="589"/>
      <c r="W47" s="589"/>
      <c r="X47" s="589"/>
      <c r="Y47" s="589"/>
    </row>
    <row r="48" spans="1:27" s="609" customFormat="1" ht="15.75" thickBot="1">
      <c r="A48" s="605"/>
      <c r="B48" s="589"/>
      <c r="C48" s="589"/>
      <c r="D48" s="589"/>
      <c r="E48" s="589"/>
      <c r="F48" s="589"/>
      <c r="G48" s="589"/>
      <c r="H48" s="589"/>
      <c r="I48" s="589"/>
      <c r="J48" s="589"/>
      <c r="K48" s="589"/>
      <c r="L48" s="589"/>
      <c r="M48" s="589"/>
      <c r="N48" s="589"/>
      <c r="O48" s="589"/>
      <c r="P48" s="589"/>
      <c r="Q48" s="589"/>
      <c r="R48" s="589"/>
      <c r="S48" s="589"/>
      <c r="T48" s="589"/>
      <c r="U48" s="589"/>
      <c r="V48" s="589"/>
      <c r="W48" s="589"/>
      <c r="X48" s="589"/>
      <c r="Y48" s="589"/>
      <c r="Z48" s="589"/>
      <c r="AA48" s="589"/>
    </row>
    <row r="49" spans="1:16">
      <c r="A49" s="610" t="s">
        <v>281</v>
      </c>
      <c r="B49" s="611"/>
      <c r="C49" s="611"/>
      <c r="D49" s="611"/>
      <c r="E49" s="611"/>
      <c r="F49" s="611"/>
      <c r="G49" s="611"/>
      <c r="H49" s="611"/>
      <c r="I49" s="612"/>
      <c r="J49" s="613"/>
      <c r="K49" s="613"/>
      <c r="L49" s="614"/>
      <c r="M49" s="614"/>
      <c r="N49" s="614"/>
      <c r="O49" s="614"/>
      <c r="P49" s="614"/>
    </row>
    <row r="50" spans="1:16">
      <c r="A50" s="616"/>
      <c r="B50" s="606"/>
      <c r="C50" s="606"/>
      <c r="D50" s="606"/>
      <c r="E50" s="606"/>
      <c r="F50" s="606"/>
      <c r="G50" s="606"/>
      <c r="H50" s="606"/>
      <c r="I50" s="617"/>
      <c r="J50" s="606"/>
      <c r="K50" s="606"/>
      <c r="L50" s="614"/>
      <c r="M50" s="614"/>
      <c r="N50" s="614"/>
      <c r="O50" s="614"/>
      <c r="P50" s="614"/>
    </row>
    <row r="51" spans="1:16">
      <c r="A51" s="618"/>
      <c r="B51" s="619" t="s">
        <v>282</v>
      </c>
      <c r="C51" s="619" t="s">
        <v>283</v>
      </c>
      <c r="D51" s="619"/>
      <c r="E51" s="619"/>
      <c r="F51" s="619"/>
      <c r="G51" s="619"/>
      <c r="H51" s="619"/>
      <c r="I51" s="620"/>
      <c r="J51" s="619"/>
      <c r="K51" s="619"/>
      <c r="L51" s="619"/>
      <c r="M51" s="619"/>
      <c r="N51" s="619"/>
      <c r="O51" s="619"/>
      <c r="P51" s="614"/>
    </row>
    <row r="52" spans="1:16">
      <c r="A52" s="616" t="s">
        <v>279</v>
      </c>
      <c r="B52" s="621">
        <f>IF(ISERROR(O36/(O36+N36)),0,O36/(O36+N36))</f>
        <v>0.58823529411764697</v>
      </c>
      <c r="C52" s="622">
        <f>IF(ISERROR(N36/(O36+N36)),0,N36/(N36+O36))</f>
        <v>0.41176470588235292</v>
      </c>
      <c r="D52" s="589"/>
      <c r="E52" s="589"/>
      <c r="F52" s="589"/>
      <c r="G52" s="589"/>
      <c r="H52" s="589"/>
      <c r="I52" s="623"/>
      <c r="J52" s="589"/>
      <c r="K52" s="589"/>
      <c r="L52" s="624"/>
      <c r="M52" s="624"/>
      <c r="N52" s="624"/>
      <c r="O52" s="624"/>
      <c r="P52" s="614"/>
    </row>
    <row r="53" spans="1:16">
      <c r="A53" s="616"/>
      <c r="B53" s="625"/>
      <c r="C53" s="625"/>
      <c r="D53" s="625"/>
      <c r="E53" s="625"/>
      <c r="F53" s="625"/>
      <c r="G53" s="625"/>
      <c r="H53" s="625"/>
      <c r="I53" s="626"/>
      <c r="J53" s="625"/>
      <c r="K53" s="625"/>
      <c r="L53" s="627"/>
      <c r="M53" s="627"/>
      <c r="N53" s="627"/>
      <c r="O53" s="627"/>
      <c r="P53" s="614"/>
    </row>
    <row r="54" spans="1:16" ht="30">
      <c r="A54" s="628"/>
      <c r="B54" s="629" t="s">
        <v>546</v>
      </c>
      <c r="C54" s="629" t="s">
        <v>102</v>
      </c>
      <c r="D54" s="629" t="s">
        <v>103</v>
      </c>
      <c r="E54" s="629" t="s">
        <v>104</v>
      </c>
      <c r="F54" s="629" t="s">
        <v>105</v>
      </c>
      <c r="G54" s="629" t="s">
        <v>106</v>
      </c>
      <c r="H54" s="629" t="s">
        <v>107</v>
      </c>
      <c r="I54" s="630" t="s">
        <v>108</v>
      </c>
      <c r="J54" s="619"/>
      <c r="K54" s="619"/>
      <c r="L54" s="627"/>
      <c r="M54" s="627"/>
      <c r="N54" s="627"/>
      <c r="O54" s="614"/>
      <c r="P54" s="614"/>
    </row>
    <row r="55" spans="1:16">
      <c r="A55" s="618" t="s">
        <v>284</v>
      </c>
      <c r="B55" s="631">
        <f t="shared" ref="B55:I55" si="2">$C$52*P36</f>
        <v>68474.117647058825</v>
      </c>
      <c r="C55" s="631">
        <f t="shared" si="2"/>
        <v>154.05882352941174</v>
      </c>
      <c r="D55" s="631">
        <f t="shared" si="2"/>
        <v>0</v>
      </c>
      <c r="E55" s="631">
        <f t="shared" si="2"/>
        <v>0</v>
      </c>
      <c r="F55" s="631">
        <f t="shared" si="2"/>
        <v>0</v>
      </c>
      <c r="G55" s="631">
        <f t="shared" si="2"/>
        <v>0</v>
      </c>
      <c r="H55" s="631">
        <f t="shared" si="2"/>
        <v>0</v>
      </c>
      <c r="I55" s="632">
        <f t="shared" si="2"/>
        <v>0</v>
      </c>
      <c r="J55" s="589"/>
      <c r="K55" s="589"/>
      <c r="L55" s="627"/>
      <c r="M55" s="627"/>
      <c r="N55" s="627"/>
      <c r="O55" s="614"/>
      <c r="P55" s="614"/>
    </row>
    <row r="56" spans="1:16" ht="15.75" thickBot="1">
      <c r="A56" s="633" t="s">
        <v>285</v>
      </c>
      <c r="B56" s="634">
        <f t="shared" ref="B56:I56" si="3">$B$52*P36</f>
        <v>97820.16806722687</v>
      </c>
      <c r="C56" s="634">
        <f t="shared" si="3"/>
        <v>220.08403361344531</v>
      </c>
      <c r="D56" s="634">
        <f t="shared" si="3"/>
        <v>0</v>
      </c>
      <c r="E56" s="634">
        <f t="shared" si="3"/>
        <v>0</v>
      </c>
      <c r="F56" s="634">
        <f t="shared" si="3"/>
        <v>0</v>
      </c>
      <c r="G56" s="634">
        <f t="shared" si="3"/>
        <v>0</v>
      </c>
      <c r="H56" s="634">
        <f t="shared" si="3"/>
        <v>0</v>
      </c>
      <c r="I56" s="635">
        <f t="shared" si="3"/>
        <v>0</v>
      </c>
      <c r="J56" s="589"/>
      <c r="K56" s="589"/>
      <c r="L56" s="627"/>
      <c r="M56" s="627"/>
      <c r="N56" s="627"/>
      <c r="O56" s="614"/>
      <c r="P56" s="614"/>
    </row>
    <row r="57" spans="1:16">
      <c r="J57" s="574"/>
      <c r="K57" s="574"/>
      <c r="L57" s="574"/>
      <c r="M57" s="574"/>
      <c r="N57" s="574"/>
    </row>
    <row r="58" spans="1:16">
      <c r="J58" s="574"/>
      <c r="K58" s="574"/>
      <c r="L58" s="574"/>
      <c r="M58" s="574"/>
      <c r="N58"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39853.015516047475</v>
      </c>
      <c r="C4" s="458">
        <f>huishoudens!C8</f>
        <v>0</v>
      </c>
      <c r="D4" s="458">
        <f>huishoudens!D8</f>
        <v>91585.970734393835</v>
      </c>
      <c r="E4" s="458">
        <f>huishoudens!E8</f>
        <v>11191.496502893255</v>
      </c>
      <c r="F4" s="458">
        <f>huishoudens!F8</f>
        <v>0</v>
      </c>
      <c r="G4" s="458">
        <f>huishoudens!G8</f>
        <v>0</v>
      </c>
      <c r="H4" s="458">
        <f>huishoudens!H8</f>
        <v>0</v>
      </c>
      <c r="I4" s="458">
        <f>huishoudens!I8</f>
        <v>0</v>
      </c>
      <c r="J4" s="458">
        <f>huishoudens!J8</f>
        <v>145.22667895884689</v>
      </c>
      <c r="K4" s="458">
        <f>huishoudens!K8</f>
        <v>0</v>
      </c>
      <c r="L4" s="458">
        <f>huishoudens!L8</f>
        <v>0</v>
      </c>
      <c r="M4" s="458">
        <f>huishoudens!M8</f>
        <v>0</v>
      </c>
      <c r="N4" s="458">
        <f>huishoudens!N8</f>
        <v>30278.548534896108</v>
      </c>
      <c r="O4" s="458">
        <f>huishoudens!O8</f>
        <v>193.85333333333335</v>
      </c>
      <c r="P4" s="459">
        <f>huishoudens!P8</f>
        <v>1029.5999999999999</v>
      </c>
      <c r="Q4" s="460">
        <f>SUM(B4:P4)</f>
        <v>174277.71130052287</v>
      </c>
    </row>
    <row r="5" spans="1:17">
      <c r="A5" s="457" t="s">
        <v>155</v>
      </c>
      <c r="B5" s="458">
        <f ca="1">tertiair!B16</f>
        <v>14359.524742903492</v>
      </c>
      <c r="C5" s="458">
        <f ca="1">tertiair!C16</f>
        <v>0</v>
      </c>
      <c r="D5" s="458">
        <f ca="1">tertiair!D16</f>
        <v>16915.938338810436</v>
      </c>
      <c r="E5" s="458">
        <f>tertiair!E16</f>
        <v>193.20710099741427</v>
      </c>
      <c r="F5" s="458">
        <f ca="1">tertiair!F16</f>
        <v>2916.3739384716791</v>
      </c>
      <c r="G5" s="458">
        <f>tertiair!G16</f>
        <v>0</v>
      </c>
      <c r="H5" s="458">
        <f>tertiair!H16</f>
        <v>0</v>
      </c>
      <c r="I5" s="458">
        <f>tertiair!I16</f>
        <v>0</v>
      </c>
      <c r="J5" s="458">
        <f>tertiair!J16</f>
        <v>0</v>
      </c>
      <c r="K5" s="458">
        <f>tertiair!K16</f>
        <v>0</v>
      </c>
      <c r="L5" s="458">
        <f ca="1">tertiair!L16</f>
        <v>0</v>
      </c>
      <c r="M5" s="458">
        <f>tertiair!M16</f>
        <v>0</v>
      </c>
      <c r="N5" s="458">
        <f ca="1">tertiair!N16</f>
        <v>1619.8838717449187</v>
      </c>
      <c r="O5" s="458">
        <f>tertiair!O16</f>
        <v>3.1266666666666669</v>
      </c>
      <c r="P5" s="459">
        <f>tertiair!P16</f>
        <v>38.133333333333333</v>
      </c>
      <c r="Q5" s="457">
        <f t="shared" ref="Q5:Q14" ca="1" si="0">SUM(B5:P5)</f>
        <v>36046.187992927931</v>
      </c>
    </row>
    <row r="6" spans="1:17">
      <c r="A6" s="457" t="s">
        <v>193</v>
      </c>
      <c r="B6" s="458">
        <f>'openbare verlichting'!B8</f>
        <v>1366.9839999999999</v>
      </c>
      <c r="C6" s="458"/>
      <c r="D6" s="458"/>
      <c r="E6" s="458"/>
      <c r="F6" s="458"/>
      <c r="G6" s="458"/>
      <c r="H6" s="458"/>
      <c r="I6" s="458"/>
      <c r="J6" s="458"/>
      <c r="K6" s="458"/>
      <c r="L6" s="458"/>
      <c r="M6" s="458"/>
      <c r="N6" s="458"/>
      <c r="O6" s="458"/>
      <c r="P6" s="459"/>
      <c r="Q6" s="457">
        <f t="shared" si="0"/>
        <v>1366.9839999999999</v>
      </c>
    </row>
    <row r="7" spans="1:17">
      <c r="A7" s="457" t="s">
        <v>111</v>
      </c>
      <c r="B7" s="458">
        <f>landbouw!B8</f>
        <v>11225.007560699609</v>
      </c>
      <c r="C7" s="458">
        <f>landbouw!C8</f>
        <v>83334.21428571429</v>
      </c>
      <c r="D7" s="458">
        <f>landbouw!D8</f>
        <v>0</v>
      </c>
      <c r="E7" s="458">
        <f>landbouw!E8</f>
        <v>141.44955601472122</v>
      </c>
      <c r="F7" s="458">
        <f>landbouw!F8</f>
        <v>38729.088116833438</v>
      </c>
      <c r="G7" s="458">
        <f>landbouw!G8</f>
        <v>0</v>
      </c>
      <c r="H7" s="458">
        <f>landbouw!H8</f>
        <v>0</v>
      </c>
      <c r="I7" s="458">
        <f>landbouw!I8</f>
        <v>0</v>
      </c>
      <c r="J7" s="458">
        <f>landbouw!J8</f>
        <v>1688.1135357467431</v>
      </c>
      <c r="K7" s="458">
        <f>landbouw!K8</f>
        <v>0</v>
      </c>
      <c r="L7" s="458">
        <f>landbouw!L8</f>
        <v>0</v>
      </c>
      <c r="M7" s="458">
        <f>landbouw!M8</f>
        <v>0</v>
      </c>
      <c r="N7" s="458">
        <f>landbouw!N8</f>
        <v>0</v>
      </c>
      <c r="O7" s="458">
        <f>landbouw!O8</f>
        <v>0</v>
      </c>
      <c r="P7" s="459">
        <f>landbouw!P8</f>
        <v>0</v>
      </c>
      <c r="Q7" s="457">
        <f t="shared" si="0"/>
        <v>135117.87305500882</v>
      </c>
    </row>
    <row r="8" spans="1:17">
      <c r="A8" s="457" t="s">
        <v>655</v>
      </c>
      <c r="B8" s="458">
        <f>industrie!B18</f>
        <v>6719.9992413905857</v>
      </c>
      <c r="C8" s="458">
        <f>industrie!C18</f>
        <v>0</v>
      </c>
      <c r="D8" s="458">
        <f>industrie!D18</f>
        <v>4755.943050691516</v>
      </c>
      <c r="E8" s="458">
        <f>industrie!E18</f>
        <v>924.78257877755891</v>
      </c>
      <c r="F8" s="458">
        <f>industrie!F18</f>
        <v>3148.1495129090713</v>
      </c>
      <c r="G8" s="458">
        <f>industrie!G18</f>
        <v>0</v>
      </c>
      <c r="H8" s="458">
        <f>industrie!H18</f>
        <v>0</v>
      </c>
      <c r="I8" s="458">
        <f>industrie!I18</f>
        <v>0</v>
      </c>
      <c r="J8" s="458">
        <f>industrie!J18</f>
        <v>7.4384344491716163</v>
      </c>
      <c r="K8" s="458">
        <f>industrie!K18</f>
        <v>0</v>
      </c>
      <c r="L8" s="458">
        <f>industrie!L18</f>
        <v>0</v>
      </c>
      <c r="M8" s="458">
        <f>industrie!M18</f>
        <v>0</v>
      </c>
      <c r="N8" s="458">
        <f>industrie!N18</f>
        <v>497.14795373739855</v>
      </c>
      <c r="O8" s="458">
        <f>industrie!O18</f>
        <v>0</v>
      </c>
      <c r="P8" s="459">
        <f>industrie!P18</f>
        <v>0</v>
      </c>
      <c r="Q8" s="457">
        <f t="shared" si="0"/>
        <v>16053.460771955301</v>
      </c>
    </row>
    <row r="9" spans="1:17" s="463" customFormat="1">
      <c r="A9" s="461" t="s">
        <v>573</v>
      </c>
      <c r="B9" s="462">
        <f>transport!B14</f>
        <v>7.5979387416396245</v>
      </c>
      <c r="C9" s="462">
        <f>transport!C14</f>
        <v>0</v>
      </c>
      <c r="D9" s="462">
        <f>transport!D14</f>
        <v>11.841389827927754</v>
      </c>
      <c r="E9" s="462">
        <f>transport!E14</f>
        <v>474.79262089296401</v>
      </c>
      <c r="F9" s="462">
        <f>transport!F14</f>
        <v>0</v>
      </c>
      <c r="G9" s="462">
        <f>transport!G14</f>
        <v>174590.03274572699</v>
      </c>
      <c r="H9" s="462">
        <f>transport!H14</f>
        <v>22230.874346185607</v>
      </c>
      <c r="I9" s="462">
        <f>transport!I14</f>
        <v>0</v>
      </c>
      <c r="J9" s="462">
        <f>transport!J14</f>
        <v>0</v>
      </c>
      <c r="K9" s="462">
        <f>transport!K14</f>
        <v>0</v>
      </c>
      <c r="L9" s="462">
        <f>transport!L14</f>
        <v>0</v>
      </c>
      <c r="M9" s="462">
        <f>transport!M14</f>
        <v>8896.2802227968641</v>
      </c>
      <c r="N9" s="462">
        <f>transport!N14</f>
        <v>0</v>
      </c>
      <c r="O9" s="462">
        <f>transport!O14</f>
        <v>0</v>
      </c>
      <c r="P9" s="462">
        <f>transport!P14</f>
        <v>0</v>
      </c>
      <c r="Q9" s="461">
        <f>SUM(B9:P9)</f>
        <v>206211.419264172</v>
      </c>
    </row>
    <row r="10" spans="1:17">
      <c r="A10" s="457" t="s">
        <v>563</v>
      </c>
      <c r="B10" s="458">
        <f>transport!B54</f>
        <v>0</v>
      </c>
      <c r="C10" s="458">
        <f>transport!C54</f>
        <v>0</v>
      </c>
      <c r="D10" s="458">
        <f>transport!D54</f>
        <v>0</v>
      </c>
      <c r="E10" s="458">
        <f>transport!E54</f>
        <v>0</v>
      </c>
      <c r="F10" s="458">
        <f>transport!F54</f>
        <v>0</v>
      </c>
      <c r="G10" s="458">
        <f>transport!G54</f>
        <v>1977.7687427273333</v>
      </c>
      <c r="H10" s="458">
        <f>transport!H54</f>
        <v>0</v>
      </c>
      <c r="I10" s="458">
        <f>transport!I54</f>
        <v>0</v>
      </c>
      <c r="J10" s="458">
        <f>transport!J54</f>
        <v>0</v>
      </c>
      <c r="K10" s="458">
        <f>transport!K54</f>
        <v>0</v>
      </c>
      <c r="L10" s="458">
        <f>transport!L54</f>
        <v>0</v>
      </c>
      <c r="M10" s="458">
        <f>transport!M54</f>
        <v>88.032122931416282</v>
      </c>
      <c r="N10" s="458">
        <f>transport!N54</f>
        <v>0</v>
      </c>
      <c r="O10" s="458">
        <f>transport!O54</f>
        <v>0</v>
      </c>
      <c r="P10" s="459">
        <f>transport!P54</f>
        <v>0</v>
      </c>
      <c r="Q10" s="457">
        <f t="shared" si="0"/>
        <v>2065.8008656587494</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1159.4879749536401</v>
      </c>
      <c r="C14" s="465"/>
      <c r="D14" s="465">
        <f>'SEAP template'!E25</f>
        <v>2297.8621438433997</v>
      </c>
      <c r="E14" s="465"/>
      <c r="F14" s="465"/>
      <c r="G14" s="465"/>
      <c r="H14" s="465"/>
      <c r="I14" s="465"/>
      <c r="J14" s="465"/>
      <c r="K14" s="465"/>
      <c r="L14" s="465"/>
      <c r="M14" s="465"/>
      <c r="N14" s="465"/>
      <c r="O14" s="465"/>
      <c r="P14" s="466"/>
      <c r="Q14" s="457">
        <f t="shared" si="0"/>
        <v>3457.3501187970396</v>
      </c>
    </row>
    <row r="15" spans="1:17" s="470" customFormat="1">
      <c r="A15" s="467" t="s">
        <v>567</v>
      </c>
      <c r="B15" s="468">
        <f ca="1">SUM(B4:B14)</f>
        <v>74691.616974736433</v>
      </c>
      <c r="C15" s="468">
        <f t="shared" ref="C15:Q15" ca="1" si="1">SUM(C4:C14)</f>
        <v>83334.21428571429</v>
      </c>
      <c r="D15" s="468">
        <f t="shared" ca="1" si="1"/>
        <v>115567.55565756711</v>
      </c>
      <c r="E15" s="468">
        <f t="shared" si="1"/>
        <v>12925.728359575913</v>
      </c>
      <c r="F15" s="468">
        <f t="shared" ca="1" si="1"/>
        <v>44793.61156821419</v>
      </c>
      <c r="G15" s="468">
        <f t="shared" si="1"/>
        <v>176567.80148845431</v>
      </c>
      <c r="H15" s="468">
        <f t="shared" si="1"/>
        <v>22230.874346185607</v>
      </c>
      <c r="I15" s="468">
        <f t="shared" si="1"/>
        <v>0</v>
      </c>
      <c r="J15" s="468">
        <f t="shared" si="1"/>
        <v>1840.7786491547615</v>
      </c>
      <c r="K15" s="468">
        <f t="shared" si="1"/>
        <v>0</v>
      </c>
      <c r="L15" s="468">
        <f t="shared" ca="1" si="1"/>
        <v>0</v>
      </c>
      <c r="M15" s="468">
        <f t="shared" si="1"/>
        <v>8984.31234572828</v>
      </c>
      <c r="N15" s="468">
        <f t="shared" ca="1" si="1"/>
        <v>32395.580360378426</v>
      </c>
      <c r="O15" s="468">
        <f t="shared" si="1"/>
        <v>196.98000000000002</v>
      </c>
      <c r="P15" s="468">
        <f t="shared" si="1"/>
        <v>1067.7333333333333</v>
      </c>
      <c r="Q15" s="468">
        <f t="shared" ca="1" si="1"/>
        <v>574596.78736904275</v>
      </c>
    </row>
    <row r="17" spans="1:17">
      <c r="A17" s="471" t="s">
        <v>568</v>
      </c>
      <c r="B17" s="777">
        <f ca="1">huishoudens!B10</f>
        <v>0.14365981454362384</v>
      </c>
      <c r="C17" s="777">
        <f ca="1">huishoudens!C10</f>
        <v>0.23711358076567554</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5725.2768180395433</v>
      </c>
      <c r="C22" s="458">
        <f t="shared" ref="C22:C32" ca="1" si="3">C4*$C$17</f>
        <v>0</v>
      </c>
      <c r="D22" s="458">
        <f t="shared" ref="D22:D32" si="4">D4*$D$17</f>
        <v>18500.366088347557</v>
      </c>
      <c r="E22" s="458">
        <f t="shared" ref="E22:E32" si="5">E4*$E$17</f>
        <v>2540.469706156769</v>
      </c>
      <c r="F22" s="458">
        <f t="shared" ref="F22:F32" si="6">F4*$F$17</f>
        <v>0</v>
      </c>
      <c r="G22" s="458">
        <f t="shared" ref="G22:G32" si="7">G4*$G$17</f>
        <v>0</v>
      </c>
      <c r="H22" s="458">
        <f t="shared" ref="H22:H32" si="8">H4*$H$17</f>
        <v>0</v>
      </c>
      <c r="I22" s="458">
        <f t="shared" ref="I22:I32" si="9">I4*$I$17</f>
        <v>0</v>
      </c>
      <c r="J22" s="458">
        <f t="shared" ref="J22:J32" si="10">J4*$J$17</f>
        <v>51.4102443514318</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26817.522856895299</v>
      </c>
    </row>
    <row r="23" spans="1:17">
      <c r="A23" s="457" t="s">
        <v>155</v>
      </c>
      <c r="B23" s="458">
        <f t="shared" ca="1" si="2"/>
        <v>2062.8866615000934</v>
      </c>
      <c r="C23" s="458">
        <f t="shared" ca="1" si="3"/>
        <v>0</v>
      </c>
      <c r="D23" s="458">
        <f t="shared" ca="1" si="4"/>
        <v>3417.0195444397082</v>
      </c>
      <c r="E23" s="458">
        <f t="shared" si="5"/>
        <v>43.858011926413042</v>
      </c>
      <c r="F23" s="458">
        <f t="shared" ca="1" si="6"/>
        <v>778.67184157193833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6302.4360594381542</v>
      </c>
    </row>
    <row r="24" spans="1:17">
      <c r="A24" s="457" t="s">
        <v>193</v>
      </c>
      <c r="B24" s="458">
        <f t="shared" ca="1" si="2"/>
        <v>196.38066792410109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196.38066792410109</v>
      </c>
    </row>
    <row r="25" spans="1:17">
      <c r="A25" s="457" t="s">
        <v>111</v>
      </c>
      <c r="B25" s="458">
        <f t="shared" ca="1" si="2"/>
        <v>1612.5825044208812</v>
      </c>
      <c r="C25" s="458">
        <f t="shared" ca="1" si="3"/>
        <v>19759.673949579828</v>
      </c>
      <c r="D25" s="458">
        <f t="shared" si="4"/>
        <v>0</v>
      </c>
      <c r="E25" s="458">
        <f t="shared" si="5"/>
        <v>32.10904921534172</v>
      </c>
      <c r="F25" s="458">
        <f t="shared" si="6"/>
        <v>10340.666527194529</v>
      </c>
      <c r="G25" s="458">
        <f t="shared" si="7"/>
        <v>0</v>
      </c>
      <c r="H25" s="458">
        <f t="shared" si="8"/>
        <v>0</v>
      </c>
      <c r="I25" s="458">
        <f t="shared" si="9"/>
        <v>0</v>
      </c>
      <c r="J25" s="458">
        <f t="shared" si="10"/>
        <v>597.59219165434706</v>
      </c>
      <c r="K25" s="458">
        <f t="shared" si="11"/>
        <v>0</v>
      </c>
      <c r="L25" s="458">
        <f t="shared" si="12"/>
        <v>0</v>
      </c>
      <c r="M25" s="458">
        <f t="shared" si="13"/>
        <v>0</v>
      </c>
      <c r="N25" s="458">
        <f t="shared" si="14"/>
        <v>0</v>
      </c>
      <c r="O25" s="458">
        <f t="shared" si="15"/>
        <v>0</v>
      </c>
      <c r="P25" s="459">
        <f t="shared" si="16"/>
        <v>0</v>
      </c>
      <c r="Q25" s="457">
        <f t="shared" ca="1" si="17"/>
        <v>32342.624222064926</v>
      </c>
    </row>
    <row r="26" spans="1:17">
      <c r="A26" s="457" t="s">
        <v>655</v>
      </c>
      <c r="B26" s="458">
        <f t="shared" ca="1" si="2"/>
        <v>965.39384475146437</v>
      </c>
      <c r="C26" s="458">
        <f t="shared" ca="1" si="3"/>
        <v>0</v>
      </c>
      <c r="D26" s="458">
        <f t="shared" si="4"/>
        <v>960.70049623968623</v>
      </c>
      <c r="E26" s="458">
        <f t="shared" si="5"/>
        <v>209.92564538250588</v>
      </c>
      <c r="F26" s="458">
        <f t="shared" si="6"/>
        <v>840.55591994672204</v>
      </c>
      <c r="G26" s="458">
        <f t="shared" si="7"/>
        <v>0</v>
      </c>
      <c r="H26" s="458">
        <f t="shared" si="8"/>
        <v>0</v>
      </c>
      <c r="I26" s="458">
        <f t="shared" si="9"/>
        <v>0</v>
      </c>
      <c r="J26" s="458">
        <f t="shared" si="10"/>
        <v>2.6332057950067522</v>
      </c>
      <c r="K26" s="458">
        <f t="shared" si="11"/>
        <v>0</v>
      </c>
      <c r="L26" s="458">
        <f t="shared" si="12"/>
        <v>0</v>
      </c>
      <c r="M26" s="458">
        <f t="shared" si="13"/>
        <v>0</v>
      </c>
      <c r="N26" s="458">
        <f t="shared" si="14"/>
        <v>0</v>
      </c>
      <c r="O26" s="458">
        <f t="shared" si="15"/>
        <v>0</v>
      </c>
      <c r="P26" s="459">
        <f t="shared" si="16"/>
        <v>0</v>
      </c>
      <c r="Q26" s="457">
        <f t="shared" ca="1" si="17"/>
        <v>2979.2091121153853</v>
      </c>
    </row>
    <row r="27" spans="1:17" s="463" customFormat="1">
      <c r="A27" s="461" t="s">
        <v>573</v>
      </c>
      <c r="B27" s="771">
        <f t="shared" ca="1" si="2"/>
        <v>1.0915184705377632</v>
      </c>
      <c r="C27" s="462">
        <f t="shared" ca="1" si="3"/>
        <v>0</v>
      </c>
      <c r="D27" s="462">
        <f t="shared" si="4"/>
        <v>2.3919607452414064</v>
      </c>
      <c r="E27" s="462">
        <f t="shared" si="5"/>
        <v>107.77792494270284</v>
      </c>
      <c r="F27" s="462">
        <f t="shared" si="6"/>
        <v>0</v>
      </c>
      <c r="G27" s="462">
        <f t="shared" si="7"/>
        <v>46615.538743109108</v>
      </c>
      <c r="H27" s="462">
        <f t="shared" si="8"/>
        <v>5535.4877122002163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52262.287859467804</v>
      </c>
    </row>
    <row r="28" spans="1:17">
      <c r="A28" s="457" t="s">
        <v>563</v>
      </c>
      <c r="B28" s="458">
        <f t="shared" ca="1" si="2"/>
        <v>0</v>
      </c>
      <c r="C28" s="458">
        <f t="shared" ca="1" si="3"/>
        <v>0</v>
      </c>
      <c r="D28" s="458">
        <f t="shared" si="4"/>
        <v>0</v>
      </c>
      <c r="E28" s="458">
        <f t="shared" si="5"/>
        <v>0</v>
      </c>
      <c r="F28" s="458">
        <f t="shared" si="6"/>
        <v>0</v>
      </c>
      <c r="G28" s="458">
        <f t="shared" si="7"/>
        <v>528.06425430819809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528.06425430819809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166.57182744740189</v>
      </c>
      <c r="C32" s="458">
        <f t="shared" ca="1" si="3"/>
        <v>0</v>
      </c>
      <c r="D32" s="458">
        <f t="shared" si="4"/>
        <v>464.16815305636675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630.73998050376861</v>
      </c>
    </row>
    <row r="33" spans="1:17" s="470" customFormat="1">
      <c r="A33" s="467" t="s">
        <v>567</v>
      </c>
      <c r="B33" s="468">
        <f ca="1">SUM(B22:B32)</f>
        <v>10730.183842554023</v>
      </c>
      <c r="C33" s="468">
        <f t="shared" ref="C33:Q33" ca="1" si="18">SUM(C22:C32)</f>
        <v>19759.673949579828</v>
      </c>
      <c r="D33" s="468">
        <f t="shared" ca="1" si="18"/>
        <v>23344.646242828556</v>
      </c>
      <c r="E33" s="468">
        <f t="shared" si="18"/>
        <v>2934.1403376237322</v>
      </c>
      <c r="F33" s="468">
        <f t="shared" ca="1" si="18"/>
        <v>11959.894288713191</v>
      </c>
      <c r="G33" s="468">
        <f t="shared" si="18"/>
        <v>47143.602997417307</v>
      </c>
      <c r="H33" s="468">
        <f t="shared" si="18"/>
        <v>5535.4877122002163</v>
      </c>
      <c r="I33" s="468">
        <f t="shared" si="18"/>
        <v>0</v>
      </c>
      <c r="J33" s="468">
        <f t="shared" si="18"/>
        <v>651.63564180078572</v>
      </c>
      <c r="K33" s="468">
        <f t="shared" si="18"/>
        <v>0</v>
      </c>
      <c r="L33" s="468">
        <f t="shared" ca="1" si="18"/>
        <v>0</v>
      </c>
      <c r="M33" s="468">
        <f t="shared" si="18"/>
        <v>0</v>
      </c>
      <c r="N33" s="468">
        <f t="shared" ca="1" si="18"/>
        <v>0</v>
      </c>
      <c r="O33" s="468">
        <f t="shared" si="18"/>
        <v>0</v>
      </c>
      <c r="P33" s="468">
        <f t="shared" si="18"/>
        <v>0</v>
      </c>
      <c r="Q33" s="468">
        <f t="shared" ca="1" si="18"/>
        <v>122059.26501271763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29626.488300000001</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8320.987432355505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130.94999999999999</v>
      </c>
      <c r="C8" s="1034">
        <f>'SEAP template'!C76</f>
        <v>58203.000000000007</v>
      </c>
      <c r="D8" s="1034">
        <f>'SEAP template'!D76</f>
        <v>68474.117647058825</v>
      </c>
      <c r="E8" s="1034">
        <f>'SEAP template'!E76</f>
        <v>0</v>
      </c>
      <c r="F8" s="1034">
        <f>'SEAP template'!F76</f>
        <v>0</v>
      </c>
      <c r="G8" s="1034">
        <f>'SEAP template'!G76</f>
        <v>0</v>
      </c>
      <c r="H8" s="1034">
        <f>'SEAP template'!H76</f>
        <v>0</v>
      </c>
      <c r="I8" s="1034">
        <f>'SEAP template'!I76</f>
        <v>0</v>
      </c>
      <c r="J8" s="1034">
        <f>'SEAP template'!J76</f>
        <v>154.05882352941174</v>
      </c>
      <c r="K8" s="1034">
        <f>'SEAP template'!K76</f>
        <v>0</v>
      </c>
      <c r="L8" s="1034">
        <f>'SEAP template'!L76</f>
        <v>0</v>
      </c>
      <c r="M8" s="1034">
        <f>'SEAP template'!M76</f>
        <v>0</v>
      </c>
      <c r="N8" s="1034">
        <f>'SEAP template'!N76</f>
        <v>0</v>
      </c>
      <c r="O8" s="1034">
        <f>'SEAP template'!O76</f>
        <v>0</v>
      </c>
      <c r="P8" s="1035">
        <f>'SEAP template'!Q76</f>
        <v>13831.771764705883</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38078.425732355507</v>
      </c>
      <c r="C10" s="1038">
        <f>SUM(C4:C9)</f>
        <v>58203.000000000007</v>
      </c>
      <c r="D10" s="1038">
        <f t="shared" ref="D10:H10" si="0">SUM(D8:D9)</f>
        <v>68474.117647058825</v>
      </c>
      <c r="E10" s="1038">
        <f t="shared" si="0"/>
        <v>0</v>
      </c>
      <c r="F10" s="1038">
        <f t="shared" si="0"/>
        <v>0</v>
      </c>
      <c r="G10" s="1038">
        <f t="shared" si="0"/>
        <v>0</v>
      </c>
      <c r="H10" s="1038">
        <f t="shared" si="0"/>
        <v>0</v>
      </c>
      <c r="I10" s="1038">
        <f>SUM(I8:I9)</f>
        <v>0</v>
      </c>
      <c r="J10" s="1038">
        <f>SUM(J8:J9)</f>
        <v>154.05882352941174</v>
      </c>
      <c r="K10" s="1038">
        <f t="shared" ref="K10:L10" si="1">SUM(K8:K9)</f>
        <v>0</v>
      </c>
      <c r="L10" s="1038">
        <f t="shared" si="1"/>
        <v>0</v>
      </c>
      <c r="M10" s="1038">
        <f>SUM(M8:M9)</f>
        <v>0</v>
      </c>
      <c r="N10" s="1038">
        <f>SUM(N8:N9)</f>
        <v>0</v>
      </c>
      <c r="O10" s="1038">
        <f>SUM(O8:O9)</f>
        <v>0</v>
      </c>
      <c r="P10" s="1038">
        <f>SUM(P8:P9)</f>
        <v>13831.771764705883</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0.14365981454362384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187.07142857142858</v>
      </c>
      <c r="C17" s="1040">
        <f>'SEAP template'!C87</f>
        <v>83147.142857142855</v>
      </c>
      <c r="D17" s="1035">
        <f>'SEAP template'!D87</f>
        <v>97820.16806722687</v>
      </c>
      <c r="E17" s="1035">
        <f>'SEAP template'!E87</f>
        <v>0</v>
      </c>
      <c r="F17" s="1035">
        <f>'SEAP template'!F87</f>
        <v>0</v>
      </c>
      <c r="G17" s="1035">
        <f>'SEAP template'!G87</f>
        <v>0</v>
      </c>
      <c r="H17" s="1035">
        <f>'SEAP template'!H87</f>
        <v>0</v>
      </c>
      <c r="I17" s="1035">
        <f>'SEAP template'!I87</f>
        <v>0</v>
      </c>
      <c r="J17" s="1035">
        <f>'SEAP template'!J87</f>
        <v>220.08403361344531</v>
      </c>
      <c r="K17" s="1035">
        <f>'SEAP template'!K87</f>
        <v>0</v>
      </c>
      <c r="L17" s="1035">
        <f>'SEAP template'!L87</f>
        <v>0</v>
      </c>
      <c r="M17" s="1035">
        <f>'SEAP template'!M87</f>
        <v>0</v>
      </c>
      <c r="N17" s="1035">
        <f>'SEAP template'!N87</f>
        <v>0</v>
      </c>
      <c r="O17" s="1035">
        <f>'SEAP template'!O87</f>
        <v>0</v>
      </c>
      <c r="P17" s="1035">
        <f>'SEAP template'!Q87</f>
        <v>19759.673949579828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187.07142857142858</v>
      </c>
      <c r="C20" s="1038">
        <f>SUM(C17:C19)</f>
        <v>83147.142857142855</v>
      </c>
      <c r="D20" s="1038">
        <f t="shared" ref="D20:H20" si="2">SUM(D17:D19)</f>
        <v>97820.16806722687</v>
      </c>
      <c r="E20" s="1038">
        <f t="shared" si="2"/>
        <v>0</v>
      </c>
      <c r="F20" s="1038">
        <f t="shared" si="2"/>
        <v>0</v>
      </c>
      <c r="G20" s="1038">
        <f t="shared" si="2"/>
        <v>0</v>
      </c>
      <c r="H20" s="1038">
        <f t="shared" si="2"/>
        <v>0</v>
      </c>
      <c r="I20" s="1038">
        <f>SUM(I17:I19)</f>
        <v>0</v>
      </c>
      <c r="J20" s="1038">
        <f>SUM(J17:J19)</f>
        <v>220.08403361344531</v>
      </c>
      <c r="K20" s="1038">
        <f t="shared" ref="K20:L20" si="3">SUM(K17:K19)</f>
        <v>0</v>
      </c>
      <c r="L20" s="1038">
        <f t="shared" si="3"/>
        <v>0</v>
      </c>
      <c r="M20" s="1038">
        <f>SUM(M17:M19)</f>
        <v>0</v>
      </c>
      <c r="N20" s="1038">
        <f>SUM(N17:N19)</f>
        <v>0</v>
      </c>
      <c r="O20" s="1038">
        <f>SUM(O17:O19)</f>
        <v>0</v>
      </c>
      <c r="P20" s="1038">
        <f>SUM(P17:P19)</f>
        <v>19759.673949579828</v>
      </c>
    </row>
    <row r="22" spans="1:16">
      <c r="A22" s="471" t="s">
        <v>879</v>
      </c>
      <c r="B22" s="777" t="s">
        <v>873</v>
      </c>
      <c r="C22" s="777">
        <f ca="1">'EF ele_warmte'!B22</f>
        <v>0.23711358076567554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0.14365981454362384</v>
      </c>
      <c r="C17" s="508">
        <f ca="1">'EF ele_warmte'!B22</f>
        <v>0.23711358076567554</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2020-06-20T16:14:00Z</dcterms:modified>
</cp:coreProperties>
</file>