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U38" i="18"/>
  <c r="T38" i="18"/>
  <c r="I9" i="18" s="1"/>
  <c r="S38" i="18"/>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B8" i="18" s="1"/>
  <c r="M31" i="18"/>
  <c r="G22" i="18"/>
  <c r="F22" i="18"/>
  <c r="E22" i="18"/>
  <c r="D22" i="18"/>
  <c r="C22" i="18"/>
  <c r="L20" i="18"/>
  <c r="D20" i="18"/>
  <c r="B17" i="18"/>
  <c r="G12" i="18"/>
  <c r="F12" i="18"/>
  <c r="E12" i="18"/>
  <c r="D12" i="18"/>
  <c r="C12" i="18"/>
  <c r="L10" i="18"/>
  <c r="K10" i="18"/>
  <c r="G10" i="18"/>
  <c r="D10" i="18"/>
  <c r="B6" i="18"/>
  <c r="B5" i="18"/>
  <c r="B4" i="18"/>
  <c r="I51" i="18" l="1"/>
  <c r="H17" i="18" s="1"/>
  <c r="G51" i="18"/>
  <c r="F51" i="18"/>
  <c r="C51" i="18"/>
  <c r="B51" i="18"/>
  <c r="C17" i="18" s="1"/>
  <c r="B20" i="18"/>
  <c r="C47" i="18"/>
  <c r="E50" i="18" s="1"/>
  <c r="E8" i="18" s="1"/>
  <c r="E10" i="18" s="1"/>
  <c r="F20" i="18"/>
  <c r="O18" i="18"/>
  <c r="H20" i="18"/>
  <c r="G20" i="18"/>
  <c r="K20" i="18"/>
  <c r="B10" i="18"/>
  <c r="O19" i="18"/>
  <c r="O9" i="18"/>
  <c r="C20" i="18"/>
  <c r="D51" i="18"/>
  <c r="H51" i="18"/>
  <c r="E51" i="18"/>
  <c r="E17" i="18" s="1"/>
  <c r="E20" i="18" s="1"/>
  <c r="N6" i="17"/>
  <c r="I50" i="18" l="1"/>
  <c r="H8" i="18" s="1"/>
  <c r="H10" i="18" s="1"/>
  <c r="G50" i="18"/>
  <c r="F50" i="18"/>
  <c r="D50" i="18"/>
  <c r="C50" i="18"/>
  <c r="B50" i="18"/>
  <c r="C8" i="18" s="1"/>
  <c r="C10" i="18" s="1"/>
  <c r="H50"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B7" i="48"/>
  <c r="C24" i="14"/>
  <c r="C26" i="14" s="1"/>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N20" i="14" s="1"/>
  <c r="M10" i="48"/>
  <c r="M28" i="48" s="1"/>
  <c r="N19" i="14"/>
  <c r="G10" i="48"/>
  <c r="H19" i="14"/>
  <c r="Q13" i="48"/>
  <c r="G31" i="48"/>
  <c r="G9" i="48"/>
  <c r="H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Q5" i="48" s="1"/>
  <c r="N52" i="14"/>
  <c r="N61" i="14" s="1"/>
  <c r="H22" i="14"/>
  <c r="H27" i="14" s="1"/>
  <c r="E22" i="48"/>
  <c r="Q4" i="48"/>
  <c r="R11" i="14"/>
  <c r="J22" i="48"/>
  <c r="N22" i="14"/>
  <c r="N27" i="14" s="1"/>
  <c r="E61" i="14"/>
  <c r="R19" i="14"/>
  <c r="Q10" i="48"/>
  <c r="G28" i="48"/>
  <c r="H9" i="48"/>
  <c r="I20" i="14"/>
  <c r="M27" i="48"/>
  <c r="M33" i="48" s="1"/>
  <c r="M15" i="48"/>
  <c r="G15" i="48"/>
  <c r="G27" i="48"/>
  <c r="M61" i="14"/>
  <c r="M27" i="14"/>
  <c r="E16" i="14"/>
  <c r="E27" i="14" s="1"/>
  <c r="E63"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22" i="16" l="1"/>
  <c r="K43" i="14" s="1"/>
  <c r="K46" i="14" s="1"/>
  <c r="K61" i="14" s="1"/>
  <c r="K13" i="14"/>
  <c r="K16" i="14" s="1"/>
  <c r="K27" i="14" s="1"/>
  <c r="J8" i="48"/>
  <c r="J26" i="48" s="1"/>
  <c r="N63" i="14"/>
  <c r="J33" i="48"/>
  <c r="F13" i="14"/>
  <c r="F16" i="14" s="1"/>
  <c r="F27" i="14" s="1"/>
  <c r="E8" i="48"/>
  <c r="E26" i="48" s="1"/>
  <c r="E23" i="48"/>
  <c r="E33" i="48" s="1"/>
  <c r="E15" i="48"/>
  <c r="E22" i="16"/>
  <c r="F43" i="14" s="1"/>
  <c r="F46" i="14" s="1"/>
  <c r="F61" i="14" s="1"/>
  <c r="H63" i="14"/>
  <c r="J15"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<sst xmlns="http://schemas.openxmlformats.org/spreadsheetml/2006/main" count="2474" uniqueCount="933">
  <si>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</si>
  <si>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</si>
  <si>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</si>
  <si>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</si>
  <si>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</si>
  <si>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</si>
  <si>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</si>
  <si>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</si>
  <si>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</si>
  <si>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</si>
  <si>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</si>
  <si>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</si>
  <si>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</si>
  <si>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</si>
  <si>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</si>
  <si>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</si>
  <si>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</si>
  <si>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</si>
  <si>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</si>
  <si>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</si>
  <si>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</si>
  <si>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</si>
  <si>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</si>
  <si>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</si>
  <si>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</si>
  <si>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</si>
  <si>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</si>
  <si>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</si>
  <si>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</si>
  <si>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</si>
  <si>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</si>
  <si>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</si>
  <si>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</si>
  <si>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</si>
  <si>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</si>
  <si>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</si>
  <si>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</si>
  <si>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</si>
  <si>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</si>
  <si>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</si>
  <si>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</si>
  <si>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</si>
  <si>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</si>
  <si>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</si>
  <si>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</si>
  <si>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</si>
  <si>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</si>
  <si>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</si>
  <si>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</si>
  <si>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</si>
  <si>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</si>
  <si>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</si>
  <si>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</si>
  <si>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</si>
  <si>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</si>
  <si>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</si>
  <si>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</si>
  <si>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</si>
  <si>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</si>
  <si>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</si>
  <si>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</si>
  <si>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</si>
  <si>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</si>
  <si>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</si>
  <si>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</si>
  <si>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</si>
  <si>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</si>
  <si>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</si>
  <si>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</si>
  <si>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</si>
  <si>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</si>
  <si>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</si>
  <si>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</si>
  <si>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</si>
  <si>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</si>
  <si>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</si>
  <si>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</si>
  <si>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</si>
  <si>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</si>
  <si>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</si>
  <si>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</si>
  <si>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</si>
  <si>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</si>
  <si>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</si>
  <si>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</si>
  <si>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</si>
  <si>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</si>
  <si>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</si>
  <si>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</si>
  <si>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</si>
  <si>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</si>
  <si>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</si>
  <si>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</si>
  <si>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</si>
  <si>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</si>
  <si>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</si>
  <si>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</si>
  <si>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</si>
  <si>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</si>
  <si>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</si>
  <si>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</si>
  <si>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</si>
  <si>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</si>
  <si>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</si>
  <si>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</si>
  <si>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</si>
  <si>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</si>
  <si>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</si>
  <si>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</si>
  <si>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</si>
  <si>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</si>
  <si>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</si>
  <si>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</si>
  <si>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</si>
  <si>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</si>
  <si>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</si>
  <si>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</si>
  <si>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</si>
  <si>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</si>
  <si>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</si>
  <si>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</si>
  <si>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</si>
  <si>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</si>
  <si>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</si>
  <si>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</si>
  <si>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</si>
  <si>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</si>
  <si>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</si>
  <si>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</si>
  <si>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</si>
  <si>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</si>
  <si>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</si>
  <si>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</si>
  <si>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</si>
  <si>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</si>
  <si>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</si>
  <si>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</si>
  <si>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</si>
  <si>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</si>
  <si>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</si>
  <si>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</si>
  <si>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</si>
  <si>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</si>
  <si>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</si>
  <si>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</si>
  <si>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</si>
  <si>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</si>
  <si>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</si>
  <si>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</si>
  <si>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</si>
  <si>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</si>
  <si>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</si>
  <si>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</si>
  <si>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</si>
  <si>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</si>
  <si>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</si>
  <si>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</si>
  <si>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</si>
  <si>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</si>
  <si>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</si>
  <si>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</si>
  <si>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</si>
  <si>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</si>
  <si>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</si>
  <si>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</si>
  <si>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</si>
  <si>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</si>
  <si>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</si>
  <si>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</si>
  <si>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</si>
  <si>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</si>
  <si>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</si>
  <si>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</si>
  <si>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</si>
  <si>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</si>
  <si>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</si>
  <si>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</si>
  <si>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</si>
  <si>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</si>
  <si>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</si>
  <si>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</si>
  <si>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</si>
  <si>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</si>
  <si>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</si>
  <si>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</si>
  <si>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</si>
  <si>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</si>
  <si>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</si>
  <si>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</si>
  <si>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</si>
  <si>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</si>
  <si>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</si>
  <si>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</si>
  <si>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</si>
  <si>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</si>
  <si>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</si>
  <si>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</si>
  <si>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</si>
  <si>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</si>
  <si>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</si>
  <si>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</si>
  <si>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</si>
  <si>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</si>
  <si>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</si>
  <si>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</si>
  <si>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</si>
  <si>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</si>
  <si>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</si>
  <si>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</si>
  <si>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</si>
  <si>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</si>
  <si>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</si>
  <si>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</si>
  <si>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</si>
  <si>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</si>
  <si>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</si>
  <si>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</si>
  <si>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</si>
  <si>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</si>
  <si>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</si>
  <si>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</si>
  <si>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</si>
  <si>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</si>
  <si>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</si>
  <si>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</si>
  <si>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</si>
  <si>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</si>
  <si>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</si>
  <si>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</si>
  <si>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</si>
  <si>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</si>
  <si>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</si>
  <si>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</si>
  <si>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</si>
  <si>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</si>
  <si>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</si>
  <si>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</si>
  <si>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</si>
  <si>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</si>
  <si>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</si>
  <si>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</si>
  <si>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</si>
  <si>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</si>
  <si>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</si>
  <si>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</si>
  <si>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</si>
  <si>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</si>
  <si>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</si>
  <si>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</si>
  <si>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</si>
  <si>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</si>
  <si>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</si>
  <si>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</si>
  <si>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</si>
  <si>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</si>
  <si>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</si>
  <si>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</si>
  <si>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</si>
  <si>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</si>
  <si>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</si>
  <si>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</si>
  <si>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</si>
  <si>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</si>
  <si>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</si>
  <si>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</si>
  <si>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</si>
  <si>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</si>
  <si>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</si>
  <si>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</si>
  <si>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</si>
  <si>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</si>
  <si>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</si>
  <si>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</si>
  <si>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</si>
  <si>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</si>
  <si>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</si>
  <si>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</si>
  <si>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</si>
  <si>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</si>
  <si>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</si>
  <si>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</si>
  <si>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</si>
  <si>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</si>
  <si>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</si>
  <si>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</si>
  <si>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</si>
  <si>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</si>
  <si>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</si>
  <si>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</si>
  <si>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</si>
  <si>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</si>
  <si>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</si>
  <si>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</si>
  <si>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</si>
  <si>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</si>
  <si>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</si>
  <si>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</si>
  <si>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</si>
  <si>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</si>
  <si>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</si>
  <si>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</si>
  <si>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</si>
  <si>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</si>
  <si>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</si>
  <si>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</si>
  <si>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</si>
  <si>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</si>
  <si>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</si>
  <si>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</si>
  <si>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</si>
  <si>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</si>
  <si>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</si>
  <si>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</si>
  <si>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</si>
  <si>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</si>
  <si>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</si>
  <si>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</si>
  <si>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</si>
  <si>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</si>
  <si>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</si>
  <si>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</si>
  <si>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</si>
  <si>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</si>
  <si>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</si>
  <si>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</si>
  <si>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</si>
  <si>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</si>
  <si>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</si>
  <si>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</si>
  <si>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</si>
  <si>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</si>
  <si>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</si>
  <si>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</si>
  <si>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</si>
  <si>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</si>
  <si>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</si>
  <si>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</si>
  <si>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</si>
  <si>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</si>
  <si>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</si>
  <si>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</si>
  <si>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</si>
  <si>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</si>
  <si>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</si>
  <si>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</si>
  <si>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</si>
  <si>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</si>
  <si>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</si>
  <si>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</si>
  <si>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</si>
  <si>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</si>
  <si>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</si>
  <si>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</si>
  <si>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</si>
  <si>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</si>
  <si>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</si>
  <si>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</si>
  <si>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</si>
  <si>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</si>
  <si>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</si>
  <si>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</si>
  <si>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</si>
  <si>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</si>
  <si>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</si>
  <si>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</si>
  <si>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</si>
  <si>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</si>
  <si>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</si>
  <si>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</si>
  <si>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</si>
  <si>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</si>
  <si>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</si>
  <si>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</si>
  <si>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</si>
  <si>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</si>
  <si>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</si>
  <si>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</si>
  <si>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</si>
  <si>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</si>
  <si>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</si>
  <si>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</si>
  <si>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</si>
  <si>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</si>
  <si>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</si>
  <si>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</si>
  <si>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</si>
  <si>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</si>
  <si>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</si>
  <si>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</si>
  <si>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</si>
  <si>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</si>
  <si>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</si>
  <si>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</si>
  <si>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</si>
  <si>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</si>
  <si>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</si>
  <si>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</si>
  <si>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</si>
  <si>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</si>
  <si>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</si>
  <si>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</si>
  <si>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</si>
  <si>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</si>
  <si>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</si>
  <si>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</si>
  <si>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</si>
  <si>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</si>
  <si>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</si>
  <si>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</si>
  <si>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</si>
  <si>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</si>
  <si>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</si>
  <si>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</si>
  <si>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</si>
  <si>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</si>
  <si>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</si>
  <si>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</si>
  <si>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</si>
  <si>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</si>
  <si>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</si>
  <si>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</si>
  <si>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</si>
  <si>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</si>
  <si>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</si>
  <si>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</si>
  <si>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</si>
  <si>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</si>
  <si>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</si>
  <si>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</si>
  <si>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</si>
  <si>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</si>
  <si>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</si>
  <si>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</si>
  <si>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</si>
  <si>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</si>
  <si>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</si>
  <si>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</si>
  <si>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</si>
  <si>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</si>
  <si>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</si>
  <si>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</si>
  <si>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</si>
  <si>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</si>
  <si>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</si>
  <si>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</si>
  <si>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</si>
  <si>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</si>
  <si>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</si>
  <si>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</si>
  <si>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</si>
  <si>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</si>
  <si>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</si>
  <si>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</si>
  <si>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</si>
  <si>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</si>
  <si>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</si>
  <si>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</si>
  <si>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</si>
  <si>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</si>
  <si>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</si>
  <si>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</si>
  <si>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</si>
  <si>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</si>
  <si>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</si>
  <si>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</si>
  <si>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</si>
  <si>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</si>
  <si>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</si>
  <si>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</si>
  <si>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</si>
  <si>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</si>
  <si>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</si>
  <si>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</si>
  <si>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</si>
  <si>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</si>
  <si>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</si>
  <si>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</si>
  <si>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</si>
  <si>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</si>
  <si>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</si>
  <si>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</si>
  <si>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</si>
  <si>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</si>
  <si>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</si>
  <si>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</si>
  <si>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</si>
  <si>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</si>
  <si>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</si>
  <si>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</si>
  <si>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</si>
  <si>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</si>
  <si>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</si>
  <si>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</si>
  <si>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</si>
  <si>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</si>
  <si>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</si>
  <si>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</si>
  <si>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</si>
  <si>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</si>
  <si>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</si>
  <si>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</si>
  <si>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</si>
  <si>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</si>
  <si>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</si>
  <si>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</si>
  <si>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</si>
  <si>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</si>
  <si>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</si>
  <si>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</si>
  <si>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</si>
  <si>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</si>
  <si>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</si>
  <si>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</si>
  <si>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</si>
  <si>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</si>
  <si>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</si>
  <si>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</si>
  <si>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</si>
  <si>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</si>
  <si>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</si>
  <si>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</si>
  <si>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</si>
  <si>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</si>
  <si>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</si>
  <si>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</si>
  <si>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</si>
  <si>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</si>
  <si>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</si>
  <si>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</si>
  <si>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</si>
  <si>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</si>
  <si>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</si>
  <si>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</si>
  <si>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</si>
  <si>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</si>
  <si>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</si>
  <si>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</si>
  <si>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</si>
  <si>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</si>
  <si>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</si>
  <si>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</si>
  <si>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</si>
  <si>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</si>
  <si>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</si>
  <si>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</si>
  <si>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</si>
  <si>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</si>
  <si>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</si>
  <si>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</si>
  <si>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</si>
  <si>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</si>
  <si>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</si>
  <si>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</si>
  <si>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</si>
  <si>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</si>
  <si>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</si>
  <si>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</si>
  <si>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</si>
  <si>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</si>
  <si>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</si>
  <si>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</si>
  <si>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</si>
  <si>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</si>
  <si>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</si>
  <si>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</si>
  <si>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</si>
  <si>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</si>
  <si>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</si>
  <si>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</si>
  <si>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</si>
  <si>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</si>
  <si>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</si>
  <si>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</si>
  <si>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</si>
  <si>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</si>
  <si>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</si>
  <si>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</si>
  <si>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</si>
  <si>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</si>
  <si>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</si>
  <si>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</si>
  <si>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</si>
  <si>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</si>
  <si>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</si>
  <si>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</si>
  <si>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</si>
  <si>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</si>
  <si>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</si>
  <si>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</si>
  <si>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</si>
  <si>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</si>
  <si>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</si>
  <si>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</si>
  <si>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</si>
  <si>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</si>
  <si>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</si>
  <si>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</si>
  <si>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</si>
  <si>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</si>
  <si>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</si>
  <si>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</si>
  <si>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</si>
  <si>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</si>
  <si>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</si>
  <si>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</si>
  <si>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</si>
  <si>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</si>
  <si>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</si>
  <si>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</si>
  <si>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</si>
  <si>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</si>
  <si>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</si>
  <si>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</si>
  <si>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</si>
  <si>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</si>
  <si>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</si>
  <si>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</si>
  <si>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</si>
  <si>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</si>
  <si>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</si>
  <si>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</si>
  <si>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</si>
  <si>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</si>
  <si>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</si>
  <si>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</si>
  <si>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</si>
  <si>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</si>
  <si>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</si>
  <si>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</si>
  <si>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</si>
  <si>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</si>
  <si>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</si>
  <si>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</si>
  <si>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</si>
  <si>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</si>
  <si>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</si>
  <si>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</si>
  <si>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</si>
  <si>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</si>
  <si>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</si>
  <si>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</si>
  <si>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</si>
  <si>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</si>
  <si>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</si>
  <si>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</si>
  <si>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</si>
  <si>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</si>
  <si>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</si>
  <si>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</si>
  <si>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</si>
  <si>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</si>
  <si>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</si>
  <si>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</si>
  <si>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</si>
  <si>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</si>
  <si>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</si>
  <si>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</si>
  <si>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</si>
  <si>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</si>
  <si>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</si>
  <si>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</si>
  <si>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</si>
  <si>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</si>
  <si>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</si>
  <si>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</si>
  <si>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</si>
  <si>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</si>
  <si>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</si>
  <si>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</si>
  <si>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</si>
  <si>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</si>
  <si>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</si>
  <si>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</si>
  <si>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</si>
  <si>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</si>
  <si>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</si>
  <si>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</si>
  <si>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</si>
  <si>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</si>
  <si>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</si>
  <si>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</si>
  <si>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</si>
  <si>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</si>
  <si>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</si>
  <si>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</si>
  <si>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</si>
  <si>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</si>
  <si>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</si>
  <si>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</si>
  <si>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</si>
  <si>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</si>
  <si>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</si>
  <si>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</si>
  <si>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</si>
  <si>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</si>
  <si>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</si>
  <si>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</si>
  <si>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</si>
  <si>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</si>
  <si>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</si>
  <si>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</si>
  <si>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</si>
  <si>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</si>
  <si>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</si>
  <si>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</si>
  <si>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</si>
  <si>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</si>
  <si>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</si>
  <si>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</si>
  <si>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</si>
  <si>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</si>
  <si>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</si>
  <si>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</si>
  <si>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</si>
  <si>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</si>
  <si>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</si>
  <si>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</si>
  <si>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</si>
  <si>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</si>
  <si>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</si>
  <si>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</si>
  <si>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</si>
  <si>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</si>
  <si>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</si>
  <si>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</si>
  <si>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</si>
  <si>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</si>
  <si>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</si>
  <si>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</si>
  <si>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</si>
  <si>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</si>
  <si>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</si>
  <si>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</si>
  <si>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</si>
  <si>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</si>
  <si>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</si>
  <si>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</si>
  <si>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</si>
  <si>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</si>
  <si>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</si>
  <si>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</si>
  <si>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</si>
  <si>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</si>
  <si>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</si>
  <si>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</si>
  <si>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</si>
  <si>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</si>
  <si>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</si>
  <si>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</si>
  <si>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</si>
  <si>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</si>
  <si>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</si>
  <si>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</si>
  <si>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</si>
  <si>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</si>
  <si>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</si>
  <si>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</si>
  <si>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</si>
  <si>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</si>
  <si>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</si>
  <si>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</si>
  <si>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</si>
  <si>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</si>
  <si>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</si>
  <si>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</si>
  <si>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</si>
  <si>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</si>
  <si>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</si>
  <si>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</si>
  <si>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</si>
  <si>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</si>
  <si>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</si>
  <si>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</si>
  <si>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</si>
  <si>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</si>
  <si>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</si>
  <si>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</si>
  <si>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</si>
  <si>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</si>
  <si>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</si>
  <si>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</si>
  <si>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</si>
  <si>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</si>
  <si>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</si>
  <si>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</si>
  <si>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</si>
  <si>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</si>
  <si>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</si>
  <si>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</si>
  <si>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</si>
  <si>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</si>
  <si>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</si>
  <si>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</si>
  <si>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</si>
  <si>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</si>
  <si>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</si>
  <si>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</si>
  <si>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</si>
  <si>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</si>
  <si>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</si>
  <si>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</si>
  <si>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</si>
  <si>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</si>
  <si>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</si>
  <si>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</si>
  <si>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</si>
  <si>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</si>
  <si>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</si>
  <si>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</si>
  <si>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</si>
  <si>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</si>
  <si>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</si>
  <si>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</si>
  <si>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</si>
  <si>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</si>
  <si>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</si>
  <si>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</si>
  <si>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</si>
  <si>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</si>
  <si>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</si>
  <si>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</si>
  <si>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</si>
  <si>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</si>
  <si>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</si>
  <si>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</si>
  <si>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</si>
  <si>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</si>
  <si>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</si>
  <si>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</si>
  <si>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</si>
  <si>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</si>
  <si>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</si>
  <si>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</si>
  <si>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</si>
  <si>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</si>
  <si>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</si>
  <si>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</si>
  <si>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</si>
  <si>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</si>
  <si>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</si>
  <si>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</si>
  <si>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</si>
  <si>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</si>
  <si>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</si>
  <si>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</si>
  <si>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</si>
  <si>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</si>
  <si>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</si>
  <si>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</si>
  <si>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</si>
  <si>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</si>
  <si>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</si>
  <si>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</si>
  <si>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</si>
  <si>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</si>
  <si>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</si>
  <si>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</si>
  <si>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</si>
  <si>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</si>
  <si>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</si>
  <si>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</si>
  <si>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</si>
  <si>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</si>
  <si>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</si>
  <si>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</si>
  <si>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</si>
  <si>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</si>
  <si>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</si>
  <si>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</si>
  <si>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</si>
  <si>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</si>
  <si>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</si>
  <si>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</si>
  <si>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</si>
  <si>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</si>
  <si>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</si>
  <si>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</si>
  <si>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</si>
  <si>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</si>
  <si>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</si>
  <si>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</si>
  <si>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</si>
  <si>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</si>
  <si>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</si>
  <si>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</si>
  <si>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</si>
  <si>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</si>
  <si>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</si>
  <si>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</si>
  <si>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</si>
  <si>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</si>
  <si>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</si>
  <si>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</si>
  <si>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</si>
  <si>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</si>
  <si>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</si>
  <si>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</si>
  <si>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</si>
  <si>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</si>
  <si>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</si>
  <si>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</si>
  <si>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</si>
  <si>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</si>
  <si>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</si>
  <si>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</si>
  <si>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</si>
  <si>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</si>
  <si>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</si>
  <si>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</si>
  <si>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</si>
  <si>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</si>
  <si>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</si>
  <si>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</si>
  <si>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11052</t>
  </si>
  <si>
    <t>WOMMELGEM</t>
  </si>
  <si>
    <t>Cultuurgrond (ha)</t>
  </si>
  <si>
    <t>Paarden&amp;pony's 200 - 600 kg</t>
  </si>
  <si>
    <t>Paarden&amp;pony's &lt; 200 kg</t>
  </si>
  <si>
    <t>Fluvius</t>
  </si>
  <si>
    <t>referentietaak LNE (2017); Jaarverslag De Lijn</t>
  </si>
  <si>
    <t>Albrecht C.V.</t>
  </si>
  <si>
    <t>Heyaardstraat 5, 2160 Wommelgem</t>
  </si>
  <si>
    <t>WKK-0143 Albrecht C.V.</t>
  </si>
  <si>
    <t>interne verbrandingsmotor</t>
  </si>
  <si>
    <t>WKK interne verbrandinsgmotor (gas)</t>
  </si>
  <si>
    <t>eilandwerking</t>
  </si>
  <si>
    <t>Pieting Power BVBA</t>
  </si>
  <si>
    <t>Pietingbaan 105, 2160 Wommelgem</t>
  </si>
  <si>
    <t>WKK-0133 Groeikracht Wommelgem</t>
  </si>
  <si>
    <t>IVEKA</t>
  </si>
  <si>
    <t>Dirk Mermans</t>
  </si>
  <si>
    <t>Vremdesteenweg 120 , 2160 Wommelgem</t>
  </si>
  <si>
    <t>WKK-0286 Dirk Mermans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</si>
</sst>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102541.98529763932</c:v>
                </c:pt>
                <c:pt idx="1">
                  <c:v>77820.087612932417</c:v>
                </c:pt>
                <c:pt idx="2">
                  <c:v>881.79</c:v>
                </c:pt>
                <c:pt idx="3">
                  <c:v>12493.44019721443</c:v>
                </c:pt>
                <c:pt idx="4">
                  <c:v>132043.38561911826</c:v>
                </c:pt>
                <c:pt idx="5">
                  <c:v>249202.98958180434</c:v>
                </c:pt>
                <c:pt idx="6">
                  <c:v>2451.3159623078327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102541.98529763932</c:v>
                </c:pt>
                <c:pt idx="1">
                  <c:v>77820.087612932417</c:v>
                </c:pt>
                <c:pt idx="2">
                  <c:v>881.79</c:v>
                </c:pt>
                <c:pt idx="3">
                  <c:v>12493.44019721443</c:v>
                </c:pt>
                <c:pt idx="4">
                  <c:v>132043.38561911826</c:v>
                </c:pt>
                <c:pt idx="5">
                  <c:v>249202.98958180434</c:v>
                </c:pt>
                <c:pt idx="6">
                  <c:v>2451.3159623078327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19442.700010206525</c:v>
                </c:pt>
                <c:pt idx="2">
                  <c:v>16026.668005899686</c:v>
                </c:pt>
                <c:pt idx="3">
                  <c:v>189.51307969125241</c:v>
                </c:pt>
                <c:pt idx="4">
                  <c:v>3018.1361916373462</c:v>
                </c:pt>
                <c:pt idx="5">
                  <c:v>28954.350530146636</c:v>
                </c:pt>
                <c:pt idx="6">
                  <c:v>63166.353951079189</c:v>
                </c:pt>
                <c:pt idx="7">
                  <c:v>626.61041401833722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19442.700010206525</c:v>
                </c:pt>
                <c:pt idx="2">
                  <c:v>16026.668005899686</c:v>
                </c:pt>
                <c:pt idx="3">
                  <c:v>189.51307969125241</c:v>
                </c:pt>
                <c:pt idx="4">
                  <c:v>3018.1361916373462</c:v>
                </c:pt>
                <c:pt idx="5">
                  <c:v>28954.350530146636</c:v>
                </c:pt>
                <c:pt idx="6">
                  <c:v>63166.353951079189</c:v>
                </c:pt>
                <c:pt idx="7">
                  <c:v>626.61041401833722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11052</v>
      </c>
      <c r="B6" s="395"/>
      <c r="C6" s="396"/>
    </row>
    <row r="7" spans="1:7" s="393" customFormat="1" ht="15.75" customHeight="1">
      <c r="A7" s="397" t="str">
        <f>txtMunicipality</f>
        <v>WOMMELGEM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0.21491860838890486</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0.21491860838890486</v>
      </c>
      <c r="C29" s="509">
        <f ca="1">'EF ele_warmte'!B22</f>
        <v>0.23764705882352946</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5053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324</v>
      </c>
      <c r="C14" s="332"/>
      <c r="D14" s="332"/>
      <c r="E14" s="332"/>
      <c r="F14" s="332"/>
    </row>
    <row r="15" spans="1:6">
      <c r="A15" s="1306" t="s">
        <v>183</v>
      </c>
      <c r="B15" s="1307">
        <v>0</v>
      </c>
      <c r="C15" s="332"/>
      <c r="D15" s="332"/>
      <c r="E15" s="332"/>
      <c r="F15" s="332"/>
    </row>
    <row r="16" spans="1:6">
      <c r="A16" s="1306" t="s">
        <v>6</v>
      </c>
      <c r="B16" s="1307">
        <v>0</v>
      </c>
      <c r="C16" s="332"/>
      <c r="D16" s="332"/>
      <c r="E16" s="332"/>
      <c r="F16" s="332"/>
    </row>
    <row r="17" spans="1:6">
      <c r="A17" s="1306" t="s">
        <v>7</v>
      </c>
      <c r="B17" s="1307">
        <v>18</v>
      </c>
      <c r="C17" s="332"/>
      <c r="D17" s="332"/>
      <c r="E17" s="332"/>
      <c r="F17" s="332"/>
    </row>
    <row r="18" spans="1:6">
      <c r="A18" s="1306" t="s">
        <v>8</v>
      </c>
      <c r="B18" s="1307">
        <v>14</v>
      </c>
      <c r="C18" s="332"/>
      <c r="D18" s="332"/>
      <c r="E18" s="332"/>
      <c r="F18" s="332"/>
    </row>
    <row r="19" spans="1:6">
      <c r="A19" s="1306" t="s">
        <v>9</v>
      </c>
      <c r="B19" s="1307">
        <v>13</v>
      </c>
      <c r="C19" s="332"/>
      <c r="D19" s="332"/>
      <c r="E19" s="332"/>
      <c r="F19" s="332"/>
    </row>
    <row r="20" spans="1:6">
      <c r="A20" s="1306" t="s">
        <v>10</v>
      </c>
      <c r="B20" s="1307">
        <v>33</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5556</v>
      </c>
      <c r="C28" s="338"/>
      <c r="D28" s="338"/>
      <c r="E28" s="338"/>
      <c r="F28" s="338"/>
    </row>
    <row r="29" spans="1:6">
      <c r="A29" s="1308" t="s">
        <v>916</v>
      </c>
      <c r="B29" s="1309">
        <v>33</v>
      </c>
      <c r="C29" s="338"/>
      <c r="D29" s="338"/>
      <c r="E29" s="338"/>
      <c r="F29" s="338"/>
    </row>
    <row r="30" spans="1:6">
      <c r="A30" s="1301" t="s">
        <v>917</v>
      </c>
      <c r="B30" s="1310">
        <v>20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14233.613636111801</v>
      </c>
      <c r="E38" s="1307">
        <v>3</v>
      </c>
      <c r="F38" s="1307">
        <v>57925</v>
      </c>
    </row>
    <row r="39" spans="1:6">
      <c r="A39" s="1306" t="s">
        <v>29</v>
      </c>
      <c r="B39" s="1306" t="s">
        <v>30</v>
      </c>
      <c r="C39" s="1307">
        <v>4086</v>
      </c>
      <c r="D39" s="1307">
        <v>78299948.782259896</v>
      </c>
      <c r="E39" s="1307">
        <v>5126</v>
      </c>
      <c r="F39" s="1307">
        <v>20494013.608148601</v>
      </c>
    </row>
    <row r="40" spans="1:6">
      <c r="A40" s="1306" t="s">
        <v>29</v>
      </c>
      <c r="B40" s="1306" t="s">
        <v>28</v>
      </c>
      <c r="C40" s="1307">
        <v>0</v>
      </c>
      <c r="D40" s="1307">
        <v>0</v>
      </c>
      <c r="E40" s="1307">
        <v>0</v>
      </c>
      <c r="F40" s="1307">
        <v>0</v>
      </c>
    </row>
    <row r="41" spans="1:6">
      <c r="A41" s="1306" t="s">
        <v>31</v>
      </c>
      <c r="B41" s="1306" t="s">
        <v>32</v>
      </c>
      <c r="C41" s="1307">
        <v>51</v>
      </c>
      <c r="D41" s="1307">
        <v>1765984.2486634799</v>
      </c>
      <c r="E41" s="1307">
        <v>122</v>
      </c>
      <c r="F41" s="1307">
        <v>1306854.9178686</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14</v>
      </c>
      <c r="D44" s="1307">
        <v>50990710.116660498</v>
      </c>
      <c r="E44" s="1307">
        <v>24</v>
      </c>
      <c r="F44" s="1307">
        <v>463799.19521643402</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5</v>
      </c>
      <c r="D47" s="1307">
        <v>3610018.0694934502</v>
      </c>
      <c r="E47" s="1307">
        <v>8</v>
      </c>
      <c r="F47" s="1307">
        <v>3019571.2750137001</v>
      </c>
    </row>
    <row r="48" spans="1:6">
      <c r="A48" s="1306" t="s">
        <v>31</v>
      </c>
      <c r="B48" s="1306" t="s">
        <v>28</v>
      </c>
      <c r="C48" s="1307">
        <v>26</v>
      </c>
      <c r="D48" s="1307">
        <v>3897781.2559115598</v>
      </c>
      <c r="E48" s="1307">
        <v>38</v>
      </c>
      <c r="F48" s="1307">
        <v>4854005.4131522998</v>
      </c>
    </row>
    <row r="49" spans="1:6">
      <c r="A49" s="1306" t="s">
        <v>31</v>
      </c>
      <c r="B49" s="1306" t="s">
        <v>39</v>
      </c>
      <c r="C49" s="1307">
        <v>0</v>
      </c>
      <c r="D49" s="1307">
        <v>0</v>
      </c>
      <c r="E49" s="1307">
        <v>0</v>
      </c>
      <c r="F49" s="1307">
        <v>0</v>
      </c>
    </row>
    <row r="50" spans="1:6">
      <c r="A50" s="1306" t="s">
        <v>31</v>
      </c>
      <c r="B50" s="1306" t="s">
        <v>40</v>
      </c>
      <c r="C50" s="1307">
        <v>9</v>
      </c>
      <c r="D50" s="1307">
        <v>21846850.095394298</v>
      </c>
      <c r="E50" s="1307">
        <v>10</v>
      </c>
      <c r="F50" s="1307">
        <v>18311161.835305698</v>
      </c>
    </row>
    <row r="51" spans="1:6">
      <c r="A51" s="1306" t="s">
        <v>41</v>
      </c>
      <c r="B51" s="1306" t="s">
        <v>42</v>
      </c>
      <c r="C51" s="1307">
        <v>4</v>
      </c>
      <c r="D51" s="1307">
        <v>13350154.8622972</v>
      </c>
      <c r="E51" s="1307">
        <v>16</v>
      </c>
      <c r="F51" s="1307">
        <v>404969.49231623102</v>
      </c>
    </row>
    <row r="52" spans="1:6">
      <c r="A52" s="1306" t="s">
        <v>41</v>
      </c>
      <c r="B52" s="1306" t="s">
        <v>28</v>
      </c>
      <c r="C52" s="1307">
        <v>6</v>
      </c>
      <c r="D52" s="1307">
        <v>280860.07780393801</v>
      </c>
      <c r="E52" s="1307">
        <v>8</v>
      </c>
      <c r="F52" s="1307">
        <v>107037.557553101</v>
      </c>
    </row>
    <row r="53" spans="1:6">
      <c r="A53" s="1306" t="s">
        <v>43</v>
      </c>
      <c r="B53" s="1306" t="s">
        <v>44</v>
      </c>
      <c r="C53" s="1307">
        <v>96</v>
      </c>
      <c r="D53" s="1307">
        <v>4522065.6537813498</v>
      </c>
      <c r="E53" s="1307">
        <v>178</v>
      </c>
      <c r="F53" s="1307">
        <v>840911.94107375701</v>
      </c>
    </row>
    <row r="54" spans="1:6">
      <c r="A54" s="1306" t="s">
        <v>45</v>
      </c>
      <c r="B54" s="1306" t="s">
        <v>46</v>
      </c>
      <c r="C54" s="1307">
        <v>0</v>
      </c>
      <c r="D54" s="1307">
        <v>0</v>
      </c>
      <c r="E54" s="1307">
        <v>1</v>
      </c>
      <c r="F54" s="1307">
        <v>881790</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24</v>
      </c>
      <c r="D57" s="1307">
        <v>1311620.3807125101</v>
      </c>
      <c r="E57" s="1307">
        <v>49</v>
      </c>
      <c r="F57" s="1307">
        <v>2258421.1009552502</v>
      </c>
    </row>
    <row r="58" spans="1:6">
      <c r="A58" s="1306" t="s">
        <v>48</v>
      </c>
      <c r="B58" s="1306" t="s">
        <v>50</v>
      </c>
      <c r="C58" s="1307">
        <v>6</v>
      </c>
      <c r="D58" s="1307">
        <v>146183.390699991</v>
      </c>
      <c r="E58" s="1307">
        <v>10</v>
      </c>
      <c r="F58" s="1307">
        <v>328209.34323591902</v>
      </c>
    </row>
    <row r="59" spans="1:6">
      <c r="A59" s="1306" t="s">
        <v>48</v>
      </c>
      <c r="B59" s="1306" t="s">
        <v>51</v>
      </c>
      <c r="C59" s="1307">
        <v>148</v>
      </c>
      <c r="D59" s="1307">
        <v>10773596.1514809</v>
      </c>
      <c r="E59" s="1307">
        <v>260</v>
      </c>
      <c r="F59" s="1307">
        <v>12287591.0859139</v>
      </c>
    </row>
    <row r="60" spans="1:6">
      <c r="A60" s="1306" t="s">
        <v>48</v>
      </c>
      <c r="B60" s="1306" t="s">
        <v>52</v>
      </c>
      <c r="C60" s="1307">
        <v>42</v>
      </c>
      <c r="D60" s="1307">
        <v>2269024.0669767498</v>
      </c>
      <c r="E60" s="1307">
        <v>50</v>
      </c>
      <c r="F60" s="1307">
        <v>1119424.4232282001</v>
      </c>
    </row>
    <row r="61" spans="1:6">
      <c r="A61" s="1306" t="s">
        <v>48</v>
      </c>
      <c r="B61" s="1306" t="s">
        <v>53</v>
      </c>
      <c r="C61" s="1307">
        <v>123</v>
      </c>
      <c r="D61" s="1307">
        <v>9244614.2376423199</v>
      </c>
      <c r="E61" s="1307">
        <v>242</v>
      </c>
      <c r="F61" s="1307">
        <v>5969280.39459641</v>
      </c>
    </row>
    <row r="62" spans="1:6">
      <c r="A62" s="1306" t="s">
        <v>48</v>
      </c>
      <c r="B62" s="1306" t="s">
        <v>54</v>
      </c>
      <c r="C62" s="1307">
        <v>0</v>
      </c>
      <c r="D62" s="1307">
        <v>0</v>
      </c>
      <c r="E62" s="1307">
        <v>3</v>
      </c>
      <c r="F62" s="1307">
        <v>99599.747599461407</v>
      </c>
    </row>
    <row r="63" spans="1:6">
      <c r="A63" s="1306" t="s">
        <v>48</v>
      </c>
      <c r="B63" s="1306" t="s">
        <v>28</v>
      </c>
      <c r="C63" s="1307">
        <v>106</v>
      </c>
      <c r="D63" s="1307">
        <v>19822282.436193898</v>
      </c>
      <c r="E63" s="1307">
        <v>116</v>
      </c>
      <c r="F63" s="1307">
        <v>8065370.9229237298</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1252</v>
      </c>
    </row>
    <row r="66" spans="1:6">
      <c r="A66" s="1306" t="s">
        <v>55</v>
      </c>
      <c r="B66" s="1306" t="s">
        <v>57</v>
      </c>
      <c r="C66" s="1307">
        <v>0</v>
      </c>
      <c r="D66" s="1307">
        <v>0</v>
      </c>
      <c r="E66" s="1307">
        <v>0</v>
      </c>
      <c r="F66" s="1307">
        <v>0</v>
      </c>
    </row>
    <row r="67" spans="1:6">
      <c r="A67" s="1308" t="s">
        <v>55</v>
      </c>
      <c r="B67" s="1308" t="s">
        <v>58</v>
      </c>
      <c r="C67" s="1307">
        <v>0</v>
      </c>
      <c r="D67" s="1307">
        <v>0</v>
      </c>
      <c r="E67" s="1307">
        <v>38</v>
      </c>
      <c r="F67" s="1307">
        <v>647494.86464078096</v>
      </c>
    </row>
    <row r="68" spans="1:6">
      <c r="A68" s="1301" t="s">
        <v>55</v>
      </c>
      <c r="B68" s="1301" t="s">
        <v>59</v>
      </c>
      <c r="C68" s="1310">
        <v>8</v>
      </c>
      <c r="D68" s="1310">
        <v>896080.024556002</v>
      </c>
      <c r="E68" s="1310">
        <v>16</v>
      </c>
      <c r="F68" s="1310">
        <v>259159.25381104799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33878892</v>
      </c>
      <c r="E73" s="456"/>
      <c r="F73" s="332"/>
    </row>
    <row r="74" spans="1:6">
      <c r="A74" s="1306" t="s">
        <v>63</v>
      </c>
      <c r="B74" s="1306" t="s">
        <v>724</v>
      </c>
      <c r="C74" s="1320" t="s">
        <v>725</v>
      </c>
      <c r="D74" s="1321">
        <v>3250068.5755354399</v>
      </c>
      <c r="E74" s="456"/>
      <c r="F74" s="332"/>
    </row>
    <row r="75" spans="1:6">
      <c r="A75" s="1306" t="s">
        <v>64</v>
      </c>
      <c r="B75" s="1306" t="s">
        <v>722</v>
      </c>
      <c r="C75" s="1320" t="s">
        <v>726</v>
      </c>
      <c r="D75" s="1321">
        <v>10906550</v>
      </c>
      <c r="E75" s="456"/>
      <c r="F75" s="332"/>
    </row>
    <row r="76" spans="1:6">
      <c r="A76" s="1306" t="s">
        <v>64</v>
      </c>
      <c r="B76" s="1306" t="s">
        <v>724</v>
      </c>
      <c r="C76" s="1320" t="s">
        <v>727</v>
      </c>
      <c r="D76" s="1321">
        <v>1083279.5755354399</v>
      </c>
      <c r="E76" s="456"/>
      <c r="F76" s="332"/>
    </row>
    <row r="77" spans="1:6">
      <c r="A77" s="1306" t="s">
        <v>65</v>
      </c>
      <c r="B77" s="1306" t="s">
        <v>722</v>
      </c>
      <c r="C77" s="1320" t="s">
        <v>728</v>
      </c>
      <c r="D77" s="1321">
        <v>165051709</v>
      </c>
      <c r="E77" s="456"/>
      <c r="F77" s="332"/>
    </row>
    <row r="78" spans="1:6">
      <c r="A78" s="1301" t="s">
        <v>65</v>
      </c>
      <c r="B78" s="1301" t="s">
        <v>724</v>
      </c>
      <c r="C78" s="1301" t="s">
        <v>729</v>
      </c>
      <c r="D78" s="1322">
        <v>35819326</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648634.84892912011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1951.2807642954961</v>
      </c>
      <c r="C91" s="332"/>
      <c r="D91" s="332"/>
      <c r="E91" s="332"/>
      <c r="F91" s="332"/>
    </row>
    <row r="92" spans="1:6">
      <c r="A92" s="1301" t="s">
        <v>68</v>
      </c>
      <c r="B92" s="1302">
        <v>2803.4485720360603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3049</v>
      </c>
      <c r="C97" s="332"/>
      <c r="D97" s="332"/>
      <c r="E97" s="332"/>
      <c r="F97" s="332"/>
    </row>
    <row r="98" spans="1:6">
      <c r="A98" s="1306" t="s">
        <v>71</v>
      </c>
      <c r="B98" s="1307">
        <v>2</v>
      </c>
      <c r="C98" s="332"/>
      <c r="D98" s="332"/>
      <c r="E98" s="332"/>
      <c r="F98" s="332"/>
    </row>
    <row r="99" spans="1:6">
      <c r="A99" s="1306" t="s">
        <v>72</v>
      </c>
      <c r="B99" s="1307">
        <v>32</v>
      </c>
      <c r="C99" s="332"/>
      <c r="D99" s="332"/>
      <c r="E99" s="332"/>
      <c r="F99" s="332"/>
    </row>
    <row r="100" spans="1:6">
      <c r="A100" s="1306" t="s">
        <v>73</v>
      </c>
      <c r="B100" s="1307">
        <v>376</v>
      </c>
      <c r="C100" s="332"/>
      <c r="D100" s="332"/>
      <c r="E100" s="332"/>
      <c r="F100" s="332"/>
    </row>
    <row r="101" spans="1:6">
      <c r="A101" s="1306" t="s">
        <v>74</v>
      </c>
      <c r="B101" s="1307">
        <v>46</v>
      </c>
      <c r="C101" s="332"/>
      <c r="D101" s="332"/>
      <c r="E101" s="332"/>
      <c r="F101" s="332"/>
    </row>
    <row r="102" spans="1:6">
      <c r="A102" s="1306" t="s">
        <v>75</v>
      </c>
      <c r="B102" s="1307">
        <v>41</v>
      </c>
      <c r="C102" s="332"/>
      <c r="D102" s="332"/>
      <c r="E102" s="332"/>
      <c r="F102" s="332"/>
    </row>
    <row r="103" spans="1:6">
      <c r="A103" s="1306" t="s">
        <v>76</v>
      </c>
      <c r="B103" s="1307">
        <v>57</v>
      </c>
      <c r="C103" s="332"/>
      <c r="D103" s="332"/>
      <c r="E103" s="332"/>
      <c r="F103" s="332"/>
    </row>
    <row r="104" spans="1:6">
      <c r="A104" s="1306" t="s">
        <v>77</v>
      </c>
      <c r="B104" s="1307">
        <v>856</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5</v>
      </c>
      <c r="C123" s="1307">
        <v>13</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82</v>
      </c>
      <c r="C129" s="332"/>
      <c r="D129" s="332"/>
      <c r="E129" s="332"/>
      <c r="F129" s="332"/>
    </row>
    <row r="130" spans="1:6">
      <c r="A130" s="1306" t="s">
        <v>294</v>
      </c>
      <c r="B130" s="1307">
        <v>1</v>
      </c>
      <c r="C130" s="332"/>
      <c r="D130" s="332"/>
      <c r="E130" s="332"/>
      <c r="F130" s="332"/>
    </row>
    <row r="131" spans="1:6">
      <c r="A131" s="1306" t="s">
        <v>295</v>
      </c>
      <c r="B131" s="1307">
        <v>2</v>
      </c>
      <c r="C131" s="332"/>
      <c r="D131" s="332"/>
      <c r="E131" s="332"/>
      <c r="F131" s="332"/>
    </row>
    <row r="132" spans="1:6">
      <c r="A132" s="1301" t="s">
        <v>296</v>
      </c>
      <c r="B132" s="1302">
        <v>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101663.351656147</v>
      </c>
      <c r="C3" s="43" t="s">
        <v>169</v>
      </c>
      <c r="D3" s="43"/>
      <c r="E3" s="156"/>
      <c r="F3" s="43"/>
      <c r="G3" s="43"/>
      <c r="H3" s="43"/>
      <c r="I3" s="43"/>
      <c r="J3" s="43"/>
      <c r="K3" s="96"/>
    </row>
    <row r="4" spans="1:11">
      <c r="A4" s="363" t="s">
        <v>170</v>
      </c>
      <c r="B4" s="49">
        <f>IF(ISERROR('SEAP template'!B78+'SEAP template'!C78),0,'SEAP template'!B78+'SEAP template'!C78)</f>
        <v>30737.729336331555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6174.783529411764</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0.21491860838890486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8821.119327731094</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37118.571428571428</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0.23764705882352946</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881.79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881.79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0.21491860838890486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189.51307969125241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20494.013608148602</v>
      </c>
      <c r="C5" s="17">
        <f>IF(ISERROR('Eigen informatie GS &amp; warmtenet'!B57),0,'Eigen informatie GS &amp; warmtenet'!B57)</f>
        <v>0</v>
      </c>
      <c r="D5" s="30">
        <f>(SUM(HH_hh_gas_kWh,HH_rest_gas_kWh)/1000)*0.902</f>
        <v>70626.55380159842</v>
      </c>
      <c r="E5" s="17">
        <f>B46*B57</f>
        <v>1551.6507087164769</v>
      </c>
      <c r="F5" s="17">
        <f>B51*B62</f>
        <v>0</v>
      </c>
      <c r="G5" s="18"/>
      <c r="H5" s="17"/>
      <c r="I5" s="17"/>
      <c r="J5" s="17">
        <f>B50*B61+C50*C61</f>
        <v>0</v>
      </c>
      <c r="K5" s="17"/>
      <c r="L5" s="17"/>
      <c r="M5" s="17"/>
      <c r="N5" s="17">
        <f>B48*B59+C48*C59</f>
        <v>7634.9397482136619</v>
      </c>
      <c r="O5" s="17">
        <f>B69*B70*B71</f>
        <v>150.08000000000001</v>
      </c>
      <c r="P5" s="17">
        <f>B77*B78*B79/1000-B77*B78*B79/1000/B80</f>
        <v>133.46666666666667</v>
      </c>
    </row>
    <row r="6" spans="1:16">
      <c r="A6" s="16" t="s">
        <v>633</v>
      </c>
      <c r="B6" s="779">
        <f>kWh_PV_kleiner_dan_10kW</f>
        <v>1951.2807642954961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22445.294372444099</v>
      </c>
      <c r="C8" s="21">
        <f>C5</f>
        <v>0</v>
      </c>
      <c r="D8" s="21">
        <f>D5</f>
        <v>70626.55380159842</v>
      </c>
      <c r="E8" s="21">
        <f>E5</f>
        <v>1551.6507087164769</v>
      </c>
      <c r="F8" s="21">
        <f>F5</f>
        <v>0</v>
      </c>
      <c r="G8" s="21"/>
      <c r="H8" s="21"/>
      <c r="I8" s="21"/>
      <c r="J8" s="21">
        <f>J5</f>
        <v>0</v>
      </c>
      <c r="K8" s="21"/>
      <c r="L8" s="21">
        <f>L5</f>
        <v>0</v>
      </c>
      <c r="M8" s="21">
        <f>M5</f>
        <v>0</v>
      </c>
      <c r="N8" s="21">
        <f>N5</f>
        <v>7634.9397482136619</v>
      </c>
      <c r="O8" s="21">
        <f>O5</f>
        <v>150.08000000000001</v>
      </c>
      <c r="P8" s="21">
        <f>P5</f>
        <v>133.46666666666667</v>
      </c>
    </row>
    <row r="9" spans="1:16">
      <c r="B9" s="19"/>
      <c r="C9" s="19"/>
      <c r="D9" s="261"/>
      <c r="E9" s="19"/>
      <c r="F9" s="19"/>
      <c r="G9" s="19"/>
      <c r="H9" s="19"/>
      <c r="I9" s="19"/>
      <c r="J9" s="19"/>
      <c r="K9" s="19"/>
      <c r="L9" s="19"/>
      <c r="M9" s="19"/>
      <c r="N9" s="19"/>
      <c r="O9" s="19"/>
      <c r="P9" s="19"/>
    </row>
    <row r="10" spans="1:16">
      <c r="A10" s="24" t="s">
        <v>213</v>
      </c>
      <c r="B10" s="25">
        <f ca="1">'EF ele_warmte'!B12</f>
        <v>0.21491860838890486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4823.9114314050039</v>
      </c>
      <c r="C12" s="23">
        <f ca="1">C10*C8</f>
        <v>0</v>
      </c>
      <c r="D12" s="23">
        <f>D8*D10</f>
        <v>14266.563867922881</v>
      </c>
      <c r="E12" s="23">
        <f>E10*E8</f>
        <v>352.22471087864028</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3049</v>
      </c>
      <c r="C18" s="168" t="s">
        <v>110</v>
      </c>
      <c r="D18" s="230"/>
      <c r="E18" s="15"/>
    </row>
    <row r="19" spans="1:7">
      <c r="A19" s="173" t="s">
        <v>71</v>
      </c>
      <c r="B19" s="37">
        <f>aantalw2001_ander</f>
        <v>2</v>
      </c>
      <c r="C19" s="168" t="s">
        <v>110</v>
      </c>
      <c r="D19" s="231"/>
      <c r="E19" s="15"/>
    </row>
    <row r="20" spans="1:7">
      <c r="A20" s="173" t="s">
        <v>72</v>
      </c>
      <c r="B20" s="37">
        <f>aantalw2001_propaan</f>
        <v>32</v>
      </c>
      <c r="C20" s="169">
        <f>IF(ISERROR(B20/SUM($B$20,$B$21,$B$22)*100),0,B20/SUM($B$20,$B$21,$B$22)*100)</f>
        <v>7.0484581497797363</v>
      </c>
      <c r="D20" s="231"/>
      <c r="E20" s="15"/>
    </row>
    <row r="21" spans="1:7">
      <c r="A21" s="173" t="s">
        <v>73</v>
      </c>
      <c r="B21" s="37">
        <f>aantalw2001_elektriciteit</f>
        <v>376</v>
      </c>
      <c r="C21" s="169">
        <f>IF(ISERROR(B21/SUM($B$20,$B$21,$B$22)*100),0,B21/SUM($B$20,$B$21,$B$22)*100)</f>
        <v>82.819383259911888</v>
      </c>
      <c r="D21" s="231"/>
      <c r="E21" s="15"/>
    </row>
    <row r="22" spans="1:7">
      <c r="A22" s="173" t="s">
        <v>74</v>
      </c>
      <c r="B22" s="37">
        <f>aantalw2001_hout</f>
        <v>46</v>
      </c>
      <c r="C22" s="169">
        <f>IF(ISERROR(B22/SUM($B$20,$B$21,$B$22)*100),0,B22/SUM($B$20,$B$21,$B$22)*100)</f>
        <v>10.13215859030837</v>
      </c>
      <c r="D22" s="231"/>
      <c r="E22" s="15"/>
    </row>
    <row r="23" spans="1:7">
      <c r="A23" s="173" t="s">
        <v>75</v>
      </c>
      <c r="B23" s="37">
        <f>aantalw2001_niet_gespec</f>
        <v>41</v>
      </c>
      <c r="C23" s="168" t="s">
        <v>110</v>
      </c>
      <c r="D23" s="230"/>
      <c r="E23" s="15"/>
    </row>
    <row r="24" spans="1:7">
      <c r="A24" s="173" t="s">
        <v>76</v>
      </c>
      <c r="B24" s="37">
        <f>aantalw2001_steenkool</f>
        <v>57</v>
      </c>
      <c r="C24" s="168" t="s">
        <v>110</v>
      </c>
      <c r="D24" s="231"/>
      <c r="E24" s="15"/>
    </row>
    <row r="25" spans="1:7">
      <c r="A25" s="173" t="s">
        <v>77</v>
      </c>
      <c r="B25" s="37">
        <f>aantalw2001_stookolie</f>
        <v>856</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5053</v>
      </c>
      <c r="C28" s="36"/>
      <c r="D28" s="230"/>
    </row>
    <row r="29" spans="1:7" s="15" customFormat="1">
      <c r="A29" s="232" t="s">
        <v>743</v>
      </c>
      <c r="B29" s="37">
        <f>SUM(HH_hh_gas_aantal,HH_rest_gas_aantal)</f>
        <v>4086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4086</v>
      </c>
      <c r="C32" s="169">
        <f>IF(ISERROR(B32/SUM($B$32,$B$34,$B$35,$B$36,$B$38,$B$39)*100),0,B32/SUM($B$32,$B$34,$B$35,$B$36,$B$38,$B$39)*100)</f>
        <v>80.975029726516055</v>
      </c>
      <c r="D32" s="235"/>
      <c r="G32" s="15"/>
    </row>
    <row r="33" spans="1:7">
      <c r="A33" s="173" t="s">
        <v>71</v>
      </c>
      <c r="B33" s="34" t="s">
        <v>110</v>
      </c>
      <c r="C33" s="169"/>
      <c r="D33" s="235"/>
      <c r="G33" s="15"/>
    </row>
    <row r="34" spans="1:7">
      <c r="A34" s="173" t="s">
        <v>72</v>
      </c>
      <c r="B34" s="33">
        <f>IF((($B$28-$B$32-$B$39-$B$77-$B$38)*C20/100)&lt;0,0,($B$28-$B$32-$B$39-$B$77-$B$38)*C20/100)</f>
        <v>67.665198237885477</v>
      </c>
      <c r="C34" s="169">
        <f>IF(ISERROR(B34/SUM($B$32,$B$34,$B$35,$B$36,$B$38,$B$39)*100),0,B34/SUM($B$32,$B$34,$B$35,$B$36,$B$38,$B$39)*100)</f>
        <v>1.3409670677345518</v>
      </c>
      <c r="D34" s="235"/>
      <c r="G34" s="15"/>
    </row>
    <row r="35" spans="1:7">
      <c r="A35" s="173" t="s">
        <v>73</v>
      </c>
      <c r="B35" s="33">
        <f>IF((($B$28-$B$32-$B$39-$B$77-$B$38)*C21/100)&lt;0,0,($B$28-$B$32-$B$39-$B$77-$B$38)*C21/100)</f>
        <v>795.06607929515417</v>
      </c>
      <c r="C35" s="169">
        <f>IF(ISERROR(B35/SUM($B$32,$B$34,$B$35,$B$36,$B$38,$B$39)*100),0,B35/SUM($B$32,$B$34,$B$35,$B$36,$B$38,$B$39)*100)</f>
        <v>15.756363045880978</v>
      </c>
      <c r="D35" s="235"/>
      <c r="G35" s="15"/>
    </row>
    <row r="36" spans="1:7">
      <c r="A36" s="173" t="s">
        <v>74</v>
      </c>
      <c r="B36" s="33">
        <f>IF((($B$28-$B$32-$B$39-$B$77-$B$38)*C22/100)&lt;0,0,($B$28-$B$32-$B$39-$B$77-$B$38)*C22/100)</f>
        <v>97.268722466960355</v>
      </c>
      <c r="C36" s="169">
        <f>IF(ISERROR(B36/SUM($B$32,$B$34,$B$35,$B$36,$B$38,$B$39)*100),0,B36/SUM($B$32,$B$34,$B$35,$B$36,$B$38,$B$39)*100)</f>
        <v>1.9276401598684176</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4086</v>
      </c>
      <c r="C44" s="34" t="s">
        <v>110</v>
      </c>
      <c r="D44" s="176"/>
    </row>
    <row r="45" spans="1:7">
      <c r="A45" s="173" t="s">
        <v>71</v>
      </c>
      <c r="B45" s="33" t="str">
        <f t="shared" si="0"/>
        <v>-</v>
      </c>
      <c r="C45" s="34" t="s">
        <v>110</v>
      </c>
      <c r="D45" s="176"/>
    </row>
    <row r="46" spans="1:7">
      <c r="A46" s="173" t="s">
        <v>72</v>
      </c>
      <c r="B46" s="33">
        <f t="shared" si="0"/>
        <v>67.665198237885477</v>
      </c>
      <c r="C46" s="34" t="s">
        <v>110</v>
      </c>
      <c r="D46" s="176"/>
    </row>
    <row r="47" spans="1:7">
      <c r="A47" s="173" t="s">
        <v>73</v>
      </c>
      <c r="B47" s="33">
        <f t="shared" si="0"/>
        <v>795.06607929515417</v>
      </c>
      <c r="C47" s="34" t="s">
        <v>110</v>
      </c>
      <c r="D47" s="176"/>
    </row>
    <row r="48" spans="1:7">
      <c r="A48" s="173" t="s">
        <v>74</v>
      </c>
      <c r="B48" s="33">
        <f t="shared" si="0"/>
        <v>97.268722466960355</v>
      </c>
      <c r="C48" s="33">
        <f>B48*10</f>
        <v>972.68722466960355</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96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30127.897018452866</v>
      </c>
      <c r="C5" s="17">
        <f>IF(ISERROR('Eigen informatie GS &amp; warmtenet'!B58),0,'Eigen informatie GS &amp; warmtenet'!B58)</f>
        <v>0</v>
      </c>
      <c r="D5" s="30">
        <f>SUM(D6:D12)</f>
        <v>39297.723238663151</v>
      </c>
      <c r="E5" s="17">
        <f>SUM(E6:E12)</f>
        <v>372.01334960401698</v>
      </c>
      <c r="F5" s="17">
        <f>SUM(F6:F12)</f>
        <v>5726.7235222452864</v>
      </c>
      <c r="G5" s="18"/>
      <c r="H5" s="17"/>
      <c r="I5" s="17"/>
      <c r="J5" s="17">
        <f>SUM(J6:J12)</f>
        <v>0</v>
      </c>
      <c r="K5" s="17"/>
      <c r="L5" s="17"/>
      <c r="M5" s="17"/>
      <c r="N5" s="17">
        <f>SUM(N6:N12)</f>
        <v>2256.0338173004275</v>
      </c>
      <c r="O5" s="17">
        <f>B38*B39*B40</f>
        <v>1.5633333333333335</v>
      </c>
      <c r="P5" s="17">
        <f>B46*B47*B48/1000-B46*B47*B48/1000/B49</f>
        <v>38.133333333333333</v>
      </c>
      <c r="R5" s="32"/>
    </row>
    <row r="6" spans="1:18">
      <c r="A6" s="32" t="s">
        <v>53</v>
      </c>
      <c r="B6" s="37">
        <f>B26</f>
        <v>5969.2803945964097</v>
      </c>
      <c r="C6" s="33"/>
      <c r="D6" s="37">
        <f>IF(ISERROR(TER_kantoor_gas_kWh/1000),0,TER_kantoor_gas_kWh/1000)*0.902</f>
        <v>8338.6420423533727</v>
      </c>
      <c r="E6" s="33">
        <f>$C$26*'E Balans VL '!I12/100/3.6*1000000</f>
        <v>23.191918103299969</v>
      </c>
      <c r="F6" s="33">
        <f>$C$26*('E Balans VL '!L12+'E Balans VL '!N12)/100/3.6*1000000</f>
        <v>907.8732318969802</v>
      </c>
      <c r="G6" s="34"/>
      <c r="H6" s="33"/>
      <c r="I6" s="33"/>
      <c r="J6" s="33">
        <f>$C$26*('E Balans VL '!D12+'E Balans VL '!E12)/100/3.6*1000000</f>
        <v>0</v>
      </c>
      <c r="K6" s="33"/>
      <c r="L6" s="33"/>
      <c r="M6" s="33"/>
      <c r="N6" s="33">
        <f>$C$26*'E Balans VL '!Y12/100/3.6*1000000</f>
        <v>3.289788599603114</v>
      </c>
      <c r="O6" s="33"/>
      <c r="P6" s="33"/>
      <c r="R6" s="32"/>
    </row>
    <row r="7" spans="1:18">
      <c r="A7" s="32" t="s">
        <v>52</v>
      </c>
      <c r="B7" s="37">
        <f t="shared" ref="B7:B12" si="0">B27</f>
        <v>1119.4244232282001</v>
      </c>
      <c r="C7" s="33"/>
      <c r="D7" s="37">
        <f>IF(ISERROR(TER_horeca_gas_kWh/1000),0,TER_horeca_gas_kWh/1000)*0.902</f>
        <v>2046.6597084130285</v>
      </c>
      <c r="E7" s="33">
        <f>$C$27*'E Balans VL '!I9/100/3.6*1000000</f>
        <v>63.057477044949081</v>
      </c>
      <c r="F7" s="33">
        <f>$C$27*('E Balans VL '!L9+'E Balans VL '!N9)/100/3.6*1000000</f>
        <v>322.77498508691116</v>
      </c>
      <c r="G7" s="34"/>
      <c r="H7" s="33"/>
      <c r="I7" s="33"/>
      <c r="J7" s="33">
        <f>$C$27*('E Balans VL '!D9+'E Balans VL '!E9)/100/3.6*1000000</f>
        <v>0</v>
      </c>
      <c r="K7" s="33"/>
      <c r="L7" s="33"/>
      <c r="M7" s="33"/>
      <c r="N7" s="33">
        <f>$C$27*'E Balans VL '!Y9/100/3.6*1000000</f>
        <v>0.30906726617669206</v>
      </c>
      <c r="O7" s="33"/>
      <c r="P7" s="33"/>
      <c r="R7" s="32"/>
    </row>
    <row r="8" spans="1:18">
      <c r="A8" s="6" t="s">
        <v>51</v>
      </c>
      <c r="B8" s="37">
        <f t="shared" si="0"/>
        <v>12287.5910859139</v>
      </c>
      <c r="C8" s="33"/>
      <c r="D8" s="37">
        <f>IF(ISERROR(TER_handel_gas_kWh/1000),0,TER_handel_gas_kWh/1000)*0.902</f>
        <v>9717.7837286357717</v>
      </c>
      <c r="E8" s="33">
        <f>$C$28*'E Balans VL '!I13/100/3.6*1000000</f>
        <v>177.10587519766671</v>
      </c>
      <c r="F8" s="33">
        <f>$C$28*('E Balans VL '!L13+'E Balans VL '!N13)/100/3.6*1000000</f>
        <v>2134.6407303099759</v>
      </c>
      <c r="G8" s="34"/>
      <c r="H8" s="33"/>
      <c r="I8" s="33"/>
      <c r="J8" s="33">
        <f>$C$28*('E Balans VL '!D13+'E Balans VL '!E13)/100/3.6*1000000</f>
        <v>0</v>
      </c>
      <c r="K8" s="33"/>
      <c r="L8" s="33"/>
      <c r="M8" s="33"/>
      <c r="N8" s="33">
        <f>$C$28*'E Balans VL '!Y13/100/3.6*1000000</f>
        <v>36.814990776216327</v>
      </c>
      <c r="O8" s="33"/>
      <c r="P8" s="33"/>
      <c r="R8" s="32"/>
    </row>
    <row r="9" spans="1:18">
      <c r="A9" s="32" t="s">
        <v>50</v>
      </c>
      <c r="B9" s="37">
        <f t="shared" si="0"/>
        <v>328.20934323591899</v>
      </c>
      <c r="C9" s="33"/>
      <c r="D9" s="37">
        <f>IF(ISERROR(TER_gezond_gas_kWh/1000),0,TER_gezond_gas_kWh/1000)*0.902</f>
        <v>131.8574184113919</v>
      </c>
      <c r="E9" s="33">
        <f>$C$29*'E Balans VL '!I10/100/3.6*1000000</f>
        <v>0.35061264731367792</v>
      </c>
      <c r="F9" s="33">
        <f>$C$29*('E Balans VL '!L10+'E Balans VL '!N10)/100/3.6*1000000</f>
        <v>53.540918538020705</v>
      </c>
      <c r="G9" s="34"/>
      <c r="H9" s="33"/>
      <c r="I9" s="33"/>
      <c r="J9" s="33">
        <f>$C$29*('E Balans VL '!D10+'E Balans VL '!E10)/100/3.6*1000000</f>
        <v>0</v>
      </c>
      <c r="K9" s="33"/>
      <c r="L9" s="33"/>
      <c r="M9" s="33"/>
      <c r="N9" s="33">
        <f>$C$29*'E Balans VL '!Y10/100/3.6*1000000</f>
        <v>3.3787279160986801</v>
      </c>
      <c r="O9" s="33"/>
      <c r="P9" s="33"/>
      <c r="R9" s="32"/>
    </row>
    <row r="10" spans="1:18">
      <c r="A10" s="32" t="s">
        <v>49</v>
      </c>
      <c r="B10" s="37">
        <f t="shared" si="0"/>
        <v>2258.42110095525</v>
      </c>
      <c r="C10" s="33"/>
      <c r="D10" s="37">
        <f>IF(ISERROR(TER_ander_gas_kWh/1000),0,TER_ander_gas_kWh/1000)*0.902</f>
        <v>1183.0815834026841</v>
      </c>
      <c r="E10" s="33">
        <f>$C$30*'E Balans VL '!I14/100/3.6*1000000</f>
        <v>10.38613511194216</v>
      </c>
      <c r="F10" s="33">
        <f>$C$30*('E Balans VL '!L14+'E Balans VL '!N14)/100/3.6*1000000</f>
        <v>676.92004096047333</v>
      </c>
      <c r="G10" s="34"/>
      <c r="H10" s="33"/>
      <c r="I10" s="33"/>
      <c r="J10" s="33">
        <f>$C$30*('E Balans VL '!D14+'E Balans VL '!E14)/100/3.6*1000000</f>
        <v>0</v>
      </c>
      <c r="K10" s="33"/>
      <c r="L10" s="33"/>
      <c r="M10" s="33"/>
      <c r="N10" s="33">
        <f>$C$30*'E Balans VL '!Y14/100/3.6*1000000</f>
        <v>1572.0101663777439</v>
      </c>
      <c r="O10" s="33"/>
      <c r="P10" s="33"/>
      <c r="R10" s="32"/>
    </row>
    <row r="11" spans="1:18">
      <c r="A11" s="32" t="s">
        <v>54</v>
      </c>
      <c r="B11" s="37">
        <f t="shared" si="0"/>
        <v>99.599747599461409</v>
      </c>
      <c r="C11" s="33"/>
      <c r="D11" s="37">
        <f>IF(ISERROR(TER_onderwijs_gas_kWh/1000),0,TER_onderwijs_gas_kWh/1000)*0.902</f>
        <v>0</v>
      </c>
      <c r="E11" s="33">
        <f>$C$31*'E Balans VL '!I11/100/3.6*1000000</f>
        <v>9.2391864139618626E-2</v>
      </c>
      <c r="F11" s="33">
        <f>$C$31*('E Balans VL '!L11+'E Balans VL '!N11)/100/3.6*1000000</f>
        <v>34.987102196072392</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8065.3709229237302</v>
      </c>
      <c r="C12" s="33"/>
      <c r="D12" s="37">
        <f>IF(ISERROR(TER_rest_gas_kWh/1000),0,TER_rest_gas_kWh/1000)*0.902</f>
        <v>17879.698757446899</v>
      </c>
      <c r="E12" s="33">
        <f>$C$32*'E Balans VL '!I8/100/3.6*1000000</f>
        <v>97.828939634705748</v>
      </c>
      <c r="F12" s="33">
        <f>$C$32*('E Balans VL '!L8+'E Balans VL '!N8)/100/3.6*1000000</f>
        <v>1595.986513256853</v>
      </c>
      <c r="G12" s="34"/>
      <c r="H12" s="33"/>
      <c r="I12" s="33"/>
      <c r="J12" s="33">
        <f>$C$32*('E Balans VL '!D8+'E Balans VL '!E8)/100/3.6*1000000</f>
        <v>0</v>
      </c>
      <c r="K12" s="33"/>
      <c r="L12" s="33"/>
      <c r="M12" s="33"/>
      <c r="N12" s="33">
        <f>$C$32*'E Balans VL '!Y8/100/3.6*1000000</f>
        <v>640.23107636458872</v>
      </c>
      <c r="O12" s="33"/>
      <c r="P12" s="33"/>
      <c r="R12" s="32"/>
    </row>
    <row r="13" spans="1:18">
      <c r="A13" s="16" t="s">
        <v>496</v>
      </c>
      <c r="B13" s="249">
        <f ca="1">'lokale energieproductie'!N40+'lokale energieproductie'!N33</f>
        <v>0</v>
      </c>
      <c r="C13" s="249">
        <f ca="1">'lokale energieproductie'!O40+'lokale energieproductie'!O33</f>
        <v>0</v>
      </c>
      <c r="D13" s="310">
        <f ca="1">('lokale energieproductie'!P33+'lokale energieproductie'!P40)*(-1)</f>
        <v>0</v>
      </c>
      <c r="E13" s="250"/>
      <c r="F13" s="310">
        <f ca="1">('lokale energieproductie'!S33+'lokale energieproductie'!S40)*(-1)</f>
        <v>0</v>
      </c>
      <c r="G13" s="251"/>
      <c r="H13" s="250"/>
      <c r="I13" s="250"/>
      <c r="J13" s="250"/>
      <c r="K13" s="250"/>
      <c r="L13" s="310">
        <f ca="1">('lokale energieproductie'!U33+'lokale energieproductie'!T33+'lokale energieproductie'!U40+'lokale energieproductie'!T40)*(-1)</f>
        <v>0</v>
      </c>
      <c r="M13" s="250"/>
      <c r="N13" s="310">
        <f ca="1">('lokale energieproductie'!Q33+'lokale energieproductie'!R33+'lokale energieproductie'!V33+'lokale energieproductie'!Q40+'lokale energieproductie'!R40+'lokale energieproductie'!V40)*(-1)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30127.897018452866</v>
      </c>
      <c r="C16" s="21">
        <f t="shared" ca="1" si="1"/>
        <v>0</v>
      </c>
      <c r="D16" s="21">
        <f t="shared" ca="1" si="1"/>
        <v>39297.723238663151</v>
      </c>
      <c r="E16" s="21">
        <f t="shared" si="1"/>
        <v>372.01334960401698</v>
      </c>
      <c r="F16" s="21">
        <f t="shared" ca="1" si="1"/>
        <v>5726.7235222452864</v>
      </c>
      <c r="G16" s="21">
        <f t="shared" si="1"/>
        <v>0</v>
      </c>
      <c r="H16" s="21">
        <f t="shared" si="1"/>
        <v>0</v>
      </c>
      <c r="I16" s="21">
        <f t="shared" si="1"/>
        <v>0</v>
      </c>
      <c r="J16" s="21">
        <f t="shared" si="1"/>
        <v>0</v>
      </c>
      <c r="K16" s="21">
        <f t="shared" si="1"/>
        <v>0</v>
      </c>
      <c r="L16" s="21">
        <f t="shared" ca="1" si="1"/>
        <v>0</v>
      </c>
      <c r="M16" s="21">
        <f t="shared" si="1"/>
        <v>0</v>
      </c>
      <c r="N16" s="21">
        <f t="shared" ca="1" si="1"/>
        <v>2256.0338173004275</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0.21491860838890486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6475.0457008901258</v>
      </c>
      <c r="C20" s="23">
        <f t="shared" ref="C20:P20" ca="1" si="2">C16*C18</f>
        <v>0</v>
      </c>
      <c r="D20" s="23">
        <f t="shared" ca="1" si="2"/>
        <v>7938.1400942099572</v>
      </c>
      <c r="E20" s="23">
        <f t="shared" si="2"/>
        <v>84.447030360111853</v>
      </c>
      <c r="F20" s="23">
        <f t="shared" ca="1" si="2"/>
        <v>1529.0351804394916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5969.2803945964097</v>
      </c>
      <c r="C26" s="39">
        <f>IF(ISERROR(B26*3.6/1000000/'E Balans VL '!Z12*100),0,B26*3.6/1000000/'E Balans VL '!Z12*100)</f>
        <v>0.12679047237835686</v>
      </c>
      <c r="D26" s="239" t="s">
        <v>689</v>
      </c>
      <c r="F26" s="6"/>
    </row>
    <row r="27" spans="1:18">
      <c r="A27" s="233" t="s">
        <v>52</v>
      </c>
      <c r="B27" s="33">
        <f>IF(ISERROR(TER_horeca_ele_kWh/1000),0,TER_horeca_ele_kWh/1000)</f>
        <v>1119.4244232282001</v>
      </c>
      <c r="C27" s="39">
        <f>IF(ISERROR(B27*3.6/1000000/'E Balans VL '!Z9*100),0,B27*3.6/1000000/'E Balans VL '!Z9*100)</f>
        <v>8.7042066288376227E-2</v>
      </c>
      <c r="D27" s="239" t="s">
        <v>689</v>
      </c>
      <c r="F27" s="6"/>
    </row>
    <row r="28" spans="1:18">
      <c r="A28" s="173" t="s">
        <v>51</v>
      </c>
      <c r="B28" s="33">
        <f>IF(ISERROR(TER_handel_ele_kWh/1000),0,TER_handel_ele_kWh/1000)</f>
        <v>12287.5910859139</v>
      </c>
      <c r="C28" s="39">
        <f>IF(ISERROR(B28*3.6/1000000/'E Balans VL '!Z13*100),0,B28*3.6/1000000/'E Balans VL '!Z13*100)</f>
        <v>0.35156244201609271</v>
      </c>
      <c r="D28" s="239" t="s">
        <v>689</v>
      </c>
      <c r="F28" s="6"/>
    </row>
    <row r="29" spans="1:18">
      <c r="A29" s="233" t="s">
        <v>50</v>
      </c>
      <c r="B29" s="33">
        <f>IF(ISERROR(TER_gezond_ele_kWh/1000),0,TER_gezond_ele_kWh/1000)</f>
        <v>328.20934323591899</v>
      </c>
      <c r="C29" s="39">
        <f>IF(ISERROR(B29*3.6/1000000/'E Balans VL '!Z10*100),0,B29*3.6/1000000/'E Balans VL '!Z10*100)</f>
        <v>3.5782445083171466E-2</v>
      </c>
      <c r="D29" s="239" t="s">
        <v>689</v>
      </c>
      <c r="F29" s="6"/>
    </row>
    <row r="30" spans="1:18">
      <c r="A30" s="233" t="s">
        <v>49</v>
      </c>
      <c r="B30" s="33">
        <f>IF(ISERROR(TER_ander_ele_kWh/1000),0,TER_ander_ele_kWh/1000)</f>
        <v>2258.42110095525</v>
      </c>
      <c r="C30" s="39">
        <f>IF(ISERROR(B30*3.6/1000000/'E Balans VL '!Z14*100),0,B30*3.6/1000000/'E Balans VL '!Z14*100)</f>
        <v>0.16526613306108323</v>
      </c>
      <c r="D30" s="239" t="s">
        <v>689</v>
      </c>
      <c r="F30" s="6"/>
    </row>
    <row r="31" spans="1:18">
      <c r="A31" s="233" t="s">
        <v>54</v>
      </c>
      <c r="B31" s="33">
        <f>IF(ISERROR(TER_onderwijs_ele_kWh/1000),0,TER_onderwijs_ele_kWh/1000)</f>
        <v>99.599747599461409</v>
      </c>
      <c r="C31" s="39">
        <f>IF(ISERROR(B31*3.6/1000000/'E Balans VL '!Z11*100),0,B31*3.6/1000000/'E Balans VL '!Z11*100)</f>
        <v>2.0004683266084931E-2</v>
      </c>
      <c r="D31" s="239" t="s">
        <v>689</v>
      </c>
    </row>
    <row r="32" spans="1:18">
      <c r="A32" s="233" t="s">
        <v>259</v>
      </c>
      <c r="B32" s="33">
        <f>IF(ISERROR(TER_rest_ele_kWh/1000),0,TER_rest_ele_kWh/1000)</f>
        <v>8065.3709229237302</v>
      </c>
      <c r="C32" s="39">
        <f>IF(ISERROR(B32*3.6/1000000/'E Balans VL '!Z8*100),0,B32*3.6/1000000/'E Balans VL '!Z8*100)</f>
        <v>6.5727878396907219E-2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27955.392636556731</v>
      </c>
      <c r="C5" s="17">
        <f>IF(ISERROR('Eigen informatie GS &amp; warmtenet'!B59),0,'Eigen informatie GS &amp; warmtenet'!B59)</f>
        <v>0</v>
      </c>
      <c r="D5" s="30">
        <f>SUM(D6:D15)</f>
        <v>74064.43209508319</v>
      </c>
      <c r="E5" s="17">
        <f>SUM(E6:E15)</f>
        <v>2162.9875418854649</v>
      </c>
      <c r="F5" s="17">
        <f>SUM(F6:F15)</f>
        <v>29659.461579801231</v>
      </c>
      <c r="G5" s="18"/>
      <c r="H5" s="17"/>
      <c r="I5" s="17"/>
      <c r="J5" s="17">
        <f>SUM(J6:J15)</f>
        <v>12.683355568314957</v>
      </c>
      <c r="K5" s="17"/>
      <c r="L5" s="17"/>
      <c r="M5" s="17"/>
      <c r="N5" s="17">
        <f>SUM(N6:N15)</f>
        <v>6284.5712673661847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463.79919521643404</v>
      </c>
      <c r="C8" s="33"/>
      <c r="D8" s="37">
        <f>IF( ISERROR(IND_metaal_Gas_kWH/1000),0,IND_metaal_Gas_kWH/1000)*0.902</f>
        <v>45993.620525227772</v>
      </c>
      <c r="E8" s="33">
        <f>C30*'E Balans VL '!I18/100/3.6*1000000</f>
        <v>13.322053775225125</v>
      </c>
      <c r="F8" s="33">
        <f>C30*'E Balans VL '!L18/100/3.6*1000000+C30*'E Balans VL '!N18/100/3.6*1000000</f>
        <v>118.95557343256651</v>
      </c>
      <c r="G8" s="34"/>
      <c r="H8" s="33"/>
      <c r="I8" s="33"/>
      <c r="J8" s="40">
        <f>C30*'E Balans VL '!D18/100/3.6*1000000+C30*'E Balans VL '!E18/100/3.6*1000000</f>
        <v>0</v>
      </c>
      <c r="K8" s="33"/>
      <c r="L8" s="33"/>
      <c r="M8" s="33"/>
      <c r="N8" s="33">
        <f>C30*'E Balans VL '!Y18/100/3.6*1000000</f>
        <v>12.593094898416762</v>
      </c>
      <c r="O8" s="33"/>
      <c r="P8" s="33"/>
      <c r="R8" s="32"/>
    </row>
    <row r="9" spans="1:18">
      <c r="A9" s="6" t="s">
        <v>32</v>
      </c>
      <c r="B9" s="37">
        <f t="shared" si="0"/>
        <v>1306.8549178686001</v>
      </c>
      <c r="C9" s="33"/>
      <c r="D9" s="37">
        <f>IF( ISERROR(IND_andere_gas_kWh/1000),0,IND_andere_gas_kWh/1000)*0.902</f>
        <v>1592.9177922944591</v>
      </c>
      <c r="E9" s="33">
        <f>C31*'E Balans VL '!I19/100/3.6*1000000</f>
        <v>353.73349457230768</v>
      </c>
      <c r="F9" s="33">
        <f>C31*'E Balans VL '!L19/100/3.6*1000000+C31*'E Balans VL '!N19/100/3.6*1000000</f>
        <v>870.50366943909546</v>
      </c>
      <c r="G9" s="34"/>
      <c r="H9" s="33"/>
      <c r="I9" s="33"/>
      <c r="J9" s="40">
        <f>C31*'E Balans VL '!D19/100/3.6*1000000+C31*'E Balans VL '!E19/100/3.6*1000000</f>
        <v>0</v>
      </c>
      <c r="K9" s="33"/>
      <c r="L9" s="33"/>
      <c r="M9" s="33"/>
      <c r="N9" s="33">
        <f>C31*'E Balans VL '!Y19/100/3.6*1000000</f>
        <v>110.48592638052624</v>
      </c>
      <c r="O9" s="33"/>
      <c r="P9" s="33"/>
      <c r="R9" s="32"/>
    </row>
    <row r="10" spans="1:18">
      <c r="A10" s="6" t="s">
        <v>40</v>
      </c>
      <c r="B10" s="37">
        <f t="shared" si="0"/>
        <v>18311.161835305698</v>
      </c>
      <c r="C10" s="33"/>
      <c r="D10" s="37">
        <f>IF( ISERROR(IND_voed_gas_kWh/1000),0,IND_voed_gas_kWh/1000)*0.902</f>
        <v>19705.858786045657</v>
      </c>
      <c r="E10" s="33">
        <f>C32*'E Balans VL '!I20/100/3.6*1000000</f>
        <v>1493.5004280871624</v>
      </c>
      <c r="F10" s="33">
        <f>C32*'E Balans VL '!L20/100/3.6*1000000+C32*'E Balans VL '!N20/100/3.6*1000000</f>
        <v>27303.603630610742</v>
      </c>
      <c r="G10" s="34"/>
      <c r="H10" s="33"/>
      <c r="I10" s="33"/>
      <c r="J10" s="40">
        <f>C32*'E Balans VL '!D20/100/3.6*1000000+C32*'E Balans VL '!E20/100/3.6*1000000</f>
        <v>0.24223444431236096</v>
      </c>
      <c r="K10" s="33"/>
      <c r="L10" s="33"/>
      <c r="M10" s="33"/>
      <c r="N10" s="33">
        <f>C32*'E Balans VL '!Y20/100/3.6*1000000</f>
        <v>5379.1732159825942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3019.5712750137</v>
      </c>
      <c r="C13" s="33"/>
      <c r="D13" s="37">
        <f>IF( ISERROR(IND_papier_gas_kWh/1000),0,IND_papier_gas_kWh/1000)*0.902</f>
        <v>3256.2362986830922</v>
      </c>
      <c r="E13" s="33">
        <f>C35*'E Balans VL '!I23/100/3.6*1000000</f>
        <v>31.635510093289668</v>
      </c>
      <c r="F13" s="33">
        <f>C35*'E Balans VL '!L23/100/3.6*1000000+C35*'E Balans VL '!N23/100/3.6*1000000</f>
        <v>225.32094374855211</v>
      </c>
      <c r="G13" s="34"/>
      <c r="H13" s="33"/>
      <c r="I13" s="33"/>
      <c r="J13" s="40">
        <f>C35*'E Balans VL '!D23/100/3.6*1000000+C35*'E Balans VL '!E23/100/3.6*1000000</f>
        <v>0</v>
      </c>
      <c r="K13" s="33"/>
      <c r="L13" s="33"/>
      <c r="M13" s="33"/>
      <c r="N13" s="33">
        <f>C35*'E Balans VL '!Y23/100/3.6*1000000</f>
        <v>557.04560961612447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4854.0054131523002</v>
      </c>
      <c r="C15" s="33"/>
      <c r="D15" s="37">
        <f>IF( ISERROR(IND_rest_gas_kWh/1000),0,IND_rest_gas_kWh/1000)*0.902</f>
        <v>3515.7986928322271</v>
      </c>
      <c r="E15" s="33">
        <f>C37*'E Balans VL '!I15/100/3.6*1000000</f>
        <v>270.79605535747999</v>
      </c>
      <c r="F15" s="33">
        <f>C37*'E Balans VL '!L15/100/3.6*1000000+C37*'E Balans VL '!N15/100/3.6*1000000</f>
        <v>1141.0777625702744</v>
      </c>
      <c r="G15" s="34"/>
      <c r="H15" s="33"/>
      <c r="I15" s="33"/>
      <c r="J15" s="40">
        <f>C37*'E Balans VL '!D15/100/3.6*1000000+C37*'E Balans VL '!E15/100/3.6*1000000</f>
        <v>12.441121124002596</v>
      </c>
      <c r="K15" s="33"/>
      <c r="L15" s="33"/>
      <c r="M15" s="33"/>
      <c r="N15" s="33">
        <f>C37*'E Balans VL '!Y15/100/3.6*1000000</f>
        <v>225.27342048852321</v>
      </c>
      <c r="O15" s="33"/>
      <c r="P15" s="33"/>
      <c r="R15" s="32"/>
    </row>
    <row r="16" spans="1:18">
      <c r="A16" s="16" t="s">
        <v>496</v>
      </c>
      <c r="B16" s="249">
        <f>'lokale energieproductie'!N39+'lokale energieproductie'!N32</f>
        <v>18891</v>
      </c>
      <c r="C16" s="249">
        <f>'lokale energieproductie'!O39+'lokale energieproductie'!O32</f>
        <v>26987.142857142859</v>
      </c>
      <c r="D16" s="310">
        <f>('lokale energieproductie'!P32+'lokale energieproductie'!P39)*(-1)</f>
        <v>-53974.285714285717</v>
      </c>
      <c r="E16" s="250"/>
      <c r="F16" s="310">
        <f>('lokale energieproductie'!S32+'lokale energieproductie'!S39)*(-1)</f>
        <v>0</v>
      </c>
      <c r="G16" s="251"/>
      <c r="H16" s="250"/>
      <c r="I16" s="250"/>
      <c r="J16" s="250"/>
      <c r="K16" s="250"/>
      <c r="L16" s="310">
        <f>('lokale energieproductie'!T32+'lokale energieproductie'!U32+'lokale energieproductie'!T39+'lokale energieproductie'!U39)*(-1)</f>
        <v>0</v>
      </c>
      <c r="M16" s="250"/>
      <c r="N16" s="310">
        <f>('lokale energieproductie'!Q32+'lokale energieproductie'!R32+'lokale energieproductie'!V32+'lokale energieproductie'!Q39+'lokale energieproductie'!R39+'lokale energieproductie'!V39)*(-1)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46846.392636556731</v>
      </c>
      <c r="C18" s="21">
        <f>C5+C16</f>
        <v>26987.142857142859</v>
      </c>
      <c r="D18" s="21">
        <f>MAX((D5+D16),0)</f>
        <v>20090.146380797472</v>
      </c>
      <c r="E18" s="21">
        <f>MAX((E5+E16),0)</f>
        <v>2162.9875418854649</v>
      </c>
      <c r="F18" s="21">
        <f>MAX((F5+F16),0)</f>
        <v>29659.461579801231</v>
      </c>
      <c r="G18" s="21"/>
      <c r="H18" s="21"/>
      <c r="I18" s="21"/>
      <c r="J18" s="21">
        <f>MAX((J5+J16),0)</f>
        <v>12.683355568314957</v>
      </c>
      <c r="K18" s="21"/>
      <c r="L18" s="21">
        <f>MAX((L5+L16),0)</f>
        <v>0</v>
      </c>
      <c r="M18" s="21"/>
      <c r="N18" s="21">
        <f>MAX((N5+N16),0)</f>
        <v>6284.5712673661847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0.21491860838890486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10068.161513489013</v>
      </c>
      <c r="C22" s="23">
        <f ca="1">C18*C20</f>
        <v>6413.4151260504223</v>
      </c>
      <c r="D22" s="23">
        <f>D18*D20</f>
        <v>4058.2095689210896</v>
      </c>
      <c r="E22" s="23">
        <f>E18*E20</f>
        <v>490.99817200800055</v>
      </c>
      <c r="F22" s="23">
        <f>F18*F20</f>
        <v>7919.0762418069289</v>
      </c>
      <c r="G22" s="23"/>
      <c r="H22" s="23"/>
      <c r="I22" s="23"/>
      <c r="J22" s="23">
        <f>J18*J20</f>
        <v>4.4899078711834948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463.79919521643404</v>
      </c>
      <c r="C30" s="39">
        <f>IF(ISERROR(B30*3.6/1000000/'E Balans VL '!Z18*100),0,B30*3.6/1000000/'E Balans VL '!Z18*100)</f>
        <v>4.5636656856072412E-2</v>
      </c>
      <c r="D30" s="239" t="s">
        <v>689</v>
      </c>
    </row>
    <row r="31" spans="1:18">
      <c r="A31" s="6" t="s">
        <v>32</v>
      </c>
      <c r="B31" s="37">
        <f>IF( ISERROR(IND_ander_ele_kWh/1000),0,IND_ander_ele_kWh/1000)</f>
        <v>1306.8549178686001</v>
      </c>
      <c r="C31" s="39">
        <f>IF(ISERROR(B31*3.6/1000000/'E Balans VL '!Z19*100),0,B31*3.6/1000000/'E Balans VL '!Z19*100)</f>
        <v>5.6912489205278541E-2</v>
      </c>
      <c r="D31" s="239" t="s">
        <v>689</v>
      </c>
    </row>
    <row r="32" spans="1:18">
      <c r="A32" s="173" t="s">
        <v>40</v>
      </c>
      <c r="B32" s="37">
        <f>IF( ISERROR(IND_voed_ele_kWh/1000),0,IND_voed_ele_kWh/1000)</f>
        <v>18311.161835305698</v>
      </c>
      <c r="C32" s="39">
        <f>IF(ISERROR(B32*3.6/1000000/'E Balans VL '!Z20*100),0,B32*3.6/1000000/'E Balans VL '!Z20*100)</f>
        <v>3.4742788825675901</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3019.5712750137</v>
      </c>
      <c r="C35" s="39">
        <f>IF(ISERROR(B35*3.6/1000000/'E Balans VL '!Z22*100),0,B35*3.6/1000000/'E Balans VL '!Z22*100)</f>
        <v>0.4245820428565571</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4854.0054131523002</v>
      </c>
      <c r="C37" s="39">
        <f>IF(ISERROR(B37*3.6/1000000/'E Balans VL '!Z15*100),0,B37*3.6/1000000/'E Balans VL '!Z15*100)</f>
        <v>3.7406073655913412E-2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512.00704986933204</v>
      </c>
      <c r="C5" s="17">
        <f>'Eigen informatie GS &amp; warmtenet'!B60</f>
        <v>0</v>
      </c>
      <c r="D5" s="30">
        <f>IF(ISERROR(SUM(LB_lb_gas_kWh,LB_rest_gas_kWh)/1000),0,SUM(LB_lb_gas_kWh,LB_rest_gas_kWh)/1000)*0.902</f>
        <v>12295.175475971226</v>
      </c>
      <c r="E5" s="17">
        <f>B17*'E Balans VL '!I25/3.6*1000000/100</f>
        <v>6.4519484275439023</v>
      </c>
      <c r="F5" s="17">
        <f>B17*('E Balans VL '!L25/3.6*1000000+'E Balans VL '!N25/3.6*1000000)/100</f>
        <v>1766.5525874793614</v>
      </c>
      <c r="G5" s="18"/>
      <c r="H5" s="17"/>
      <c r="I5" s="17"/>
      <c r="J5" s="17">
        <f>('E Balans VL '!D25+'E Balans VL '!E25)/3.6*1000000*landbouw!B17/100</f>
        <v>77.000040009621785</v>
      </c>
      <c r="K5" s="17"/>
      <c r="L5" s="17">
        <f>L6*(-1)</f>
        <v>0</v>
      </c>
      <c r="M5" s="17"/>
      <c r="N5" s="17">
        <f>N6*(-1)</f>
        <v>0</v>
      </c>
      <c r="O5" s="17"/>
      <c r="P5" s="17"/>
      <c r="R5" s="32"/>
    </row>
    <row r="6" spans="1:18">
      <c r="A6" s="16" t="s">
        <v>496</v>
      </c>
      <c r="B6" s="17" t="s">
        <v>210</v>
      </c>
      <c r="C6" s="17">
        <f>'lokale energieproductie'!O41+'lokale energieproductie'!O34</f>
        <v>10131.428571428571</v>
      </c>
      <c r="D6" s="310">
        <f>('lokale energieproductie'!P34+'lokale energieproductie'!P41)*(-1)</f>
        <v>-20262.857142857141</v>
      </c>
      <c r="E6" s="250"/>
      <c r="F6" s="310">
        <f>('lokale energieproductie'!S34+'lokale energieproductie'!S41)*(-1)</f>
        <v>0</v>
      </c>
      <c r="G6" s="251"/>
      <c r="H6" s="250"/>
      <c r="I6" s="250"/>
      <c r="J6" s="250"/>
      <c r="K6" s="250"/>
      <c r="L6" s="310">
        <f>('lokale energieproductie'!T34+'lokale energieproductie'!U34+'lokale energieproductie'!T41+'lokale energieproductie'!U41)*(-1)</f>
        <v>0</v>
      </c>
      <c r="M6" s="250"/>
      <c r="N6" s="1030">
        <f>('lokale energieproductie'!V34+'lokale energieproductie'!R34+'lokale energieproductie'!Q34+'lokale energieproductie'!Q41+'lokale energieproductie'!R41+'lokale energieproductie'!V41)*(-1)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512.00704986933204</v>
      </c>
      <c r="C8" s="21">
        <f>C5+C6</f>
        <v>10131.428571428571</v>
      </c>
      <c r="D8" s="21">
        <f>MAX((D5+D6),0)</f>
        <v>0</v>
      </c>
      <c r="E8" s="21">
        <f>MAX((E5+E6),0)</f>
        <v>6.4519484275439023</v>
      </c>
      <c r="F8" s="21">
        <f>MAX((F5+F6),0)</f>
        <v>1766.5525874793614</v>
      </c>
      <c r="G8" s="21"/>
      <c r="H8" s="21"/>
      <c r="I8" s="21"/>
      <c r="J8" s="21">
        <f>MAX((J5+J6),0)</f>
        <v>77.000040009621785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0.21491860838890486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110.03984264322546</v>
      </c>
      <c r="C12" s="23">
        <f ca="1">C8*C10</f>
        <v>2407.7042016806727</v>
      </c>
      <c r="D12" s="23">
        <f>D8*D10</f>
        <v>0</v>
      </c>
      <c r="E12" s="23">
        <f>E8*E10</f>
        <v>1.464592293052466</v>
      </c>
      <c r="F12" s="23">
        <f>F8*F10</f>
        <v>471.6695408569895</v>
      </c>
      <c r="G12" s="23"/>
      <c r="H12" s="23"/>
      <c r="I12" s="23"/>
      <c r="J12" s="23">
        <f>J8*J10</f>
        <v>27.258014163406109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7.1408845931283577E-2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5.0771540024667736</v>
      </c>
      <c r="C26" s="249">
        <f>B26*'GWP N2O_CH4'!B5</f>
        <v>106.62023405180224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0.51487188915234794</v>
      </c>
      <c r="C27" s="249">
        <f>B27*'GWP N2O_CH4'!B5</f>
        <v>10.812309672199307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8.1964294095202894E-2</v>
      </c>
      <c r="C28" s="249">
        <f>B28*'GWP N2O_CH4'!B4</f>
        <v>25.408931169512897</v>
      </c>
      <c r="D28" s="50"/>
    </row>
    <row r="29" spans="1:4">
      <c r="A29" s="41" t="s">
        <v>276</v>
      </c>
      <c r="B29" s="249">
        <f>B34*'ha_N2O bodem landbouw'!B4</f>
        <v>1.9299462264398302</v>
      </c>
      <c r="C29" s="249">
        <f>B29*'GWP N2O_CH4'!B4</f>
        <v>598.28333019634738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4.818882881810948E-4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3.2611095900778953E-5</v>
      </c>
      <c r="C5" s="444" t="s">
        <v>210</v>
      </c>
      <c r="D5" s="429">
        <f>SUM(D6:D11)</f>
        <v>5.0010311979831377E-5</v>
      </c>
      <c r="E5" s="429">
        <f>SUM(E6:E11)</f>
        <v>2.1204385906191245E-3</v>
      </c>
      <c r="F5" s="442" t="s">
        <v>210</v>
      </c>
      <c r="G5" s="429">
        <f>SUM(G6:G11)</f>
        <v>0.76110501644774819</v>
      </c>
      <c r="H5" s="429">
        <f>SUM(H6:H11)</f>
        <v>9.5122025935328564E-2</v>
      </c>
      <c r="I5" s="444" t="s">
        <v>210</v>
      </c>
      <c r="J5" s="444" t="s">
        <v>210</v>
      </c>
      <c r="K5" s="444" t="s">
        <v>210</v>
      </c>
      <c r="L5" s="444" t="s">
        <v>210</v>
      </c>
      <c r="M5" s="429">
        <f>SUM(M6:M11)</f>
        <v>3.8700660112919172E-2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5.2651677301134004E-6</v>
      </c>
      <c r="C6" s="883"/>
      <c r="D6" s="883">
        <f>vkm_GW_PW*SUMIFS(TableVerdeelsleutelVkm[CNG],TableVerdeelsleutelVkm[Voertuigtype],"Lichte voertuigen")*SUMIFS(TableECFTransport[EnergieConsumptieFactor (PJ per km)],TableECFTransport[Index],CONCATENATE($A6,"_CNG_CNG"))</f>
        <v>7.80282174972226E-6</v>
      </c>
      <c r="E6" s="883">
        <f>vkm_GW_PW*SUMIFS(TableVerdeelsleutelVkm[LPG],TableVerdeelsleutelVkm[Voertuigtype],"Lichte voertuigen")*SUMIFS(TableECFTransport[EnergieConsumptieFactor (PJ per km)],TableECFTransport[Index],CONCATENATE($A6,"_LPG_LPG"))</f>
        <v>2.7946856326828439E-4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5.6243889076863313E-2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1.4368305384209515E-2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3.1944566572029514E-3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3.0772281946337278E-2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7.1497382284592169E-7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1.3894165614318861E-3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1.6950027499975001E-6</v>
      </c>
      <c r="C8" s="883"/>
      <c r="D8" s="432">
        <f>vkm_NGW_PW*SUMIFS(TableVerdeelsleutelVkm[CNG],TableVerdeelsleutelVkm[Voertuigtype],"Lichte voertuigen")*SUMIFS(TableECFTransport[EnergieConsumptieFactor (PJ per km)],TableECFTransport[Index],CONCATENATE($A8,"_CNG_CNG"))</f>
        <v>4.2628314139232858E-6</v>
      </c>
      <c r="E8" s="432">
        <f>vkm_NGW_PW*SUMIFS(TableVerdeelsleutelVkm[LPG],TableVerdeelsleutelVkm[Voertuigtype],"Lichte voertuigen")*SUMIFS(TableECFTransport[EnergieConsumptieFactor (PJ per km)],TableECFTransport[Index],CONCATENATE($A8,"_LPG_LPG"))</f>
        <v>1.4436770453568758E-4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2.7599360930135184E-2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7.5428479959831016E-3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1.5899854818172017E-3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1.324835914187671E-2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3.5678783234557333E-7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5.9818632669795928E-4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2.5650925420668051E-5</v>
      </c>
      <c r="C10" s="883"/>
      <c r="D10" s="432">
        <f>vkm_SW_PW*SUMIFS(TableVerdeelsleutelVkm[CNG],TableVerdeelsleutelVkm[Voertuigtype],"Lichte voertuigen")*SUMIFS(TableECFTransport[EnergieConsumptieFactor (PJ per km)],TableECFTransport[Index],CONCATENATE($A10,"_CNG_CNG"))</f>
        <v>3.7944658816185831E-5</v>
      </c>
      <c r="E10" s="432">
        <f>vkm_SW_PW*SUMIFS(TableVerdeelsleutelVkm[LPG],TableVerdeelsleutelVkm[Voertuigtype],"Lichte voertuigen")*SUMIFS(TableECFTransport[EnergieConsumptieFactor (PJ per km)],TableECFTransport[Index],CONCATENATE($A10,"_LPG_LPG"))</f>
        <v>1.6966023228151524E-3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0.30953196067068151</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7.3201778142206186E-2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1.7312618170901801E-2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0.32370916468185412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8.0226512745782435E-6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1.4615996914867372E-2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9.0586377502163753</v>
      </c>
      <c r="C14" s="21"/>
      <c r="D14" s="21">
        <f t="shared" ref="D14:M14" si="0">((D5)*10^9/3600)+D12</f>
        <v>13.891753327730939</v>
      </c>
      <c r="E14" s="21">
        <f t="shared" si="0"/>
        <v>589.01071961642344</v>
      </c>
      <c r="F14" s="21"/>
      <c r="G14" s="21">
        <f t="shared" si="0"/>
        <v>211418.06012437449</v>
      </c>
      <c r="H14" s="21">
        <f t="shared" si="0"/>
        <v>26422.784982035711</v>
      </c>
      <c r="I14" s="21"/>
      <c r="J14" s="21"/>
      <c r="K14" s="21"/>
      <c r="L14" s="21"/>
      <c r="M14" s="21">
        <f t="shared" si="0"/>
        <v>10750.183364699771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0.21491860838890486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1.9468698191757035</v>
      </c>
      <c r="C18" s="23"/>
      <c r="D18" s="23">
        <f t="shared" ref="D18:M18" si="1">D14*D16</f>
        <v>2.80613417220165</v>
      </c>
      <c r="E18" s="23">
        <f t="shared" si="1"/>
        <v>133.70543335292814</v>
      </c>
      <c r="F18" s="23"/>
      <c r="G18" s="23">
        <f t="shared" si="1"/>
        <v>56448.62205320799</v>
      </c>
      <c r="H18" s="23">
        <f t="shared" si="1"/>
        <v>6579.2734605268924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8.4486797395730857E-3</v>
      </c>
      <c r="H50" s="321">
        <f t="shared" si="2"/>
        <v>0</v>
      </c>
      <c r="I50" s="321">
        <f t="shared" si="2"/>
        <v>0</v>
      </c>
      <c r="J50" s="321">
        <f t="shared" si="2"/>
        <v>0</v>
      </c>
      <c r="K50" s="321">
        <f t="shared" si="2"/>
        <v>0</v>
      </c>
      <c r="L50" s="321">
        <f t="shared" si="2"/>
        <v>0</v>
      </c>
      <c r="M50" s="321">
        <f t="shared" si="2"/>
        <v>3.7605772473511199E-4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8.4486797395730857E-3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3.7605772473511199E-4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2346.8554832147461</v>
      </c>
      <c r="H54" s="21">
        <f t="shared" si="3"/>
        <v>0</v>
      </c>
      <c r="I54" s="21">
        <f t="shared" si="3"/>
        <v>0</v>
      </c>
      <c r="J54" s="21">
        <f t="shared" si="3"/>
        <v>0</v>
      </c>
      <c r="K54" s="21">
        <f t="shared" si="3"/>
        <v>0</v>
      </c>
      <c r="L54" s="21">
        <f t="shared" si="3"/>
        <v>0</v>
      </c>
      <c r="M54" s="21">
        <f t="shared" si="3"/>
        <v>104.46047909308666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0.21491860838890486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626.61041401833722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31009.687018452867</v>
      </c>
      <c r="D10" s="686">
        <f ca="1">tertiair!C16</f>
        <v>0</v>
      </c>
      <c r="E10" s="686">
        <f ca="1">tertiair!D16</f>
        <v>39297.723238663151</v>
      </c>
      <c r="F10" s="686">
        <f>tertiair!E16</f>
        <v>372.01334960401698</v>
      </c>
      <c r="G10" s="686">
        <f ca="1">tertiair!F16</f>
        <v>5726.7235222452864</v>
      </c>
      <c r="H10" s="686">
        <f>tertiair!G16</f>
        <v>0</v>
      </c>
      <c r="I10" s="686">
        <f>tertiair!H16</f>
        <v>0</v>
      </c>
      <c r="J10" s="686">
        <f>tertiair!I16</f>
        <v>0</v>
      </c>
      <c r="K10" s="686">
        <f>tertiair!J16</f>
        <v>0</v>
      </c>
      <c r="L10" s="686">
        <f>tertiair!K16</f>
        <v>0</v>
      </c>
      <c r="M10" s="686">
        <f ca="1">tertiair!L16</f>
        <v>0</v>
      </c>
      <c r="N10" s="686">
        <f>tertiair!M16</f>
        <v>0</v>
      </c>
      <c r="O10" s="686">
        <f ca="1">tertiair!N16</f>
        <v>2256.0338173004275</v>
      </c>
      <c r="P10" s="686">
        <f>tertiair!O16</f>
        <v>1.5633333333333335</v>
      </c>
      <c r="Q10" s="687">
        <f>tertiair!P16</f>
        <v>38.133333333333333</v>
      </c>
      <c r="R10" s="689">
        <f ca="1">SUM(C10:Q10)</f>
        <v>78701.877612932425</v>
      </c>
      <c r="S10" s="67"/>
    </row>
    <row r="11" spans="1:19" s="454" customFormat="1">
      <c r="A11" s="801" t="s">
        <v>224</v>
      </c>
      <c r="B11" s="806"/>
      <c r="C11" s="686">
        <f>huishoudens!B8</f>
        <v>22445.294372444099</v>
      </c>
      <c r="D11" s="686">
        <f>huishoudens!C8</f>
        <v>0</v>
      </c>
      <c r="E11" s="686">
        <f>huishoudens!D8</f>
        <v>70626.55380159842</v>
      </c>
      <c r="F11" s="686">
        <f>huishoudens!E8</f>
        <v>1551.6507087164769</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7634.9397482136619</v>
      </c>
      <c r="P11" s="686">
        <f>huishoudens!O8</f>
        <v>150.08000000000001</v>
      </c>
      <c r="Q11" s="687">
        <f>huishoudens!P8</f>
        <v>133.46666666666667</v>
      </c>
      <c r="R11" s="689">
        <f>SUM(C11:Q11)</f>
        <v>102541.98529763932</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46846.392636556731</v>
      </c>
      <c r="D13" s="686">
        <f>industrie!C18</f>
        <v>26987.142857142859</v>
      </c>
      <c r="E13" s="686">
        <f>industrie!D18</f>
        <v>20090.146380797472</v>
      </c>
      <c r="F13" s="686">
        <f>industrie!E18</f>
        <v>2162.9875418854649</v>
      </c>
      <c r="G13" s="686">
        <f>industrie!F18</f>
        <v>29659.461579801231</v>
      </c>
      <c r="H13" s="686">
        <f>industrie!G18</f>
        <v>0</v>
      </c>
      <c r="I13" s="686">
        <f>industrie!H18</f>
        <v>0</v>
      </c>
      <c r="J13" s="686">
        <f>industrie!I18</f>
        <v>0</v>
      </c>
      <c r="K13" s="686">
        <f>industrie!J18</f>
        <v>12.683355568314957</v>
      </c>
      <c r="L13" s="686">
        <f>industrie!K18</f>
        <v>0</v>
      </c>
      <c r="M13" s="686">
        <f>industrie!L18</f>
        <v>0</v>
      </c>
      <c r="N13" s="686">
        <f>industrie!M18</f>
        <v>0</v>
      </c>
      <c r="O13" s="686">
        <f>industrie!N18</f>
        <v>6284.5712673661847</v>
      </c>
      <c r="P13" s="686">
        <f>industrie!O18</f>
        <v>0</v>
      </c>
      <c r="Q13" s="687">
        <f>industrie!P18</f>
        <v>0</v>
      </c>
      <c r="R13" s="689">
        <f>SUM(C13:Q13)</f>
        <v>132043.38561911826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100301.3740274537</v>
      </c>
      <c r="D16" s="721">
        <f t="shared" ref="D16:R16" ca="1" si="0">SUM(D9:D15)</f>
        <v>26987.142857142859</v>
      </c>
      <c r="E16" s="721">
        <f t="shared" ca="1" si="0"/>
        <v>130014.42342105904</v>
      </c>
      <c r="F16" s="721">
        <f t="shared" si="0"/>
        <v>4086.6516002059589</v>
      </c>
      <c r="G16" s="721">
        <f t="shared" ca="1" si="0"/>
        <v>35386.185102046518</v>
      </c>
      <c r="H16" s="721">
        <f t="shared" si="0"/>
        <v>0</v>
      </c>
      <c r="I16" s="721">
        <f t="shared" si="0"/>
        <v>0</v>
      </c>
      <c r="J16" s="721">
        <f t="shared" si="0"/>
        <v>0</v>
      </c>
      <c r="K16" s="721">
        <f t="shared" si="0"/>
        <v>12.683355568314957</v>
      </c>
      <c r="L16" s="721">
        <f t="shared" si="0"/>
        <v>0</v>
      </c>
      <c r="M16" s="721">
        <f t="shared" ca="1" si="0"/>
        <v>0</v>
      </c>
      <c r="N16" s="721">
        <f t="shared" si="0"/>
        <v>0</v>
      </c>
      <c r="O16" s="721">
        <f t="shared" ca="1" si="0"/>
        <v>16175.544832880274</v>
      </c>
      <c r="P16" s="721">
        <f t="shared" si="0"/>
        <v>151.64333333333335</v>
      </c>
      <c r="Q16" s="721">
        <f t="shared" si="0"/>
        <v>171.6</v>
      </c>
      <c r="R16" s="721">
        <f t="shared" ca="1" si="0"/>
        <v>313287.24852968997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2346.8554832147461</v>
      </c>
      <c r="I19" s="686">
        <f>transport!H54</f>
        <v>0</v>
      </c>
      <c r="J19" s="686">
        <f>transport!I54</f>
        <v>0</v>
      </c>
      <c r="K19" s="686">
        <f>transport!J54</f>
        <v>0</v>
      </c>
      <c r="L19" s="686">
        <f>transport!K54</f>
        <v>0</v>
      </c>
      <c r="M19" s="686">
        <f>transport!L54</f>
        <v>0</v>
      </c>
      <c r="N19" s="686">
        <f>transport!M54</f>
        <v>104.46047909308666</v>
      </c>
      <c r="O19" s="686">
        <f>transport!N54</f>
        <v>0</v>
      </c>
      <c r="P19" s="686">
        <f>transport!O54</f>
        <v>0</v>
      </c>
      <c r="Q19" s="687">
        <f>transport!P54</f>
        <v>0</v>
      </c>
      <c r="R19" s="689">
        <f>SUM(C19:Q19)</f>
        <v>2451.3159623078327</v>
      </c>
      <c r="S19" s="67"/>
    </row>
    <row r="20" spans="1:19" s="454" customFormat="1">
      <c r="A20" s="801" t="s">
        <v>306</v>
      </c>
      <c r="B20" s="806"/>
      <c r="C20" s="686">
        <f>transport!B14</f>
        <v>9.0586377502163753</v>
      </c>
      <c r="D20" s="686">
        <f>transport!C14</f>
        <v>0</v>
      </c>
      <c r="E20" s="686">
        <f>transport!D14</f>
        <v>13.891753327730939</v>
      </c>
      <c r="F20" s="686">
        <f>transport!E14</f>
        <v>589.01071961642344</v>
      </c>
      <c r="G20" s="686">
        <f>transport!F14</f>
        <v>0</v>
      </c>
      <c r="H20" s="686">
        <f>transport!G14</f>
        <v>211418.06012437449</v>
      </c>
      <c r="I20" s="686">
        <f>transport!H14</f>
        <v>26422.784982035711</v>
      </c>
      <c r="J20" s="686">
        <f>transport!I14</f>
        <v>0</v>
      </c>
      <c r="K20" s="686">
        <f>transport!J14</f>
        <v>0</v>
      </c>
      <c r="L20" s="686">
        <f>transport!K14</f>
        <v>0</v>
      </c>
      <c r="M20" s="686">
        <f>transport!L14</f>
        <v>0</v>
      </c>
      <c r="N20" s="686">
        <f>transport!M14</f>
        <v>10750.183364699771</v>
      </c>
      <c r="O20" s="686">
        <f>transport!N14</f>
        <v>0</v>
      </c>
      <c r="P20" s="686">
        <f>transport!O14</f>
        <v>0</v>
      </c>
      <c r="Q20" s="687">
        <f>transport!P14</f>
        <v>0</v>
      </c>
      <c r="R20" s="689">
        <f>SUM(C20:Q20)</f>
        <v>249202.98958180434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9.0586377502163753</v>
      </c>
      <c r="D22" s="804">
        <f t="shared" ref="D22:R22" si="1">SUM(D18:D21)</f>
        <v>0</v>
      </c>
      <c r="E22" s="804">
        <f t="shared" si="1"/>
        <v>13.891753327730939</v>
      </c>
      <c r="F22" s="804">
        <f t="shared" si="1"/>
        <v>589.01071961642344</v>
      </c>
      <c r="G22" s="804">
        <f t="shared" si="1"/>
        <v>0</v>
      </c>
      <c r="H22" s="804">
        <f t="shared" si="1"/>
        <v>213764.91560758924</v>
      </c>
      <c r="I22" s="804">
        <f t="shared" si="1"/>
        <v>26422.784982035711</v>
      </c>
      <c r="J22" s="804">
        <f t="shared" si="1"/>
        <v>0</v>
      </c>
      <c r="K22" s="804">
        <f t="shared" si="1"/>
        <v>0</v>
      </c>
      <c r="L22" s="804">
        <f t="shared" si="1"/>
        <v>0</v>
      </c>
      <c r="M22" s="804">
        <f t="shared" si="1"/>
        <v>0</v>
      </c>
      <c r="N22" s="804">
        <f t="shared" si="1"/>
        <v>10854.643843792857</v>
      </c>
      <c r="O22" s="804">
        <f t="shared" si="1"/>
        <v>0</v>
      </c>
      <c r="P22" s="804">
        <f t="shared" si="1"/>
        <v>0</v>
      </c>
      <c r="Q22" s="804">
        <f t="shared" si="1"/>
        <v>0</v>
      </c>
      <c r="R22" s="804">
        <f t="shared" si="1"/>
        <v>251654.30554411217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512.00704986933204</v>
      </c>
      <c r="D24" s="686">
        <f>+landbouw!C8</f>
        <v>10131.428571428571</v>
      </c>
      <c r="E24" s="686">
        <f>+landbouw!D8</f>
        <v>0</v>
      </c>
      <c r="F24" s="686">
        <f>+landbouw!E8</f>
        <v>6.4519484275439023</v>
      </c>
      <c r="G24" s="686">
        <f>+landbouw!F8</f>
        <v>1766.5525874793614</v>
      </c>
      <c r="H24" s="686">
        <f>+landbouw!G8</f>
        <v>0</v>
      </c>
      <c r="I24" s="686">
        <f>+landbouw!H8</f>
        <v>0</v>
      </c>
      <c r="J24" s="686">
        <f>+landbouw!I8</f>
        <v>0</v>
      </c>
      <c r="K24" s="686">
        <f>+landbouw!J8</f>
        <v>77.000040009621785</v>
      </c>
      <c r="L24" s="686">
        <f>+landbouw!K8</f>
        <v>0</v>
      </c>
      <c r="M24" s="686">
        <f>+landbouw!L8</f>
        <v>0</v>
      </c>
      <c r="N24" s="686">
        <f>+landbouw!M8</f>
        <v>0</v>
      </c>
      <c r="O24" s="686">
        <f>+landbouw!N8</f>
        <v>0</v>
      </c>
      <c r="P24" s="686">
        <f>+landbouw!O8</f>
        <v>0</v>
      </c>
      <c r="Q24" s="687">
        <f>+landbouw!P8</f>
        <v>0</v>
      </c>
      <c r="R24" s="689">
        <f>SUM(C24:Q24)</f>
        <v>12493.44019721443</v>
      </c>
      <c r="S24" s="67"/>
    </row>
    <row r="25" spans="1:19" s="454" customFormat="1" ht="15" thickBot="1">
      <c r="A25" s="823" t="s">
        <v>856</v>
      </c>
      <c r="B25" s="991"/>
      <c r="C25" s="992">
        <f>IF(Onbekend_ele_kWh="---",0,Onbekend_ele_kWh)/1000+IF(REST_rest_ele_kWh="---",0,REST_rest_ele_kWh)/1000</f>
        <v>840.91194107375702</v>
      </c>
      <c r="D25" s="992"/>
      <c r="E25" s="992">
        <f>IF(onbekend_gas_kWh="---",0,onbekend_gas_kWh)/1000+IF(REST_rest_gas_kWh="---",0,REST_rest_gas_kWh)/1000</f>
        <v>4522.0656537813502</v>
      </c>
      <c r="F25" s="992"/>
      <c r="G25" s="992"/>
      <c r="H25" s="992"/>
      <c r="I25" s="992"/>
      <c r="J25" s="992"/>
      <c r="K25" s="992"/>
      <c r="L25" s="992"/>
      <c r="M25" s="992"/>
      <c r="N25" s="992"/>
      <c r="O25" s="992"/>
      <c r="P25" s="992"/>
      <c r="Q25" s="993"/>
      <c r="R25" s="689">
        <f>SUM(C25:Q25)</f>
        <v>5362.9775948551069</v>
      </c>
      <c r="S25" s="67"/>
    </row>
    <row r="26" spans="1:19" s="454" customFormat="1" ht="15.75" thickBot="1">
      <c r="A26" s="694" t="s">
        <v>857</v>
      </c>
      <c r="B26" s="809"/>
      <c r="C26" s="804">
        <f>SUM(C24:C25)</f>
        <v>1352.9189909430891</v>
      </c>
      <c r="D26" s="804">
        <f t="shared" ref="D26:R26" si="2">SUM(D24:D25)</f>
        <v>10131.428571428571</v>
      </c>
      <c r="E26" s="804">
        <f t="shared" si="2"/>
        <v>4522.0656537813502</v>
      </c>
      <c r="F26" s="804">
        <f t="shared" si="2"/>
        <v>6.4519484275439023</v>
      </c>
      <c r="G26" s="804">
        <f t="shared" si="2"/>
        <v>1766.5525874793614</v>
      </c>
      <c r="H26" s="804">
        <f t="shared" si="2"/>
        <v>0</v>
      </c>
      <c r="I26" s="804">
        <f t="shared" si="2"/>
        <v>0</v>
      </c>
      <c r="J26" s="804">
        <f t="shared" si="2"/>
        <v>0</v>
      </c>
      <c r="K26" s="804">
        <f t="shared" si="2"/>
        <v>77.000040009621785</v>
      </c>
      <c r="L26" s="804">
        <f t="shared" si="2"/>
        <v>0</v>
      </c>
      <c r="M26" s="804">
        <f t="shared" si="2"/>
        <v>0</v>
      </c>
      <c r="N26" s="804">
        <f t="shared" si="2"/>
        <v>0</v>
      </c>
      <c r="O26" s="804">
        <f t="shared" si="2"/>
        <v>0</v>
      </c>
      <c r="P26" s="804">
        <f t="shared" si="2"/>
        <v>0</v>
      </c>
      <c r="Q26" s="804">
        <f t="shared" si="2"/>
        <v>0</v>
      </c>
      <c r="R26" s="804">
        <f t="shared" si="2"/>
        <v>17856.417792069537</v>
      </c>
      <c r="S26" s="67"/>
    </row>
    <row r="27" spans="1:19" s="454" customFormat="1" ht="17.25" thickTop="1" thickBot="1">
      <c r="A27" s="695" t="s">
        <v>115</v>
      </c>
      <c r="B27" s="796"/>
      <c r="C27" s="696">
        <f ca="1">C22+C16+C26</f>
        <v>101663.351656147</v>
      </c>
      <c r="D27" s="696">
        <f t="shared" ref="D27:R27" ca="1" si="3">D22+D16+D26</f>
        <v>37118.571428571428</v>
      </c>
      <c r="E27" s="696">
        <f t="shared" ca="1" si="3"/>
        <v>134550.38082816813</v>
      </c>
      <c r="F27" s="696">
        <f t="shared" si="3"/>
        <v>4682.1142682499267</v>
      </c>
      <c r="G27" s="696">
        <f t="shared" ca="1" si="3"/>
        <v>37152.737689525879</v>
      </c>
      <c r="H27" s="696">
        <f t="shared" si="3"/>
        <v>213764.91560758924</v>
      </c>
      <c r="I27" s="696">
        <f t="shared" si="3"/>
        <v>26422.784982035711</v>
      </c>
      <c r="J27" s="696">
        <f t="shared" si="3"/>
        <v>0</v>
      </c>
      <c r="K27" s="696">
        <f t="shared" si="3"/>
        <v>89.683395577936736</v>
      </c>
      <c r="L27" s="696">
        <f t="shared" si="3"/>
        <v>0</v>
      </c>
      <c r="M27" s="696">
        <f t="shared" ca="1" si="3"/>
        <v>0</v>
      </c>
      <c r="N27" s="696">
        <f t="shared" si="3"/>
        <v>10854.643843792857</v>
      </c>
      <c r="O27" s="696">
        <f t="shared" ca="1" si="3"/>
        <v>16175.544832880274</v>
      </c>
      <c r="P27" s="696">
        <f t="shared" si="3"/>
        <v>151.64333333333335</v>
      </c>
      <c r="Q27" s="696">
        <f t="shared" si="3"/>
        <v>171.6</v>
      </c>
      <c r="R27" s="696">
        <f t="shared" ca="1" si="3"/>
        <v>582797.97186587169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6664.5587805813784</v>
      </c>
      <c r="D40" s="686">
        <f ca="1">tertiair!C20</f>
        <v>0</v>
      </c>
      <c r="E40" s="686">
        <f ca="1">tertiair!D20</f>
        <v>7938.1400942099572</v>
      </c>
      <c r="F40" s="686">
        <f>tertiair!E20</f>
        <v>84.447030360111853</v>
      </c>
      <c r="G40" s="686">
        <f ca="1">tertiair!F20</f>
        <v>1529.0351804394916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16216.181085590939</v>
      </c>
    </row>
    <row r="41" spans="1:18">
      <c r="A41" s="814" t="s">
        <v>224</v>
      </c>
      <c r="B41" s="821"/>
      <c r="C41" s="686">
        <f ca="1">huishoudens!B12</f>
        <v>4823.9114314050039</v>
      </c>
      <c r="D41" s="686">
        <f ca="1">huishoudens!C12</f>
        <v>0</v>
      </c>
      <c r="E41" s="686">
        <f>huishoudens!D12</f>
        <v>14266.563867922881</v>
      </c>
      <c r="F41" s="686">
        <f>huishoudens!E12</f>
        <v>352.22471087864028</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19442.700010206525</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10068.161513489013</v>
      </c>
      <c r="D43" s="686">
        <f ca="1">industrie!C22</f>
        <v>6413.4151260504223</v>
      </c>
      <c r="E43" s="686">
        <f>industrie!D22</f>
        <v>4058.2095689210896</v>
      </c>
      <c r="F43" s="686">
        <f>industrie!E22</f>
        <v>490.99817200800055</v>
      </c>
      <c r="G43" s="686">
        <f>industrie!F22</f>
        <v>7919.0762418069289</v>
      </c>
      <c r="H43" s="686">
        <f>industrie!G22</f>
        <v>0</v>
      </c>
      <c r="I43" s="686">
        <f>industrie!H22</f>
        <v>0</v>
      </c>
      <c r="J43" s="686">
        <f>industrie!I22</f>
        <v>0</v>
      </c>
      <c r="K43" s="686">
        <f>industrie!J22</f>
        <v>4.4899078711834948</v>
      </c>
      <c r="L43" s="686">
        <f>industrie!K22</f>
        <v>0</v>
      </c>
      <c r="M43" s="686">
        <f>industrie!L22</f>
        <v>0</v>
      </c>
      <c r="N43" s="686">
        <f>industrie!M22</f>
        <v>0</v>
      </c>
      <c r="O43" s="686">
        <f>industrie!N22</f>
        <v>0</v>
      </c>
      <c r="P43" s="686">
        <f>industrie!O22</f>
        <v>0</v>
      </c>
      <c r="Q43" s="763">
        <f>industrie!P22</f>
        <v>0</v>
      </c>
      <c r="R43" s="841">
        <f t="shared" ca="1" si="4"/>
        <v>28954.350530146636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21556.631725475396</v>
      </c>
      <c r="D46" s="721">
        <f t="shared" ref="D46:Q46" ca="1" si="5">SUM(D39:D45)</f>
        <v>6413.4151260504223</v>
      </c>
      <c r="E46" s="721">
        <f t="shared" ca="1" si="5"/>
        <v>26262.913531053928</v>
      </c>
      <c r="F46" s="721">
        <f t="shared" si="5"/>
        <v>927.66991324675269</v>
      </c>
      <c r="G46" s="721">
        <f t="shared" ca="1" si="5"/>
        <v>9448.1114222464203</v>
      </c>
      <c r="H46" s="721">
        <f t="shared" si="5"/>
        <v>0</v>
      </c>
      <c r="I46" s="721">
        <f t="shared" si="5"/>
        <v>0</v>
      </c>
      <c r="J46" s="721">
        <f t="shared" si="5"/>
        <v>0</v>
      </c>
      <c r="K46" s="721">
        <f t="shared" si="5"/>
        <v>4.4899078711834948</v>
      </c>
      <c r="L46" s="721">
        <f t="shared" si="5"/>
        <v>0</v>
      </c>
      <c r="M46" s="721">
        <f t="shared" ca="1" si="5"/>
        <v>0</v>
      </c>
      <c r="N46" s="721">
        <f t="shared" si="5"/>
        <v>0</v>
      </c>
      <c r="O46" s="721">
        <f t="shared" ca="1" si="5"/>
        <v>0</v>
      </c>
      <c r="P46" s="721">
        <f t="shared" si="5"/>
        <v>0</v>
      </c>
      <c r="Q46" s="721">
        <f t="shared" si="5"/>
        <v>0</v>
      </c>
      <c r="R46" s="721">
        <f ca="1">SUM(R39:R45)</f>
        <v>64613.2316259441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626.61041401833722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626.61041401833722</v>
      </c>
    </row>
    <row r="50" spans="1:18">
      <c r="A50" s="817" t="s">
        <v>306</v>
      </c>
      <c r="B50" s="827"/>
      <c r="C50" s="692">
        <f ca="1">transport!B18</f>
        <v>1.9468698191757035</v>
      </c>
      <c r="D50" s="692">
        <f>transport!C18</f>
        <v>0</v>
      </c>
      <c r="E50" s="692">
        <f>transport!D18</f>
        <v>2.80613417220165</v>
      </c>
      <c r="F50" s="692">
        <f>transport!E18</f>
        <v>133.70543335292814</v>
      </c>
      <c r="G50" s="692">
        <f>transport!F18</f>
        <v>0</v>
      </c>
      <c r="H50" s="692">
        <f>transport!G18</f>
        <v>56448.62205320799</v>
      </c>
      <c r="I50" s="692">
        <f>transport!H18</f>
        <v>6579.2734605268924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63166.353951079189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1.9468698191757035</v>
      </c>
      <c r="D52" s="721">
        <f t="shared" ref="D52:Q52" ca="1" si="6">SUM(D48:D51)</f>
        <v>0</v>
      </c>
      <c r="E52" s="721">
        <f t="shared" si="6"/>
        <v>2.80613417220165</v>
      </c>
      <c r="F52" s="721">
        <f t="shared" si="6"/>
        <v>133.70543335292814</v>
      </c>
      <c r="G52" s="721">
        <f t="shared" si="6"/>
        <v>0</v>
      </c>
      <c r="H52" s="721">
        <f t="shared" si="6"/>
        <v>57075.232467226328</v>
      </c>
      <c r="I52" s="721">
        <f t="shared" si="6"/>
        <v>6579.2734605268924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63792.964365097527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110.03984264322546</v>
      </c>
      <c r="D54" s="692">
        <f ca="1">+landbouw!C12</f>
        <v>2407.7042016806727</v>
      </c>
      <c r="E54" s="692">
        <f>+landbouw!D12</f>
        <v>0</v>
      </c>
      <c r="F54" s="692">
        <f>+landbouw!E12</f>
        <v>1.464592293052466</v>
      </c>
      <c r="G54" s="692">
        <f>+landbouw!F12</f>
        <v>471.6695408569895</v>
      </c>
      <c r="H54" s="692">
        <f>+landbouw!G12</f>
        <v>0</v>
      </c>
      <c r="I54" s="692">
        <f>+landbouw!H12</f>
        <v>0</v>
      </c>
      <c r="J54" s="692">
        <f>+landbouw!I12</f>
        <v>0</v>
      </c>
      <c r="K54" s="692">
        <f>+landbouw!J12</f>
        <v>27.258014163406109</v>
      </c>
      <c r="L54" s="692">
        <f>+landbouw!K12</f>
        <v>0</v>
      </c>
      <c r="M54" s="692">
        <f>+landbouw!L12</f>
        <v>0</v>
      </c>
      <c r="N54" s="692">
        <f>+landbouw!M12</f>
        <v>0</v>
      </c>
      <c r="O54" s="692">
        <f>+landbouw!N12</f>
        <v>0</v>
      </c>
      <c r="P54" s="692">
        <f>+landbouw!O12</f>
        <v>0</v>
      </c>
      <c r="Q54" s="693">
        <f>+landbouw!P12</f>
        <v>0</v>
      </c>
      <c r="R54" s="720">
        <f ca="1">SUM(C54:Q54)</f>
        <v>3018.1361916373462</v>
      </c>
    </row>
    <row r="55" spans="1:18" ht="15" thickBot="1">
      <c r="A55" s="817" t="s">
        <v>856</v>
      </c>
      <c r="B55" s="827"/>
      <c r="C55" s="692">
        <f ca="1">C25*'EF ele_warmte'!B12</f>
        <v>180.72762415318462</v>
      </c>
      <c r="D55" s="692"/>
      <c r="E55" s="692">
        <f>E25*EF_CO2_aardgas</f>
        <v>913.45726206383279</v>
      </c>
      <c r="F55" s="692"/>
      <c r="G55" s="692"/>
      <c r="H55" s="692"/>
      <c r="I55" s="692"/>
      <c r="J55" s="692"/>
      <c r="K55" s="692"/>
      <c r="L55" s="692"/>
      <c r="M55" s="692"/>
      <c r="N55" s="692"/>
      <c r="O55" s="692"/>
      <c r="P55" s="692"/>
      <c r="Q55" s="693"/>
      <c r="R55" s="720">
        <f ca="1">SUM(C55:Q55)</f>
        <v>1094.1848862170175</v>
      </c>
    </row>
    <row r="56" spans="1:18" ht="15.75" thickBot="1">
      <c r="A56" s="815" t="s">
        <v>857</v>
      </c>
      <c r="B56" s="828"/>
      <c r="C56" s="721">
        <f ca="1">SUM(C54:C55)</f>
        <v>290.76746679641008</v>
      </c>
      <c r="D56" s="721">
        <f t="shared" ref="D56:Q56" ca="1" si="7">SUM(D54:D55)</f>
        <v>2407.7042016806727</v>
      </c>
      <c r="E56" s="721">
        <f t="shared" si="7"/>
        <v>913.45726206383279</v>
      </c>
      <c r="F56" s="721">
        <f t="shared" si="7"/>
        <v>1.464592293052466</v>
      </c>
      <c r="G56" s="721">
        <f t="shared" si="7"/>
        <v>471.6695408569895</v>
      </c>
      <c r="H56" s="721">
        <f t="shared" si="7"/>
        <v>0</v>
      </c>
      <c r="I56" s="721">
        <f t="shared" si="7"/>
        <v>0</v>
      </c>
      <c r="J56" s="721">
        <f t="shared" si="7"/>
        <v>0</v>
      </c>
      <c r="K56" s="721">
        <f t="shared" si="7"/>
        <v>27.258014163406109</v>
      </c>
      <c r="L56" s="721">
        <f t="shared" si="7"/>
        <v>0</v>
      </c>
      <c r="M56" s="721">
        <f t="shared" si="7"/>
        <v>0</v>
      </c>
      <c r="N56" s="721">
        <f t="shared" si="7"/>
        <v>0</v>
      </c>
      <c r="O56" s="721">
        <f t="shared" si="7"/>
        <v>0</v>
      </c>
      <c r="P56" s="721">
        <f t="shared" si="7"/>
        <v>0</v>
      </c>
      <c r="Q56" s="722">
        <f t="shared" si="7"/>
        <v>0</v>
      </c>
      <c r="R56" s="723">
        <f ca="1">SUM(R54:R55)</f>
        <v>4112.3210778543635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21849.346062090979</v>
      </c>
      <c r="D61" s="729">
        <f t="shared" ref="D61:Q61" ca="1" si="8">D46+D52+D56</f>
        <v>8821.1193277310958</v>
      </c>
      <c r="E61" s="729">
        <f t="shared" ca="1" si="8"/>
        <v>27179.176927289962</v>
      </c>
      <c r="F61" s="729">
        <f t="shared" si="8"/>
        <v>1062.8399388927332</v>
      </c>
      <c r="G61" s="729">
        <f t="shared" ca="1" si="8"/>
        <v>9919.7809631034106</v>
      </c>
      <c r="H61" s="729">
        <f t="shared" si="8"/>
        <v>57075.232467226328</v>
      </c>
      <c r="I61" s="729">
        <f t="shared" si="8"/>
        <v>6579.2734605268924</v>
      </c>
      <c r="J61" s="729">
        <f t="shared" si="8"/>
        <v>0</v>
      </c>
      <c r="K61" s="729">
        <f t="shared" si="8"/>
        <v>31.747922034589603</v>
      </c>
      <c r="L61" s="729">
        <f t="shared" si="8"/>
        <v>0</v>
      </c>
      <c r="M61" s="729">
        <f t="shared" ca="1" si="8"/>
        <v>0</v>
      </c>
      <c r="N61" s="729">
        <f t="shared" si="8"/>
        <v>0</v>
      </c>
      <c r="O61" s="729">
        <f t="shared" ca="1" si="8"/>
        <v>0</v>
      </c>
      <c r="P61" s="729">
        <f t="shared" si="8"/>
        <v>0</v>
      </c>
      <c r="Q61" s="729">
        <f t="shared" si="8"/>
        <v>0</v>
      </c>
      <c r="R61" s="729">
        <f ca="1">R46+R52+R56</f>
        <v>132518.51706889601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0.21491860838890486</v>
      </c>
      <c r="D63" s="772">
        <f t="shared" ca="1" si="9"/>
        <v>0.23764705882352952</v>
      </c>
      <c r="E63" s="998">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4754.7293363315566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25983</v>
      </c>
      <c r="D76" s="1008">
        <f>'lokale energieproductie'!C8</f>
        <v>30568.235294117643</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6174.783529411764</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4754.7293363315566</v>
      </c>
      <c r="C78" s="744">
        <f>SUM(C72:C77)</f>
        <v>25983</v>
      </c>
      <c r="D78" s="745">
        <f t="shared" ref="D78:H78" si="10">SUM(D76:D77)</f>
        <v>30568.235294117643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6174.783529411764</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37118.571428571428</v>
      </c>
      <c r="D87" s="766">
        <f>'lokale energieproductie'!C17</f>
        <v>43668.907563025212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8821.119327731094</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37118.571428571428</v>
      </c>
      <c r="D90" s="744">
        <f t="shared" ref="D90:H90" si="12">SUM(D87:D89)</f>
        <v>43668.907563025212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8821.119327731094</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67"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4754.7293363315566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N31</f>
        <v>25983</v>
      </c>
      <c r="C8" s="556">
        <f>B50</f>
        <v>30568.235294117643</v>
      </c>
      <c r="D8" s="1015"/>
      <c r="E8" s="1015">
        <f>E50</f>
        <v>0</v>
      </c>
      <c r="F8" s="1016"/>
      <c r="G8" s="557"/>
      <c r="H8" s="1015">
        <f>I50</f>
        <v>0</v>
      </c>
      <c r="I8" s="1015">
        <f>G50+F50</f>
        <v>0</v>
      </c>
      <c r="J8" s="1015">
        <f>H50+D50+C50</f>
        <v>0</v>
      </c>
      <c r="K8" s="1015"/>
      <c r="L8" s="1015"/>
      <c r="M8" s="1015"/>
      <c r="N8" s="558"/>
      <c r="O8" s="559">
        <f>C8*$C$12+D8*$D$12+E8*$E$12+F8*$F$12+G8*$G$12+H8*$H$12+I8*$I$12+J8*$J$12</f>
        <v>6174.783529411764</v>
      </c>
      <c r="P8" s="1254"/>
      <c r="Q8" s="1255"/>
      <c r="S8" s="1027"/>
      <c r="T8" s="1275"/>
      <c r="U8" s="1275"/>
    </row>
    <row r="9" spans="1:21" s="544" customFormat="1" ht="17.45" customHeight="1" thickBot="1">
      <c r="A9" s="560" t="s">
        <v>247</v>
      </c>
      <c r="B9" s="561">
        <f>N38+'Eigen informatie GS &amp; warmtenet'!B12</f>
        <v>0</v>
      </c>
      <c r="C9" s="562">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30737.729336331555</v>
      </c>
      <c r="C10" s="569">
        <f t="shared" ref="C10:L10" si="0">SUM(C8:C9)</f>
        <v>30568.235294117643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6174.783529411764</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O31</f>
        <v>37118.571428571428</v>
      </c>
      <c r="C17" s="581">
        <f>B51</f>
        <v>43668.907563025212</v>
      </c>
      <c r="D17" s="582"/>
      <c r="E17" s="582">
        <f>E51</f>
        <v>0</v>
      </c>
      <c r="F17" s="1021"/>
      <c r="G17" s="583"/>
      <c r="H17" s="581">
        <f>I51</f>
        <v>0</v>
      </c>
      <c r="I17" s="582">
        <f>G51+F51</f>
        <v>0</v>
      </c>
      <c r="J17" s="582">
        <f>H51+D51+C51</f>
        <v>0</v>
      </c>
      <c r="K17" s="582"/>
      <c r="L17" s="582"/>
      <c r="M17" s="582"/>
      <c r="N17" s="1022"/>
      <c r="O17" s="584">
        <f>C17*$C$22+E17*$E$22+H17*$H$22+I17*$I$22+J17*$J$22+D17*$D$22+F17*$F$22+G17*$G$22+K17*$K$22+L17*$L$22</f>
        <v>8821.119327731094</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37118.571428571428</v>
      </c>
      <c r="C20" s="568">
        <f>SUM(C17:C19)</f>
        <v>43668.907563025212</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8821.119327731094</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11052</v>
      </c>
      <c r="C28" s="787">
        <v>2160</v>
      </c>
      <c r="D28" s="640" t="s">
        <v>920</v>
      </c>
      <c r="E28" s="639" t="s">
        <v>921</v>
      </c>
      <c r="F28" s="639" t="s">
        <v>922</v>
      </c>
      <c r="G28" s="639" t="s">
        <v>923</v>
      </c>
      <c r="H28" s="639" t="s">
        <v>924</v>
      </c>
      <c r="I28" s="639" t="s">
        <v>921</v>
      </c>
      <c r="J28" s="786">
        <v>39750</v>
      </c>
      <c r="K28" s="786">
        <v>39750</v>
      </c>
      <c r="L28" s="639" t="s">
        <v>925</v>
      </c>
      <c r="M28" s="639">
        <v>290</v>
      </c>
      <c r="N28" s="639">
        <v>1305</v>
      </c>
      <c r="O28" s="639">
        <v>1864.2857142857142</v>
      </c>
      <c r="P28" s="639">
        <v>3728.5714285714289</v>
      </c>
      <c r="Q28" s="639">
        <v>0</v>
      </c>
      <c r="R28" s="639">
        <v>0</v>
      </c>
      <c r="S28" s="639">
        <v>0</v>
      </c>
      <c r="T28" s="639">
        <v>0</v>
      </c>
      <c r="U28" s="639">
        <v>0</v>
      </c>
      <c r="V28" s="639">
        <v>0</v>
      </c>
      <c r="W28" s="639">
        <v>0</v>
      </c>
      <c r="X28" s="639">
        <v>10</v>
      </c>
      <c r="Y28" s="639" t="s">
        <v>111</v>
      </c>
      <c r="Z28" s="641" t="s">
        <v>111</v>
      </c>
    </row>
    <row r="29" spans="1:26" s="593" customFormat="1" ht="38.25">
      <c r="A29" s="592"/>
      <c r="B29" s="787">
        <v>11052</v>
      </c>
      <c r="C29" s="787">
        <v>2160</v>
      </c>
      <c r="D29" s="640" t="s">
        <v>926</v>
      </c>
      <c r="E29" s="639" t="s">
        <v>927</v>
      </c>
      <c r="F29" s="639" t="s">
        <v>928</v>
      </c>
      <c r="G29" s="639" t="s">
        <v>923</v>
      </c>
      <c r="H29" s="639" t="s">
        <v>924</v>
      </c>
      <c r="I29" s="639" t="s">
        <v>927</v>
      </c>
      <c r="J29" s="786">
        <v>40246</v>
      </c>
      <c r="K29" s="786">
        <v>39468</v>
      </c>
      <c r="L29" s="639" t="s">
        <v>929</v>
      </c>
      <c r="M29" s="639">
        <v>4198</v>
      </c>
      <c r="N29" s="639">
        <v>18891</v>
      </c>
      <c r="O29" s="639">
        <v>26987.142857142859</v>
      </c>
      <c r="P29" s="639">
        <v>53974.285714285717</v>
      </c>
      <c r="Q29" s="639">
        <v>0</v>
      </c>
      <c r="R29" s="639">
        <v>0</v>
      </c>
      <c r="S29" s="639">
        <v>0</v>
      </c>
      <c r="T29" s="639">
        <v>0</v>
      </c>
      <c r="U29" s="639">
        <v>0</v>
      </c>
      <c r="V29" s="639">
        <v>0</v>
      </c>
      <c r="W29" s="639">
        <v>0</v>
      </c>
      <c r="X29" s="639">
        <v>800</v>
      </c>
      <c r="Y29" s="639" t="s">
        <v>35</v>
      </c>
      <c r="Z29" s="641" t="s">
        <v>389</v>
      </c>
    </row>
    <row r="30" spans="1:26" s="593" customFormat="1" ht="25.5">
      <c r="A30" s="592"/>
      <c r="B30" s="787">
        <v>11052</v>
      </c>
      <c r="C30" s="787">
        <v>2160</v>
      </c>
      <c r="D30" s="640" t="s">
        <v>930</v>
      </c>
      <c r="E30" s="639" t="s">
        <v>931</v>
      </c>
      <c r="F30" s="639" t="s">
        <v>932</v>
      </c>
      <c r="G30" s="639" t="s">
        <v>923</v>
      </c>
      <c r="H30" s="639" t="s">
        <v>924</v>
      </c>
      <c r="I30" s="639" t="s">
        <v>931</v>
      </c>
      <c r="J30" s="786">
        <v>40590</v>
      </c>
      <c r="K30" s="786">
        <v>40655</v>
      </c>
      <c r="L30" s="639" t="s">
        <v>929</v>
      </c>
      <c r="M30" s="639">
        <v>1286</v>
      </c>
      <c r="N30" s="639">
        <v>5787</v>
      </c>
      <c r="O30" s="639">
        <v>8267.1428571428569</v>
      </c>
      <c r="P30" s="639">
        <v>16534.285714285714</v>
      </c>
      <c r="Q30" s="639">
        <v>0</v>
      </c>
      <c r="R30" s="639">
        <v>0</v>
      </c>
      <c r="S30" s="639">
        <v>0</v>
      </c>
      <c r="T30" s="639">
        <v>0</v>
      </c>
      <c r="U30" s="639">
        <v>0</v>
      </c>
      <c r="V30" s="639">
        <v>0</v>
      </c>
      <c r="W30" s="639">
        <v>0</v>
      </c>
      <c r="X30" s="639">
        <v>10</v>
      </c>
      <c r="Y30" s="639" t="s">
        <v>111</v>
      </c>
      <c r="Z30" s="641" t="s">
        <v>111</v>
      </c>
    </row>
    <row r="31" spans="1:26" s="576" customFormat="1">
      <c r="A31" s="595" t="s">
        <v>279</v>
      </c>
      <c r="B31" s="596"/>
      <c r="C31" s="596"/>
      <c r="D31" s="596"/>
      <c r="E31" s="596"/>
      <c r="F31" s="596"/>
      <c r="G31" s="596"/>
      <c r="H31" s="596"/>
      <c r="I31" s="596"/>
      <c r="J31" s="596"/>
      <c r="K31" s="596"/>
      <c r="L31" s="597"/>
      <c r="M31" s="597">
        <f>SUM(M28:M30)</f>
        <v>5774</v>
      </c>
      <c r="N31" s="597">
        <f>SUM(N28:N30)</f>
        <v>25983</v>
      </c>
      <c r="O31" s="597">
        <f>SUM(O28:O30)</f>
        <v>37118.571428571428</v>
      </c>
      <c r="P31" s="597">
        <f>SUM(P28:P30)</f>
        <v>74237.142857142855</v>
      </c>
      <c r="Q31" s="597">
        <f>SUM(Q28:Q30)</f>
        <v>0</v>
      </c>
      <c r="R31" s="597">
        <f>SUM(R28:R30)</f>
        <v>0</v>
      </c>
      <c r="S31" s="597">
        <f>SUM(S28:S30)</f>
        <v>0</v>
      </c>
      <c r="T31" s="597">
        <f>SUM(T28:T30)</f>
        <v>0</v>
      </c>
      <c r="U31" s="597">
        <f>SUM(U28:U30)</f>
        <v>0</v>
      </c>
      <c r="V31" s="597">
        <f>SUM(V28:V30)</f>
        <v>0</v>
      </c>
      <c r="W31" s="597">
        <f>SUM(W28:W30)</f>
        <v>0</v>
      </c>
      <c r="X31" s="598"/>
      <c r="Y31" s="598"/>
      <c r="Z31" s="599"/>
    </row>
    <row r="32" spans="1:26" s="576" customFormat="1">
      <c r="A32" s="595" t="s">
        <v>286</v>
      </c>
      <c r="B32" s="596"/>
      <c r="C32" s="596"/>
      <c r="D32" s="596"/>
      <c r="E32" s="596"/>
      <c r="F32" s="596"/>
      <c r="G32" s="596"/>
      <c r="H32" s="596"/>
      <c r="I32" s="596"/>
      <c r="J32" s="596"/>
      <c r="K32" s="596"/>
      <c r="L32" s="597"/>
      <c r="M32" s="597">
        <f>SUMIF($Z$28:$Z$30,"industrie",M28:M30)</f>
        <v>4198</v>
      </c>
      <c r="N32" s="597">
        <f>SUMIF($Z$28:$Z$30,"industrie",N28:N30)</f>
        <v>18891</v>
      </c>
      <c r="O32" s="597">
        <f>SUMIF($Z$28:$Z$30,"industrie",O28:O30)</f>
        <v>26987.142857142859</v>
      </c>
      <c r="P32" s="597">
        <f>SUMIF($Z$28:$Z$30,"industrie",P28:P30)</f>
        <v>53974.285714285717</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6" customFormat="1">
      <c r="A33" s="595" t="s">
        <v>287</v>
      </c>
      <c r="B33" s="596"/>
      <c r="C33" s="596"/>
      <c r="D33" s="596"/>
      <c r="E33" s="596"/>
      <c r="F33" s="596"/>
      <c r="G33" s="596"/>
      <c r="H33" s="596"/>
      <c r="I33" s="596"/>
      <c r="J33" s="596"/>
      <c r="K33" s="596"/>
      <c r="L33" s="597"/>
      <c r="M33" s="597">
        <f ca="1">SUMIF($Z$28:AC30,"tertiair",M28:M30)</f>
        <v>0</v>
      </c>
      <c r="N33" s="597">
        <f ca="1">SUMIF($Z$28:AD30,"tertiair",N28:N30)</f>
        <v>0</v>
      </c>
      <c r="O33" s="597">
        <f ca="1">SUMIF($Z$28:AE30,"tertiair",O28:O30)</f>
        <v>0</v>
      </c>
      <c r="P33" s="597">
        <f ca="1">SUMIF($Z$28:AF30,"tertiair",P28:P30)</f>
        <v>0</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6" customFormat="1" ht="15.75" thickBot="1">
      <c r="A34" s="600" t="s">
        <v>288</v>
      </c>
      <c r="B34" s="601"/>
      <c r="C34" s="601"/>
      <c r="D34" s="601"/>
      <c r="E34" s="601"/>
      <c r="F34" s="601"/>
      <c r="G34" s="601"/>
      <c r="H34" s="601"/>
      <c r="I34" s="601"/>
      <c r="J34" s="601"/>
      <c r="K34" s="601"/>
      <c r="L34" s="602"/>
      <c r="M34" s="602">
        <f>SUMIF($Z$28:$Z$30,"landbouw",M28:M30)</f>
        <v>1576</v>
      </c>
      <c r="N34" s="602">
        <f>SUMIF($Z$28:$Z$30,"landbouw",N28:N30)</f>
        <v>7092</v>
      </c>
      <c r="O34" s="602">
        <f>SUMIF($Z$28:$Z$30,"landbouw",O28:O30)</f>
        <v>10131.428571428571</v>
      </c>
      <c r="P34" s="602">
        <f>SUMIF($Z$28:$Z$30,"landbouw",P28:P30)</f>
        <v>20262.857142857141</v>
      </c>
      <c r="Q34" s="602">
        <f>SUMIF($Z$28:$Z$30,"landbouw",Q28:Q30)</f>
        <v>0</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44" customFormat="1" ht="15.75" thickBot="1">
      <c r="A35" s="605"/>
      <c r="B35" s="606"/>
      <c r="C35" s="606"/>
      <c r="D35" s="606"/>
      <c r="E35" s="606"/>
      <c r="F35" s="606"/>
      <c r="G35" s="606"/>
      <c r="H35" s="606"/>
      <c r="I35" s="606"/>
      <c r="J35" s="606"/>
      <c r="K35" s="606"/>
      <c r="L35" s="589"/>
      <c r="M35" s="589"/>
      <c r="N35" s="589"/>
      <c r="O35" s="590"/>
      <c r="P35" s="590"/>
    </row>
    <row r="36" spans="1:27" s="54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546</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87"/>
      <c r="C37" s="787"/>
      <c r="D37" s="642"/>
      <c r="E37" s="642"/>
      <c r="F37" s="642"/>
      <c r="G37" s="642"/>
      <c r="H37" s="642"/>
      <c r="I37" s="642"/>
      <c r="J37" s="786"/>
      <c r="K37" s="786"/>
      <c r="L37" s="642"/>
      <c r="M37" s="642"/>
      <c r="N37" s="642"/>
      <c r="O37" s="642"/>
      <c r="P37" s="642"/>
      <c r="Q37" s="642"/>
      <c r="R37" s="642"/>
      <c r="S37" s="642"/>
      <c r="T37" s="642"/>
      <c r="U37" s="642"/>
      <c r="V37" s="642"/>
      <c r="W37" s="642"/>
      <c r="X37" s="642"/>
      <c r="Y37" s="642"/>
      <c r="Z37" s="643"/>
    </row>
    <row r="38" spans="1:27" s="576"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6"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6"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6"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0.58823529411764708</v>
      </c>
      <c r="C47" s="622">
        <f>IF(ISERROR(N31/(O31+N31)),0,N31/(N31+O31))</f>
        <v>0.41176470588235292</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546</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30568.235294117643</v>
      </c>
      <c r="C50" s="631">
        <f t="shared" si="2"/>
        <v>0</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43668.907563025212</v>
      </c>
      <c r="C51" s="634">
        <f t="shared" si="3"/>
        <v>0</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74"/>
      <c r="K52" s="574"/>
      <c r="L52" s="574"/>
      <c r="M52" s="574"/>
      <c r="N52" s="574"/>
    </row>
    <row r="53" spans="1:16">
      <c r="J53" s="574"/>
      <c r="K53" s="574"/>
      <c r="L53" s="574"/>
      <c r="M53" s="574"/>
      <c r="N53"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22445.294372444099</v>
      </c>
      <c r="C4" s="458">
        <f>huishoudens!C8</f>
        <v>0</v>
      </c>
      <c r="D4" s="458">
        <f>huishoudens!D8</f>
        <v>70626.55380159842</v>
      </c>
      <c r="E4" s="458">
        <f>huishoudens!E8</f>
        <v>1551.6507087164769</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7634.9397482136619</v>
      </c>
      <c r="O4" s="458">
        <f>huishoudens!O8</f>
        <v>150.08000000000001</v>
      </c>
      <c r="P4" s="459">
        <f>huishoudens!P8</f>
        <v>133.46666666666667</v>
      </c>
      <c r="Q4" s="460">
        <f>SUM(B4:P4)</f>
        <v>102541.98529763932</v>
      </c>
    </row>
    <row r="5" spans="1:17">
      <c r="A5" s="457" t="s">
        <v>155</v>
      </c>
      <c r="B5" s="458">
        <f ca="1">tertiair!B16</f>
        <v>30127.897018452866</v>
      </c>
      <c r="C5" s="458">
        <f ca="1">tertiair!C16</f>
        <v>0</v>
      </c>
      <c r="D5" s="458">
        <f ca="1">tertiair!D16</f>
        <v>39297.723238663151</v>
      </c>
      <c r="E5" s="458">
        <f>tertiair!E16</f>
        <v>372.01334960401698</v>
      </c>
      <c r="F5" s="458">
        <f ca="1">tertiair!F16</f>
        <v>5726.7235222452864</v>
      </c>
      <c r="G5" s="458">
        <f>tertiair!G16</f>
        <v>0</v>
      </c>
      <c r="H5" s="458">
        <f>tertiair!H16</f>
        <v>0</v>
      </c>
      <c r="I5" s="458">
        <f>tertiair!I16</f>
        <v>0</v>
      </c>
      <c r="J5" s="458">
        <f>tertiair!J16</f>
        <v>0</v>
      </c>
      <c r="K5" s="458">
        <f>tertiair!K16</f>
        <v>0</v>
      </c>
      <c r="L5" s="458">
        <f ca="1">tertiair!L16</f>
        <v>0</v>
      </c>
      <c r="M5" s="458">
        <f>tertiair!M16</f>
        <v>0</v>
      </c>
      <c r="N5" s="458">
        <f ca="1">tertiair!N16</f>
        <v>2256.0338173004275</v>
      </c>
      <c r="O5" s="458">
        <f>tertiair!O16</f>
        <v>1.5633333333333335</v>
      </c>
      <c r="P5" s="459">
        <f>tertiair!P16</f>
        <v>38.133333333333333</v>
      </c>
      <c r="Q5" s="457">
        <f t="shared" ref="Q5:Q14" ca="1" si="0">SUM(B5:P5)</f>
        <v>77820.087612932417</v>
      </c>
    </row>
    <row r="6" spans="1:17">
      <c r="A6" s="457" t="s">
        <v>193</v>
      </c>
      <c r="B6" s="458">
        <f>'openbare verlichting'!B8</f>
        <v>881.79</v>
      </c>
      <c r="C6" s="458"/>
      <c r="D6" s="458"/>
      <c r="E6" s="458"/>
      <c r="F6" s="458"/>
      <c r="G6" s="458"/>
      <c r="H6" s="458"/>
      <c r="I6" s="458"/>
      <c r="J6" s="458"/>
      <c r="K6" s="458"/>
      <c r="L6" s="458"/>
      <c r="M6" s="458"/>
      <c r="N6" s="458"/>
      <c r="O6" s="458"/>
      <c r="P6" s="459"/>
      <c r="Q6" s="457">
        <f t="shared" si="0"/>
        <v>881.79</v>
      </c>
    </row>
    <row r="7" spans="1:17">
      <c r="A7" s="457" t="s">
        <v>111</v>
      </c>
      <c r="B7" s="458">
        <f>landbouw!B8</f>
        <v>512.00704986933204</v>
      </c>
      <c r="C7" s="458">
        <f>landbouw!C8</f>
        <v>10131.428571428571</v>
      </c>
      <c r="D7" s="458">
        <f>landbouw!D8</f>
        <v>0</v>
      </c>
      <c r="E7" s="458">
        <f>landbouw!E8</f>
        <v>6.4519484275439023</v>
      </c>
      <c r="F7" s="458">
        <f>landbouw!F8</f>
        <v>1766.5525874793614</v>
      </c>
      <c r="G7" s="458">
        <f>landbouw!G8</f>
        <v>0</v>
      </c>
      <c r="H7" s="458">
        <f>landbouw!H8</f>
        <v>0</v>
      </c>
      <c r="I7" s="458">
        <f>landbouw!I8</f>
        <v>0</v>
      </c>
      <c r="J7" s="458">
        <f>landbouw!J8</f>
        <v>77.000040009621785</v>
      </c>
      <c r="K7" s="458">
        <f>landbouw!K8</f>
        <v>0</v>
      </c>
      <c r="L7" s="458">
        <f>landbouw!L8</f>
        <v>0</v>
      </c>
      <c r="M7" s="458">
        <f>landbouw!M8</f>
        <v>0</v>
      </c>
      <c r="N7" s="458">
        <f>landbouw!N8</f>
        <v>0</v>
      </c>
      <c r="O7" s="458">
        <f>landbouw!O8</f>
        <v>0</v>
      </c>
      <c r="P7" s="459">
        <f>landbouw!P8</f>
        <v>0</v>
      </c>
      <c r="Q7" s="457">
        <f t="shared" si="0"/>
        <v>12493.44019721443</v>
      </c>
    </row>
    <row r="8" spans="1:17">
      <c r="A8" s="457" t="s">
        <v>655</v>
      </c>
      <c r="B8" s="458">
        <f>industrie!B18</f>
        <v>46846.392636556731</v>
      </c>
      <c r="C8" s="458">
        <f>industrie!C18</f>
        <v>26987.142857142859</v>
      </c>
      <c r="D8" s="458">
        <f>industrie!D18</f>
        <v>20090.146380797472</v>
      </c>
      <c r="E8" s="458">
        <f>industrie!E18</f>
        <v>2162.9875418854649</v>
      </c>
      <c r="F8" s="458">
        <f>industrie!F18</f>
        <v>29659.461579801231</v>
      </c>
      <c r="G8" s="458">
        <f>industrie!G18</f>
        <v>0</v>
      </c>
      <c r="H8" s="458">
        <f>industrie!H18</f>
        <v>0</v>
      </c>
      <c r="I8" s="458">
        <f>industrie!I18</f>
        <v>0</v>
      </c>
      <c r="J8" s="458">
        <f>industrie!J18</f>
        <v>12.683355568314957</v>
      </c>
      <c r="K8" s="458">
        <f>industrie!K18</f>
        <v>0</v>
      </c>
      <c r="L8" s="458">
        <f>industrie!L18</f>
        <v>0</v>
      </c>
      <c r="M8" s="458">
        <f>industrie!M18</f>
        <v>0</v>
      </c>
      <c r="N8" s="458">
        <f>industrie!N18</f>
        <v>6284.5712673661847</v>
      </c>
      <c r="O8" s="458">
        <f>industrie!O18</f>
        <v>0</v>
      </c>
      <c r="P8" s="459">
        <f>industrie!P18</f>
        <v>0</v>
      </c>
      <c r="Q8" s="457">
        <f t="shared" si="0"/>
        <v>132043.38561911826</v>
      </c>
    </row>
    <row r="9" spans="1:17" s="463" customFormat="1">
      <c r="A9" s="461" t="s">
        <v>573</v>
      </c>
      <c r="B9" s="462">
        <f>transport!B14</f>
        <v>9.0586377502163753</v>
      </c>
      <c r="C9" s="462">
        <f>transport!C14</f>
        <v>0</v>
      </c>
      <c r="D9" s="462">
        <f>transport!D14</f>
        <v>13.891753327730939</v>
      </c>
      <c r="E9" s="462">
        <f>transport!E14</f>
        <v>589.01071961642344</v>
      </c>
      <c r="F9" s="462">
        <f>transport!F14</f>
        <v>0</v>
      </c>
      <c r="G9" s="462">
        <f>transport!G14</f>
        <v>211418.06012437449</v>
      </c>
      <c r="H9" s="462">
        <f>transport!H14</f>
        <v>26422.784982035711</v>
      </c>
      <c r="I9" s="462">
        <f>transport!I14</f>
        <v>0</v>
      </c>
      <c r="J9" s="462">
        <f>transport!J14</f>
        <v>0</v>
      </c>
      <c r="K9" s="462">
        <f>transport!K14</f>
        <v>0</v>
      </c>
      <c r="L9" s="462">
        <f>transport!L14</f>
        <v>0</v>
      </c>
      <c r="M9" s="462">
        <f>transport!M14</f>
        <v>10750.183364699771</v>
      </c>
      <c r="N9" s="462">
        <f>transport!N14</f>
        <v>0</v>
      </c>
      <c r="O9" s="462">
        <f>transport!O14</f>
        <v>0</v>
      </c>
      <c r="P9" s="462">
        <f>transport!P14</f>
        <v>0</v>
      </c>
      <c r="Q9" s="461">
        <f>SUM(B9:P9)</f>
        <v>249202.98958180434</v>
      </c>
    </row>
    <row r="10" spans="1:17">
      <c r="A10" s="457" t="s">
        <v>563</v>
      </c>
      <c r="B10" s="458">
        <f>transport!B54</f>
        <v>0</v>
      </c>
      <c r="C10" s="458">
        <f>transport!C54</f>
        <v>0</v>
      </c>
      <c r="D10" s="458">
        <f>transport!D54</f>
        <v>0</v>
      </c>
      <c r="E10" s="458">
        <f>transport!E54</f>
        <v>0</v>
      </c>
      <c r="F10" s="458">
        <f>transport!F54</f>
        <v>0</v>
      </c>
      <c r="G10" s="458">
        <f>transport!G54</f>
        <v>2346.8554832147461</v>
      </c>
      <c r="H10" s="458">
        <f>transport!H54</f>
        <v>0</v>
      </c>
      <c r="I10" s="458">
        <f>transport!I54</f>
        <v>0</v>
      </c>
      <c r="J10" s="458">
        <f>transport!J54</f>
        <v>0</v>
      </c>
      <c r="K10" s="458">
        <f>transport!K54</f>
        <v>0</v>
      </c>
      <c r="L10" s="458">
        <f>transport!L54</f>
        <v>0</v>
      </c>
      <c r="M10" s="458">
        <f>transport!M54</f>
        <v>104.46047909308666</v>
      </c>
      <c r="N10" s="458">
        <f>transport!N54</f>
        <v>0</v>
      </c>
      <c r="O10" s="458">
        <f>transport!O54</f>
        <v>0</v>
      </c>
      <c r="P10" s="459">
        <f>transport!P54</f>
        <v>0</v>
      </c>
      <c r="Q10" s="457">
        <f t="shared" si="0"/>
        <v>2451.3159623078327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840.91194107375702</v>
      </c>
      <c r="C14" s="465"/>
      <c r="D14" s="465">
        <f>'SEAP template'!E25</f>
        <v>4522.0656537813502</v>
      </c>
      <c r="E14" s="465"/>
      <c r="F14" s="465"/>
      <c r="G14" s="465"/>
      <c r="H14" s="465"/>
      <c r="I14" s="465"/>
      <c r="J14" s="465"/>
      <c r="K14" s="465"/>
      <c r="L14" s="465"/>
      <c r="M14" s="465"/>
      <c r="N14" s="465"/>
      <c r="O14" s="465"/>
      <c r="P14" s="466"/>
      <c r="Q14" s="457">
        <f t="shared" si="0"/>
        <v>5362.9775948551069</v>
      </c>
    </row>
    <row r="15" spans="1:17" s="470" customFormat="1">
      <c r="A15" s="467" t="s">
        <v>567</v>
      </c>
      <c r="B15" s="468">
        <f ca="1">SUM(B4:B14)</f>
        <v>101663.351656147</v>
      </c>
      <c r="C15" s="468">
        <f t="shared" ref="C15:Q15" ca="1" si="1">SUM(C4:C14)</f>
        <v>37118.571428571428</v>
      </c>
      <c r="D15" s="468">
        <f t="shared" ca="1" si="1"/>
        <v>134550.38082816813</v>
      </c>
      <c r="E15" s="468">
        <f t="shared" si="1"/>
        <v>4682.1142682499258</v>
      </c>
      <c r="F15" s="468">
        <f t="shared" ca="1" si="1"/>
        <v>37152.737689525879</v>
      </c>
      <c r="G15" s="468">
        <f t="shared" si="1"/>
        <v>213764.91560758924</v>
      </c>
      <c r="H15" s="468">
        <f t="shared" si="1"/>
        <v>26422.784982035711</v>
      </c>
      <c r="I15" s="468">
        <f t="shared" si="1"/>
        <v>0</v>
      </c>
      <c r="J15" s="468">
        <f t="shared" si="1"/>
        <v>89.683395577936736</v>
      </c>
      <c r="K15" s="468">
        <f t="shared" si="1"/>
        <v>0</v>
      </c>
      <c r="L15" s="468">
        <f t="shared" ca="1" si="1"/>
        <v>0</v>
      </c>
      <c r="M15" s="468">
        <f t="shared" si="1"/>
        <v>10854.643843792857</v>
      </c>
      <c r="N15" s="468">
        <f t="shared" ca="1" si="1"/>
        <v>16175.544832880274</v>
      </c>
      <c r="O15" s="468">
        <f t="shared" si="1"/>
        <v>151.64333333333335</v>
      </c>
      <c r="P15" s="468">
        <f t="shared" si="1"/>
        <v>171.6</v>
      </c>
      <c r="Q15" s="468">
        <f t="shared" ca="1" si="1"/>
        <v>582797.9718658718</v>
      </c>
    </row>
    <row r="17" spans="1:17">
      <c r="A17" s="471" t="s">
        <v>568</v>
      </c>
      <c r="B17" s="777">
        <f ca="1">huishoudens!B10</f>
        <v>0.21491860838890486</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4823.9114314050039</v>
      </c>
      <c r="C22" s="458">
        <f t="shared" ref="C22:C32" ca="1" si="3">C4*$C$17</f>
        <v>0</v>
      </c>
      <c r="D22" s="458">
        <f t="shared" ref="D22:D32" si="4">D4*$D$17</f>
        <v>14266.563867922881</v>
      </c>
      <c r="E22" s="458">
        <f t="shared" ref="E22:E32" si="5">E4*$E$17</f>
        <v>352.22471087864028</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19442.700010206525</v>
      </c>
    </row>
    <row r="23" spans="1:17">
      <c r="A23" s="457" t="s">
        <v>155</v>
      </c>
      <c r="B23" s="458">
        <f t="shared" ca="1" si="2"/>
        <v>6475.0457008901258</v>
      </c>
      <c r="C23" s="458">
        <f t="shared" ca="1" si="3"/>
        <v>0</v>
      </c>
      <c r="D23" s="458">
        <f t="shared" ca="1" si="4"/>
        <v>7938.1400942099572</v>
      </c>
      <c r="E23" s="458">
        <f t="shared" si="5"/>
        <v>84.447030360111853</v>
      </c>
      <c r="F23" s="458">
        <f t="shared" ca="1" si="6"/>
        <v>1529.0351804394916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16026.668005899686</v>
      </c>
    </row>
    <row r="24" spans="1:17">
      <c r="A24" s="457" t="s">
        <v>193</v>
      </c>
      <c r="B24" s="458">
        <f t="shared" ca="1" si="2"/>
        <v>189.51307969125241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189.51307969125241</v>
      </c>
    </row>
    <row r="25" spans="1:17">
      <c r="A25" s="457" t="s">
        <v>111</v>
      </c>
      <c r="B25" s="458">
        <f t="shared" ca="1" si="2"/>
        <v>110.03984264322546</v>
      </c>
      <c r="C25" s="458">
        <f t="shared" ca="1" si="3"/>
        <v>2407.7042016806727</v>
      </c>
      <c r="D25" s="458">
        <f t="shared" si="4"/>
        <v>0</v>
      </c>
      <c r="E25" s="458">
        <f t="shared" si="5"/>
        <v>1.464592293052466</v>
      </c>
      <c r="F25" s="458">
        <f t="shared" si="6"/>
        <v>471.6695408569895</v>
      </c>
      <c r="G25" s="458">
        <f t="shared" si="7"/>
        <v>0</v>
      </c>
      <c r="H25" s="458">
        <f t="shared" si="8"/>
        <v>0</v>
      </c>
      <c r="I25" s="458">
        <f t="shared" si="9"/>
        <v>0</v>
      </c>
      <c r="J25" s="458">
        <f t="shared" si="10"/>
        <v>27.258014163406109</v>
      </c>
      <c r="K25" s="458">
        <f t="shared" si="11"/>
        <v>0</v>
      </c>
      <c r="L25" s="458">
        <f t="shared" si="12"/>
        <v>0</v>
      </c>
      <c r="M25" s="458">
        <f t="shared" si="13"/>
        <v>0</v>
      </c>
      <c r="N25" s="458">
        <f t="shared" si="14"/>
        <v>0</v>
      </c>
      <c r="O25" s="458">
        <f t="shared" si="15"/>
        <v>0</v>
      </c>
      <c r="P25" s="459">
        <f t="shared" si="16"/>
        <v>0</v>
      </c>
      <c r="Q25" s="457">
        <f t="shared" ca="1" si="17"/>
        <v>3018.1361916373462</v>
      </c>
    </row>
    <row r="26" spans="1:17">
      <c r="A26" s="457" t="s">
        <v>655</v>
      </c>
      <c r="B26" s="458">
        <f t="shared" ca="1" si="2"/>
        <v>10068.161513489013</v>
      </c>
      <c r="C26" s="458">
        <f t="shared" ca="1" si="3"/>
        <v>6413.4151260504223</v>
      </c>
      <c r="D26" s="458">
        <f t="shared" si="4"/>
        <v>4058.2095689210896</v>
      </c>
      <c r="E26" s="458">
        <f t="shared" si="5"/>
        <v>490.99817200800055</v>
      </c>
      <c r="F26" s="458">
        <f t="shared" si="6"/>
        <v>7919.0762418069289</v>
      </c>
      <c r="G26" s="458">
        <f t="shared" si="7"/>
        <v>0</v>
      </c>
      <c r="H26" s="458">
        <f t="shared" si="8"/>
        <v>0</v>
      </c>
      <c r="I26" s="458">
        <f t="shared" si="9"/>
        <v>0</v>
      </c>
      <c r="J26" s="458">
        <f t="shared" si="10"/>
        <v>4.4899078711834948</v>
      </c>
      <c r="K26" s="458">
        <f t="shared" si="11"/>
        <v>0</v>
      </c>
      <c r="L26" s="458">
        <f t="shared" si="12"/>
        <v>0</v>
      </c>
      <c r="M26" s="458">
        <f t="shared" si="13"/>
        <v>0</v>
      </c>
      <c r="N26" s="458">
        <f t="shared" si="14"/>
        <v>0</v>
      </c>
      <c r="O26" s="458">
        <f t="shared" si="15"/>
        <v>0</v>
      </c>
      <c r="P26" s="459">
        <f t="shared" si="16"/>
        <v>0</v>
      </c>
      <c r="Q26" s="457">
        <f t="shared" ca="1" si="17"/>
        <v>28954.350530146636</v>
      </c>
    </row>
    <row r="27" spans="1:17" s="463" customFormat="1">
      <c r="A27" s="461" t="s">
        <v>573</v>
      </c>
      <c r="B27" s="771">
        <f t="shared" ca="1" si="2"/>
        <v>1.9468698191757035</v>
      </c>
      <c r="C27" s="462">
        <f t="shared" ca="1" si="3"/>
        <v>0</v>
      </c>
      <c r="D27" s="462">
        <f t="shared" si="4"/>
        <v>2.80613417220165</v>
      </c>
      <c r="E27" s="462">
        <f t="shared" si="5"/>
        <v>133.70543335292814</v>
      </c>
      <c r="F27" s="462">
        <f t="shared" si="6"/>
        <v>0</v>
      </c>
      <c r="G27" s="462">
        <f t="shared" si="7"/>
        <v>56448.62205320799</v>
      </c>
      <c r="H27" s="462">
        <f t="shared" si="8"/>
        <v>6579.2734605268924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63166.353951079189</v>
      </c>
    </row>
    <row r="28" spans="1:17">
      <c r="A28" s="457" t="s">
        <v>563</v>
      </c>
      <c r="B28" s="458">
        <f t="shared" ca="1" si="2"/>
        <v>0</v>
      </c>
      <c r="C28" s="458">
        <f t="shared" ca="1" si="3"/>
        <v>0</v>
      </c>
      <c r="D28" s="458">
        <f t="shared" si="4"/>
        <v>0</v>
      </c>
      <c r="E28" s="458">
        <f t="shared" si="5"/>
        <v>0</v>
      </c>
      <c r="F28" s="458">
        <f t="shared" si="6"/>
        <v>0</v>
      </c>
      <c r="G28" s="458">
        <f t="shared" si="7"/>
        <v>626.61041401833722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626.61041401833722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180.72762415318462</v>
      </c>
      <c r="C32" s="458">
        <f t="shared" ca="1" si="3"/>
        <v>0</v>
      </c>
      <c r="D32" s="458">
        <f t="shared" si="4"/>
        <v>913.45726206383279</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1094.1848862170175</v>
      </c>
    </row>
    <row r="33" spans="1:17" s="470" customFormat="1">
      <c r="A33" s="467" t="s">
        <v>567</v>
      </c>
      <c r="B33" s="468">
        <f ca="1">SUM(B22:B32)</f>
        <v>21849.346062090979</v>
      </c>
      <c r="C33" s="468">
        <f t="shared" ref="C33:Q33" ca="1" si="18">SUM(C22:C32)</f>
        <v>8821.1193277310958</v>
      </c>
      <c r="D33" s="468">
        <f t="shared" ca="1" si="18"/>
        <v>27179.176927289962</v>
      </c>
      <c r="E33" s="468">
        <f t="shared" si="18"/>
        <v>1062.8399388927332</v>
      </c>
      <c r="F33" s="468">
        <f t="shared" ca="1" si="18"/>
        <v>9919.7809631034106</v>
      </c>
      <c r="G33" s="468">
        <f t="shared" si="18"/>
        <v>57075.232467226328</v>
      </c>
      <c r="H33" s="468">
        <f t="shared" si="18"/>
        <v>6579.2734605268924</v>
      </c>
      <c r="I33" s="468">
        <f t="shared" si="18"/>
        <v>0</v>
      </c>
      <c r="J33" s="468">
        <f t="shared" si="18"/>
        <v>31.747922034589603</v>
      </c>
      <c r="K33" s="468">
        <f t="shared" si="18"/>
        <v>0</v>
      </c>
      <c r="L33" s="468">
        <f t="shared" ca="1" si="18"/>
        <v>0</v>
      </c>
      <c r="M33" s="468">
        <f t="shared" si="18"/>
        <v>0</v>
      </c>
      <c r="N33" s="468">
        <f t="shared" ca="1" si="18"/>
        <v>0</v>
      </c>
      <c r="O33" s="468">
        <f t="shared" si="18"/>
        <v>0</v>
      </c>
      <c r="P33" s="468">
        <f t="shared" si="18"/>
        <v>0</v>
      </c>
      <c r="Q33" s="468">
        <f t="shared" ca="1" si="18"/>
        <v>132518.51706889601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4754.7293363315566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25983</v>
      </c>
      <c r="D8" s="1034">
        <f>'SEAP template'!D76</f>
        <v>30568.235294117643</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6174.783529411764</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4754.7293363315566</v>
      </c>
      <c r="C10" s="1038">
        <f>SUM(C4:C9)</f>
        <v>25983</v>
      </c>
      <c r="D10" s="1038">
        <f t="shared" ref="D10:H10" si="0">SUM(D8:D9)</f>
        <v>30568.235294117643</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6174.783529411764</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0.21491860838890486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37118.571428571428</v>
      </c>
      <c r="D17" s="1035">
        <f>'SEAP template'!D87</f>
        <v>43668.907563025212</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8821.119327731094</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37118.571428571428</v>
      </c>
      <c r="D20" s="1038">
        <f t="shared" ref="D20:H20" si="2">SUM(D17:D19)</f>
        <v>43668.907563025212</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8821.119327731094</v>
      </c>
    </row>
    <row r="22" spans="1:16">
      <c r="A22" s="471" t="s">
        <v>879</v>
      </c>
      <c r="B22" s="777" t="s">
        <v>873</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0.21491860838890486</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2020-06-20T16:13:58Z</dcterms:modified>
</cp:coreProperties>
</file>