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49" i="18" l="1"/>
  <c r="C17" i="18" s="1"/>
  <c r="C45" i="18"/>
  <c r="C49" i="18"/>
  <c r="F49" i="18"/>
  <c r="G49" i="18"/>
  <c r="I17" i="18" s="1"/>
  <c r="I20" i="18" s="1"/>
  <c r="F20" i="18"/>
  <c r="B20" i="18"/>
  <c r="O18" i="18"/>
  <c r="H20" i="18"/>
  <c r="G20" i="18"/>
  <c r="K20" i="18"/>
  <c r="B10" i="18"/>
  <c r="O19" i="18"/>
  <c r="O9" i="18"/>
  <c r="C20" i="18"/>
  <c r="D49" i="18"/>
  <c r="H49" i="18"/>
  <c r="E48" i="18"/>
  <c r="E8" i="18" s="1"/>
  <c r="E10" i="18" s="1"/>
  <c r="E49" i="18"/>
  <c r="E17" i="18" s="1"/>
  <c r="E20" i="18" s="1"/>
  <c r="N6" i="17"/>
  <c r="I48" i="18" l="1"/>
  <c r="H8" i="18" s="1"/>
  <c r="H10" i="18" s="1"/>
  <c r="G48" i="18"/>
  <c r="F48" i="18"/>
  <c r="D48" i="18"/>
  <c r="H48" i="18"/>
  <c r="C48" i="18"/>
  <c r="B48" i="18"/>
  <c r="C8" i="18" s="1"/>
  <c r="C10" i="18" s="1"/>
  <c r="J17" i="18"/>
  <c r="J20" i="18" s="1"/>
  <c r="L6" i="17"/>
  <c r="F6" i="17"/>
  <c r="D6" i="17"/>
  <c r="C6" i="17"/>
  <c r="N16" i="16"/>
  <c r="L16" i="16"/>
  <c r="F16" i="16"/>
  <c r="D16" i="16"/>
  <c r="C16" i="16"/>
  <c r="B16" i="16"/>
  <c r="B13" i="15"/>
  <c r="I8" i="18" l="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24" i="14"/>
  <c r="C26" i="14" s="1"/>
  <c r="B7" i="48"/>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J5" i="48"/>
  <c r="J23" i="48" s="1"/>
  <c r="K10" i="14"/>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H63" i="14"/>
  <c r="J15" i="48"/>
  <c r="J33" i="48"/>
  <c r="J22" i="16"/>
  <c r="K43" i="14" s="1"/>
  <c r="K46" i="14" s="1"/>
  <c r="K61" i="14" s="1"/>
  <c r="J8" i="48"/>
  <c r="J26" i="48" s="1"/>
  <c r="K13" i="14"/>
  <c r="K16" i="14" s="1"/>
  <c r="K27" i="14" s="1"/>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<sst xmlns="http://schemas.openxmlformats.org/spreadsheetml/2006/main" count="2447" uniqueCount="920">
  <si>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</si>
  <si>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</si>
  <si>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</si>
  <si>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</si>
  <si>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</si>
  <si>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</si>
  <si>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</si>
  <si>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</si>
  <si>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</si>
  <si>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</si>
  <si>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</si>
  <si>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</si>
  <si>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</si>
  <si>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</si>
  <si>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</si>
  <si>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</si>
  <si>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</si>
  <si>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</si>
  <si>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</si>
  <si>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</si>
  <si>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</si>
  <si>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</si>
  <si>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</si>
  <si>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</si>
  <si>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</si>
  <si>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</si>
  <si>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</si>
  <si>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</si>
  <si>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</si>
  <si>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</si>
  <si>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</si>
  <si>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</si>
  <si>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</si>
  <si>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</si>
  <si>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</si>
  <si>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</si>
  <si>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</si>
  <si>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</si>
  <si>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</si>
  <si>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</si>
  <si>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</si>
  <si>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</si>
  <si>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</si>
  <si>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</si>
  <si>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</si>
  <si>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</si>
  <si>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</si>
  <si>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</si>
  <si>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</si>
  <si>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</si>
  <si>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</si>
  <si>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</si>
  <si>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</si>
  <si>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</si>
  <si>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</si>
  <si>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</si>
  <si>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</si>
  <si>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</si>
  <si>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</si>
  <si>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</si>
  <si>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</si>
  <si>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</si>
  <si>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</si>
  <si>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</si>
  <si>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</si>
  <si>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</si>
  <si>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</si>
  <si>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</si>
  <si>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</si>
  <si>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</si>
  <si>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</si>
  <si>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</si>
  <si>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</si>
  <si>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</si>
  <si>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</si>
  <si>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</si>
  <si>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</si>
  <si>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</si>
  <si>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</si>
  <si>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</si>
  <si>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</si>
  <si>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</si>
  <si>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</si>
  <si>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</si>
  <si>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</si>
  <si>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</si>
  <si>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</si>
  <si>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</si>
  <si>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</si>
  <si>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</si>
  <si>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</si>
  <si>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</si>
  <si>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</si>
  <si>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</si>
  <si>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</si>
  <si>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</si>
  <si>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</si>
  <si>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</si>
  <si>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</si>
  <si>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</si>
  <si>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</si>
  <si>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</si>
  <si>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</si>
  <si>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</si>
  <si>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</si>
  <si>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</si>
  <si>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</si>
  <si>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</si>
  <si>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</si>
  <si>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</si>
  <si>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</si>
  <si>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</si>
  <si>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</si>
  <si>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</si>
  <si>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</si>
  <si>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</si>
  <si>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</si>
  <si>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</si>
  <si>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</si>
  <si>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</si>
  <si>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</si>
  <si>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</si>
  <si>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</si>
  <si>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</si>
  <si>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</si>
  <si>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</si>
  <si>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</si>
  <si>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</si>
  <si>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</si>
  <si>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</si>
  <si>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</si>
  <si>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</si>
  <si>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</si>
  <si>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</si>
  <si>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</si>
  <si>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</si>
  <si>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</si>
  <si>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</si>
  <si>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</si>
  <si>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</si>
  <si>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</si>
  <si>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</si>
  <si>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</si>
  <si>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</si>
  <si>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</si>
  <si>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</si>
  <si>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</si>
  <si>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</si>
  <si>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</si>
  <si>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</si>
  <si>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</si>
  <si>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</si>
  <si>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</si>
  <si>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</si>
  <si>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</si>
  <si>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</si>
  <si>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</si>
  <si>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</si>
  <si>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</si>
  <si>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</si>
  <si>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</si>
  <si>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</si>
  <si>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</si>
  <si>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</si>
  <si>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</si>
  <si>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</si>
  <si>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</si>
  <si>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</si>
  <si>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</si>
  <si>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</si>
  <si>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</si>
  <si>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</si>
  <si>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</si>
  <si>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</si>
  <si>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</si>
  <si>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</si>
  <si>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</si>
  <si>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</si>
  <si>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</si>
  <si>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</si>
  <si>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</si>
  <si>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</si>
  <si>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</si>
  <si>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</si>
  <si>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</si>
  <si>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</si>
  <si>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</si>
  <si>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</si>
  <si>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</si>
  <si>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</si>
  <si>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</si>
  <si>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</si>
  <si>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</si>
  <si>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</si>
  <si>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</si>
  <si>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</si>
  <si>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</si>
  <si>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</si>
  <si>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</si>
  <si>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</si>
  <si>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</si>
  <si>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</si>
  <si>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</si>
  <si>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</si>
  <si>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</si>
  <si>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</si>
  <si>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</si>
  <si>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</si>
  <si>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</si>
  <si>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</si>
  <si>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</si>
  <si>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</si>
  <si>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</si>
  <si>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</si>
  <si>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</si>
  <si>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</si>
  <si>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</si>
  <si>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</si>
  <si>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</si>
  <si>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</si>
  <si>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</si>
  <si>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</si>
  <si>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</si>
  <si>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</si>
  <si>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</si>
  <si>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</si>
  <si>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</si>
  <si>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</si>
  <si>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</si>
  <si>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</si>
  <si>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</si>
  <si>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</si>
  <si>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</si>
  <si>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</si>
  <si>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</si>
  <si>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</si>
  <si>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</si>
  <si>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</si>
  <si>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</si>
  <si>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</si>
  <si>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</si>
  <si>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</si>
  <si>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</si>
  <si>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</si>
  <si>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</si>
  <si>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</si>
  <si>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</si>
  <si>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</si>
  <si>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</si>
  <si>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</si>
  <si>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</si>
  <si>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</si>
  <si>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</si>
  <si>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</si>
  <si>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</si>
  <si>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</si>
  <si>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</si>
  <si>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</si>
  <si>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</si>
  <si>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</si>
  <si>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</si>
  <si>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</si>
  <si>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</si>
  <si>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</si>
  <si>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</si>
  <si>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</si>
  <si>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</si>
  <si>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</si>
  <si>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</si>
  <si>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</si>
  <si>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</si>
  <si>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</si>
  <si>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</si>
  <si>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</si>
  <si>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</si>
  <si>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</si>
  <si>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</si>
  <si>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</si>
  <si>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</si>
  <si>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</si>
  <si>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</si>
  <si>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</si>
  <si>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</si>
  <si>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</si>
  <si>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</si>
  <si>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</si>
  <si>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</si>
  <si>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</si>
  <si>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</si>
  <si>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</si>
  <si>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</si>
  <si>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</si>
  <si>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</si>
  <si>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</si>
  <si>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</si>
  <si>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</si>
  <si>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</si>
  <si>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</si>
  <si>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</si>
  <si>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</si>
  <si>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</si>
  <si>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</si>
  <si>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</si>
  <si>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</si>
  <si>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</si>
  <si>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</si>
  <si>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</si>
  <si>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</si>
  <si>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</si>
  <si>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</si>
  <si>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</si>
  <si>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</si>
  <si>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</si>
  <si>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</si>
  <si>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</si>
  <si>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</si>
  <si>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</si>
  <si>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</si>
  <si>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</si>
  <si>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</si>
  <si>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</si>
  <si>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</si>
  <si>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</si>
  <si>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</si>
  <si>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</si>
  <si>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</si>
  <si>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</si>
  <si>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</si>
  <si>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</si>
  <si>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</si>
  <si>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</si>
  <si>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</si>
  <si>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</si>
  <si>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</si>
  <si>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</si>
  <si>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</si>
  <si>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</si>
  <si>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</si>
  <si>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</si>
  <si>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</si>
  <si>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</si>
  <si>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</si>
  <si>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</si>
  <si>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</si>
  <si>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</si>
  <si>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</si>
  <si>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</si>
  <si>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</si>
  <si>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</si>
  <si>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</si>
  <si>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</si>
  <si>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</si>
  <si>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</si>
  <si>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</si>
  <si>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</si>
  <si>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</si>
  <si>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</si>
  <si>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</si>
  <si>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</si>
  <si>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</si>
  <si>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</si>
  <si>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</si>
  <si>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</si>
  <si>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</si>
  <si>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</si>
  <si>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</si>
  <si>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</si>
  <si>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</si>
  <si>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</si>
  <si>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</si>
  <si>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</si>
  <si>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</si>
  <si>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</si>
  <si>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</si>
  <si>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</si>
  <si>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</si>
  <si>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</si>
  <si>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</si>
  <si>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</si>
  <si>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</si>
  <si>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</si>
  <si>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</si>
  <si>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</si>
  <si>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</si>
  <si>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</si>
  <si>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</si>
  <si>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</si>
  <si>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</si>
  <si>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</si>
  <si>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</si>
  <si>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</si>
  <si>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</si>
  <si>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</si>
  <si>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</si>
  <si>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</si>
  <si>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</si>
  <si>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</si>
  <si>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</si>
  <si>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</si>
  <si>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</si>
  <si>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</si>
  <si>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</si>
  <si>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</si>
  <si>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</si>
  <si>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</si>
  <si>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</si>
  <si>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</si>
  <si>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</si>
  <si>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</si>
  <si>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</si>
  <si>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</si>
  <si>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</si>
  <si>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</si>
  <si>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</si>
  <si>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</si>
  <si>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</si>
  <si>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</si>
  <si>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</si>
  <si>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</si>
  <si>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</si>
  <si>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</si>
  <si>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</si>
  <si>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</si>
  <si>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</si>
  <si>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</si>
  <si>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</si>
  <si>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</si>
  <si>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</si>
  <si>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</si>
  <si>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</si>
  <si>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</si>
  <si>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</si>
  <si>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</si>
  <si>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</si>
  <si>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</si>
  <si>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</si>
  <si>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</si>
  <si>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</si>
  <si>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</si>
  <si>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</si>
  <si>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</si>
  <si>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</si>
  <si>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</si>
  <si>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</si>
  <si>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</si>
  <si>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</si>
  <si>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</si>
  <si>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</si>
  <si>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</si>
  <si>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</si>
  <si>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</si>
  <si>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</si>
  <si>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</si>
  <si>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</si>
  <si>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</si>
  <si>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</si>
  <si>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</si>
  <si>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</si>
  <si>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</si>
  <si>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</si>
  <si>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</si>
  <si>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</si>
  <si>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</si>
  <si>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</si>
  <si>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</si>
  <si>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</si>
  <si>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</si>
  <si>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</si>
  <si>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</si>
  <si>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</si>
  <si>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</si>
  <si>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</si>
  <si>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</si>
  <si>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</si>
  <si>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</si>
  <si>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</si>
  <si>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</si>
  <si>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</si>
  <si>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</si>
  <si>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</si>
  <si>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</si>
  <si>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</si>
  <si>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</si>
  <si>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</si>
  <si>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</si>
  <si>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</si>
  <si>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</si>
  <si>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</si>
  <si>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</si>
  <si>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</si>
  <si>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</si>
  <si>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</si>
  <si>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</si>
  <si>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</si>
  <si>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</si>
  <si>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</si>
  <si>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</si>
  <si>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</si>
  <si>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</si>
  <si>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</si>
  <si>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</si>
  <si>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</si>
  <si>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</si>
  <si>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</si>
  <si>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</si>
  <si>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</si>
  <si>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</si>
  <si>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</si>
  <si>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</si>
  <si>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</si>
  <si>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</si>
  <si>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</si>
  <si>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</si>
  <si>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</si>
  <si>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</si>
  <si>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</si>
  <si>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</si>
  <si>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</si>
  <si>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</si>
  <si>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</si>
  <si>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</si>
  <si>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</si>
  <si>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</si>
  <si>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</si>
  <si>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</si>
  <si>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</si>
  <si>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</si>
  <si>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</si>
  <si>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</si>
  <si>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</si>
  <si>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</si>
  <si>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</si>
  <si>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</si>
  <si>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</si>
  <si>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</si>
  <si>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</si>
  <si>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</si>
  <si>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</si>
  <si>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</si>
  <si>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</si>
  <si>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</si>
  <si>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</si>
  <si>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</si>
  <si>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</si>
  <si>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</si>
  <si>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</si>
  <si>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</si>
  <si>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</si>
  <si>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</si>
  <si>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</si>
  <si>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</si>
  <si>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</si>
  <si>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</si>
  <si>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</si>
  <si>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</si>
  <si>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</si>
  <si>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</si>
  <si>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</si>
  <si>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</si>
  <si>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</si>
  <si>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</si>
  <si>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</si>
  <si>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</si>
  <si>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</si>
  <si>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</si>
  <si>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</si>
  <si>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</si>
  <si>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</si>
  <si>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</si>
  <si>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</si>
  <si>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</si>
  <si>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</si>
  <si>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</si>
  <si>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</si>
  <si>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</si>
  <si>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</si>
  <si>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</si>
  <si>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</si>
  <si>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</si>
  <si>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</si>
  <si>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</si>
  <si>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</si>
  <si>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</si>
  <si>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</si>
  <si>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</si>
  <si>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</si>
  <si>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</si>
  <si>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</si>
  <si>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</si>
  <si>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</si>
  <si>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</si>
  <si>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</si>
  <si>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</si>
  <si>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</si>
  <si>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</si>
  <si>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</si>
  <si>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</si>
  <si>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</si>
  <si>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</si>
  <si>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</si>
  <si>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</si>
  <si>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</si>
  <si>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</si>
  <si>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</si>
  <si>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</si>
  <si>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</si>
  <si>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</si>
  <si>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</si>
  <si>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</si>
  <si>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</si>
  <si>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</si>
  <si>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</si>
  <si>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</si>
  <si>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</si>
  <si>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</si>
  <si>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</si>
  <si>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</si>
  <si>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</si>
  <si>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</si>
  <si>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</si>
  <si>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</si>
  <si>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</si>
  <si>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</si>
  <si>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</si>
  <si>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</si>
  <si>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</si>
  <si>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</si>
  <si>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</si>
  <si>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</si>
  <si>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</si>
  <si>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</si>
  <si>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</si>
  <si>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</si>
  <si>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</si>
  <si>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</si>
  <si>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</si>
  <si>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</si>
  <si>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</si>
  <si>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</si>
  <si>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</si>
  <si>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</si>
  <si>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</si>
  <si>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</si>
  <si>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</si>
  <si>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</si>
  <si>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</si>
  <si>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</si>
  <si>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</si>
  <si>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</si>
  <si>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</si>
  <si>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</si>
  <si>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</si>
  <si>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</si>
  <si>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</si>
  <si>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</si>
  <si>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</si>
  <si>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</si>
  <si>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</si>
  <si>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</si>
  <si>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</si>
  <si>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</si>
  <si>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</si>
  <si>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</si>
  <si>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</si>
  <si>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</si>
  <si>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</si>
  <si>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</si>
  <si>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</si>
  <si>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</si>
  <si>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</si>
  <si>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</si>
  <si>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</si>
  <si>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</si>
  <si>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</si>
  <si>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</si>
  <si>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</si>
  <si>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</si>
  <si>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</si>
  <si>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</si>
  <si>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</si>
  <si>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</si>
  <si>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</si>
  <si>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</si>
  <si>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</si>
  <si>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</si>
  <si>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</si>
  <si>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</si>
  <si>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</si>
  <si>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</si>
  <si>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</si>
  <si>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</si>
  <si>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</si>
  <si>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</si>
  <si>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</si>
  <si>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</si>
  <si>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</si>
  <si>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</si>
  <si>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</si>
  <si>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</si>
  <si>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</si>
  <si>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</si>
  <si>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</si>
  <si>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</si>
  <si>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</si>
  <si>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</si>
  <si>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</si>
  <si>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</si>
  <si>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</si>
  <si>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</si>
  <si>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</si>
  <si>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</si>
  <si>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</si>
  <si>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</si>
  <si>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</si>
  <si>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</si>
  <si>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</si>
  <si>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</si>
  <si>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</si>
  <si>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</si>
  <si>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</si>
  <si>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</si>
  <si>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</si>
  <si>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</si>
  <si>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</si>
  <si>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</si>
  <si>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</si>
  <si>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</si>
  <si>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</si>
  <si>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</si>
  <si>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</si>
  <si>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</si>
  <si>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</si>
  <si>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</si>
  <si>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</si>
  <si>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</si>
  <si>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</si>
  <si>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</si>
  <si>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</si>
  <si>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</si>
  <si>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</si>
  <si>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</si>
  <si>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</si>
  <si>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</si>
  <si>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</si>
  <si>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</si>
  <si>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</si>
  <si>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</si>
  <si>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</si>
  <si>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</si>
  <si>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</si>
  <si>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</si>
  <si>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</si>
  <si>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</si>
  <si>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</si>
  <si>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</si>
  <si>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</si>
  <si>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</si>
  <si>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</si>
  <si>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</si>
  <si>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</si>
  <si>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</si>
  <si>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</si>
  <si>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</si>
  <si>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</si>
  <si>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</si>
  <si>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</si>
  <si>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</si>
  <si>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</si>
  <si>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</si>
  <si>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</si>
  <si>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</si>
  <si>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</si>
  <si>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</si>
  <si>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</si>
  <si>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</si>
  <si>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</si>
  <si>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</si>
  <si>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</si>
  <si>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</si>
  <si>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</si>
  <si>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</si>
  <si>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</si>
  <si>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</si>
  <si>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</si>
  <si>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</si>
  <si>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</si>
  <si>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</si>
  <si>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</si>
  <si>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</si>
  <si>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</si>
  <si>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</si>
  <si>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</si>
  <si>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</si>
  <si>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</si>
  <si>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</si>
  <si>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</si>
  <si>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</si>
  <si>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</si>
  <si>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</si>
  <si>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</si>
  <si>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</si>
  <si>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</si>
  <si>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</si>
  <si>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</si>
  <si>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</si>
  <si>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</si>
  <si>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</si>
  <si>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</si>
  <si>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</si>
  <si>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</si>
  <si>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</si>
  <si>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</si>
  <si>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</si>
  <si>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</si>
  <si>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</si>
  <si>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</si>
  <si>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</si>
  <si>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</si>
  <si>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</si>
  <si>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</si>
  <si>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</si>
  <si>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</si>
  <si>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</si>
  <si>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</si>
  <si>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</si>
  <si>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</si>
  <si>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</si>
  <si>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</si>
  <si>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</si>
  <si>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</si>
  <si>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</si>
  <si>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</si>
  <si>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</si>
  <si>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</si>
  <si>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</si>
  <si>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</si>
  <si>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</si>
  <si>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</si>
  <si>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</si>
  <si>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</si>
  <si>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</si>
  <si>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</si>
  <si>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</si>
  <si>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</si>
  <si>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</si>
  <si>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</si>
  <si>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</si>
  <si>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</si>
  <si>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</si>
  <si>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</si>
  <si>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</si>
  <si>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</si>
  <si>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</si>
  <si>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</si>
  <si>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</si>
  <si>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</si>
  <si>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</si>
  <si>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</si>
  <si>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</si>
  <si>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</si>
  <si>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</si>
  <si>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</si>
  <si>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</si>
  <si>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</si>
  <si>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</si>
  <si>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</si>
  <si>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</si>
  <si>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</si>
  <si>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</si>
  <si>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</si>
  <si>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</si>
  <si>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</si>
  <si>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</si>
  <si>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</si>
  <si>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</si>
  <si>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</si>
  <si>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</si>
  <si>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</si>
  <si>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</si>
  <si>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</si>
  <si>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</si>
  <si>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</si>
  <si>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</si>
  <si>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</si>
  <si>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</si>
  <si>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</si>
  <si>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</si>
  <si>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</si>
  <si>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</si>
  <si>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</si>
  <si>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</si>
  <si>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</si>
  <si>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</si>
  <si>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</si>
  <si>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</si>
  <si>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</si>
  <si>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</si>
  <si>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</si>
  <si>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</si>
  <si>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</si>
  <si>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</si>
  <si>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</si>
  <si>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</si>
  <si>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</si>
  <si>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</si>
  <si>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</si>
  <si>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</si>
  <si>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</si>
  <si>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</si>
  <si>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</si>
  <si>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</si>
  <si>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</si>
  <si>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</si>
  <si>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11029</t>
  </si>
  <si>
    <t>MORTSEL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</si>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</sst>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195104.86314441563</c:v>
                </c:pt>
                <c:pt idx="1">
                  <c:v>91441.49337882892</c:v>
                </c:pt>
                <c:pt idx="2">
                  <c:v>1095.567</c:v>
                </c:pt>
                <c:pt idx="3">
                  <c:v>855.76983704878342</c:v>
                </c:pt>
                <c:pt idx="4">
                  <c:v>395018.28642307332</c:v>
                </c:pt>
                <c:pt idx="5">
                  <c:v>55641.94718116898</c:v>
                </c:pt>
                <c:pt idx="6">
                  <c:v>4173.4357424234695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195104.86314441563</c:v>
                </c:pt>
                <c:pt idx="1">
                  <c:v>91441.49337882892</c:v>
                </c:pt>
                <c:pt idx="2">
                  <c:v>1095.567</c:v>
                </c:pt>
                <c:pt idx="3">
                  <c:v>855.76983704878342</c:v>
                </c:pt>
                <c:pt idx="4">
                  <c:v>395018.28642307332</c:v>
                </c:pt>
                <c:pt idx="5">
                  <c:v>55641.94718116898</c:v>
                </c:pt>
                <c:pt idx="6">
                  <c:v>4173.4357424234695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39167.458221240129</c:v>
                </c:pt>
                <c:pt idx="2">
                  <c:v>18951.680315884012</c:v>
                </c:pt>
                <c:pt idx="3">
                  <c:v>235.26838868825072</c:v>
                </c:pt>
                <c:pt idx="4">
                  <c:v>217.09603503236875</c:v>
                </c:pt>
                <c:pt idx="5">
                  <c:v>79958.41385472579</c:v>
                </c:pt>
                <c:pt idx="6">
                  <c:v>14042.2932237476</c:v>
                </c:pt>
                <c:pt idx="7">
                  <c:v>1001.9189879516513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39167.458221240129</c:v>
                </c:pt>
                <c:pt idx="2">
                  <c:v>18951.680315884012</c:v>
                </c:pt>
                <c:pt idx="3">
                  <c:v>235.26838868825072</c:v>
                </c:pt>
                <c:pt idx="4">
                  <c:v>217.09603503236875</c:v>
                </c:pt>
                <c:pt idx="5">
                  <c:v>79958.41385472579</c:v>
                </c:pt>
                <c:pt idx="6">
                  <c:v>14042.2932237476</c:v>
                </c:pt>
                <c:pt idx="7">
                  <c:v>1001.9189879516513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11029</v>
      </c>
      <c r="B6" s="395"/>
      <c r="C6" s="396"/>
    </row>
    <row r="7" spans="1:7" s="393" customFormat="1" ht="15.75" customHeight="1">
      <c r="A7" s="397" t="str">
        <f>txtMunicipality</f>
        <v>MORTSEL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0.21474577884168719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0.21474577884168719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10863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106</v>
      </c>
      <c r="C14" s="332"/>
      <c r="D14" s="332"/>
      <c r="E14" s="332"/>
      <c r="F14" s="332"/>
    </row>
    <row r="15" spans="1:6">
      <c r="A15" s="1306" t="s">
        <v>183</v>
      </c>
      <c r="B15" s="1307">
        <v>2</v>
      </c>
      <c r="C15" s="332"/>
      <c r="D15" s="332"/>
      <c r="E15" s="332"/>
      <c r="F15" s="332"/>
    </row>
    <row r="16" spans="1:6">
      <c r="A16" s="1306" t="s">
        <v>6</v>
      </c>
      <c r="B16" s="1307">
        <v>157</v>
      </c>
      <c r="C16" s="332"/>
      <c r="D16" s="332"/>
      <c r="E16" s="332"/>
      <c r="F16" s="332"/>
    </row>
    <row r="17" spans="1:6">
      <c r="A17" s="1306" t="s">
        <v>7</v>
      </c>
      <c r="B17" s="1307">
        <v>1</v>
      </c>
      <c r="C17" s="332"/>
      <c r="D17" s="332"/>
      <c r="E17" s="332"/>
      <c r="F17" s="332"/>
    </row>
    <row r="18" spans="1:6">
      <c r="A18" s="1306" t="s">
        <v>8</v>
      </c>
      <c r="B18" s="1307">
        <v>72</v>
      </c>
      <c r="C18" s="332"/>
      <c r="D18" s="332"/>
      <c r="E18" s="332"/>
      <c r="F18" s="332"/>
    </row>
    <row r="19" spans="1:6">
      <c r="A19" s="1306" t="s">
        <v>9</v>
      </c>
      <c r="B19" s="1307">
        <v>76</v>
      </c>
      <c r="C19" s="332"/>
      <c r="D19" s="332"/>
      <c r="E19" s="332"/>
      <c r="F19" s="332"/>
    </row>
    <row r="20" spans="1:6">
      <c r="A20" s="1306" t="s">
        <v>10</v>
      </c>
      <c r="B20" s="1307">
        <v>63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3</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17447.5188373483</v>
      </c>
    </row>
    <row r="37" spans="1:6">
      <c r="A37" s="1306" t="s">
        <v>24</v>
      </c>
      <c r="B37" s="1306" t="s">
        <v>27</v>
      </c>
      <c r="C37" s="1307">
        <v>0</v>
      </c>
      <c r="D37" s="1307">
        <v>0</v>
      </c>
      <c r="E37" s="1307">
        <v>0</v>
      </c>
      <c r="F37" s="1307">
        <v>0</v>
      </c>
    </row>
    <row r="38" spans="1:6">
      <c r="A38" s="1306" t="s">
        <v>24</v>
      </c>
      <c r="B38" s="1306" t="s">
        <v>28</v>
      </c>
      <c r="C38" s="1307">
        <v>1</v>
      </c>
      <c r="D38" s="1307">
        <v>77229.640147824</v>
      </c>
      <c r="E38" s="1307">
        <v>3</v>
      </c>
      <c r="F38" s="1307">
        <v>15552</v>
      </c>
    </row>
    <row r="39" spans="1:6">
      <c r="A39" s="1306" t="s">
        <v>29</v>
      </c>
      <c r="B39" s="1306" t="s">
        <v>30</v>
      </c>
      <c r="C39" s="1307">
        <v>9211</v>
      </c>
      <c r="D39" s="1307">
        <v>159403725.73053601</v>
      </c>
      <c r="E39" s="1307">
        <v>11155</v>
      </c>
      <c r="F39" s="1307">
        <v>35658027.536850899</v>
      </c>
    </row>
    <row r="40" spans="1:6">
      <c r="A40" s="1306" t="s">
        <v>29</v>
      </c>
      <c r="B40" s="1306" t="s">
        <v>28</v>
      </c>
      <c r="C40" s="1307">
        <v>0</v>
      </c>
      <c r="D40" s="1307">
        <v>0</v>
      </c>
      <c r="E40" s="1307">
        <v>0</v>
      </c>
      <c r="F40" s="1307">
        <v>0</v>
      </c>
    </row>
    <row r="41" spans="1:6">
      <c r="A41" s="1306" t="s">
        <v>31</v>
      </c>
      <c r="B41" s="1306" t="s">
        <v>32</v>
      </c>
      <c r="C41" s="1307">
        <v>54</v>
      </c>
      <c r="D41" s="1307">
        <v>1073547.8490134401</v>
      </c>
      <c r="E41" s="1307">
        <v>110</v>
      </c>
      <c r="F41" s="1307">
        <v>2794339.7421230902</v>
      </c>
    </row>
    <row r="42" spans="1:6">
      <c r="A42" s="1306" t="s">
        <v>31</v>
      </c>
      <c r="B42" s="1306" t="s">
        <v>33</v>
      </c>
      <c r="C42" s="1307">
        <v>8</v>
      </c>
      <c r="D42" s="1307">
        <v>426802693.883174</v>
      </c>
      <c r="E42" s="1307">
        <v>3</v>
      </c>
      <c r="F42" s="1307">
        <v>6066.2979857316004</v>
      </c>
    </row>
    <row r="43" spans="1:6">
      <c r="A43" s="1306" t="s">
        <v>31</v>
      </c>
      <c r="B43" s="1306" t="s">
        <v>34</v>
      </c>
      <c r="C43" s="1307">
        <v>0</v>
      </c>
      <c r="D43" s="1307">
        <v>0</v>
      </c>
      <c r="E43" s="1307">
        <v>0</v>
      </c>
      <c r="F43" s="1307">
        <v>0</v>
      </c>
    </row>
    <row r="44" spans="1:6">
      <c r="A44" s="1306" t="s">
        <v>31</v>
      </c>
      <c r="B44" s="1306" t="s">
        <v>35</v>
      </c>
      <c r="C44" s="1307">
        <v>0</v>
      </c>
      <c r="D44" s="1307">
        <v>0</v>
      </c>
      <c r="E44" s="1307">
        <v>13</v>
      </c>
      <c r="F44" s="1307">
        <v>121812.46339371501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125504.28637446401</v>
      </c>
      <c r="E47" s="1307">
        <v>4</v>
      </c>
      <c r="F47" s="1307">
        <v>44086.719535233096</v>
      </c>
    </row>
    <row r="48" spans="1:6">
      <c r="A48" s="1306" t="s">
        <v>31</v>
      </c>
      <c r="B48" s="1306" t="s">
        <v>28</v>
      </c>
      <c r="C48" s="1307">
        <v>17</v>
      </c>
      <c r="D48" s="1307">
        <v>658759.474979572</v>
      </c>
      <c r="E48" s="1307">
        <v>17</v>
      </c>
      <c r="F48" s="1307">
        <v>131824.73941124501</v>
      </c>
    </row>
    <row r="49" spans="1:6">
      <c r="A49" s="1306" t="s">
        <v>31</v>
      </c>
      <c r="B49" s="1306" t="s">
        <v>39</v>
      </c>
      <c r="C49" s="1307">
        <v>0</v>
      </c>
      <c r="D49" s="1307">
        <v>0</v>
      </c>
      <c r="E49" s="1307">
        <v>0</v>
      </c>
      <c r="F49" s="1307">
        <v>0</v>
      </c>
    </row>
    <row r="50" spans="1:6">
      <c r="A50" s="1306" t="s">
        <v>31</v>
      </c>
      <c r="B50" s="1306" t="s">
        <v>40</v>
      </c>
      <c r="C50" s="1307">
        <v>8</v>
      </c>
      <c r="D50" s="1307">
        <v>627530.47687471099</v>
      </c>
      <c r="E50" s="1307">
        <v>10</v>
      </c>
      <c r="F50" s="1307">
        <v>611700.21811970603</v>
      </c>
    </row>
    <row r="51" spans="1:6">
      <c r="A51" s="1306" t="s">
        <v>41</v>
      </c>
      <c r="B51" s="1306" t="s">
        <v>42</v>
      </c>
      <c r="C51" s="1307">
        <v>0</v>
      </c>
      <c r="D51" s="1307">
        <v>0</v>
      </c>
      <c r="E51" s="1307">
        <v>5</v>
      </c>
      <c r="F51" s="1307">
        <v>155435.768648506</v>
      </c>
    </row>
    <row r="52" spans="1:6">
      <c r="A52" s="1306" t="s">
        <v>41</v>
      </c>
      <c r="B52" s="1306" t="s">
        <v>28</v>
      </c>
      <c r="C52" s="1307">
        <v>3</v>
      </c>
      <c r="D52" s="1307">
        <v>79311.339195165594</v>
      </c>
      <c r="E52" s="1307">
        <v>1</v>
      </c>
      <c r="F52" s="1307">
        <v>14559.9252757593</v>
      </c>
    </row>
    <row r="53" spans="1:6">
      <c r="A53" s="1306" t="s">
        <v>43</v>
      </c>
      <c r="B53" s="1306" t="s">
        <v>44</v>
      </c>
      <c r="C53" s="1307">
        <v>266</v>
      </c>
      <c r="D53" s="1307">
        <v>6765162.7034224197</v>
      </c>
      <c r="E53" s="1307">
        <v>460</v>
      </c>
      <c r="F53" s="1307">
        <v>1332041.2515473899</v>
      </c>
    </row>
    <row r="54" spans="1:6">
      <c r="A54" s="1306" t="s">
        <v>45</v>
      </c>
      <c r="B54" s="1306" t="s">
        <v>46</v>
      </c>
      <c r="C54" s="1307">
        <v>0</v>
      </c>
      <c r="D54" s="1307">
        <v>0</v>
      </c>
      <c r="E54" s="1307">
        <v>1</v>
      </c>
      <c r="F54" s="1307">
        <v>1095567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83</v>
      </c>
      <c r="D57" s="1307">
        <v>2690969.326049</v>
      </c>
      <c r="E57" s="1307">
        <v>116</v>
      </c>
      <c r="F57" s="1307">
        <v>1047948.91061025</v>
      </c>
    </row>
    <row r="58" spans="1:6">
      <c r="A58" s="1306" t="s">
        <v>48</v>
      </c>
      <c r="B58" s="1306" t="s">
        <v>50</v>
      </c>
      <c r="C58" s="1307">
        <v>97</v>
      </c>
      <c r="D58" s="1307">
        <v>14110294.4152396</v>
      </c>
      <c r="E58" s="1307">
        <v>125</v>
      </c>
      <c r="F58" s="1307">
        <v>2623357.8962310902</v>
      </c>
    </row>
    <row r="59" spans="1:6">
      <c r="A59" s="1306" t="s">
        <v>48</v>
      </c>
      <c r="B59" s="1306" t="s">
        <v>51</v>
      </c>
      <c r="C59" s="1307">
        <v>186</v>
      </c>
      <c r="D59" s="1307">
        <v>6851594.0383645501</v>
      </c>
      <c r="E59" s="1307">
        <v>309</v>
      </c>
      <c r="F59" s="1307">
        <v>6900100.0887788003</v>
      </c>
    </row>
    <row r="60" spans="1:6">
      <c r="A60" s="1306" t="s">
        <v>48</v>
      </c>
      <c r="B60" s="1306" t="s">
        <v>52</v>
      </c>
      <c r="C60" s="1307">
        <v>83</v>
      </c>
      <c r="D60" s="1307">
        <v>12255389.2784626</v>
      </c>
      <c r="E60" s="1307">
        <v>92</v>
      </c>
      <c r="F60" s="1307">
        <v>3352085.8351506698</v>
      </c>
    </row>
    <row r="61" spans="1:6">
      <c r="A61" s="1306" t="s">
        <v>48</v>
      </c>
      <c r="B61" s="1306" t="s">
        <v>53</v>
      </c>
      <c r="C61" s="1307">
        <v>277</v>
      </c>
      <c r="D61" s="1307">
        <v>17490527.124506399</v>
      </c>
      <c r="E61" s="1307">
        <v>597</v>
      </c>
      <c r="F61" s="1307">
        <v>6997315.3408852397</v>
      </c>
    </row>
    <row r="62" spans="1:6">
      <c r="A62" s="1306" t="s">
        <v>48</v>
      </c>
      <c r="B62" s="1306" t="s">
        <v>54</v>
      </c>
      <c r="C62" s="1307">
        <v>19</v>
      </c>
      <c r="D62" s="1307">
        <v>927412.25129793806</v>
      </c>
      <c r="E62" s="1307">
        <v>31</v>
      </c>
      <c r="F62" s="1307">
        <v>615820.52321619901</v>
      </c>
    </row>
    <row r="63" spans="1:6">
      <c r="A63" s="1306" t="s">
        <v>48</v>
      </c>
      <c r="B63" s="1306" t="s">
        <v>28</v>
      </c>
      <c r="C63" s="1307">
        <v>91</v>
      </c>
      <c r="D63" s="1307">
        <v>5199445.2235990604</v>
      </c>
      <c r="E63" s="1307">
        <v>89</v>
      </c>
      <c r="F63" s="1307">
        <v>8468595.7895703204</v>
      </c>
    </row>
    <row r="64" spans="1:6">
      <c r="A64" s="1306" t="s">
        <v>55</v>
      </c>
      <c r="B64" s="1306" t="s">
        <v>56</v>
      </c>
      <c r="C64" s="1307">
        <v>0</v>
      </c>
      <c r="D64" s="1307">
        <v>0</v>
      </c>
      <c r="E64" s="1307">
        <v>0</v>
      </c>
      <c r="F64" s="1307">
        <v>0</v>
      </c>
    </row>
    <row r="65" spans="1:6">
      <c r="A65" s="1306" t="s">
        <v>55</v>
      </c>
      <c r="B65" s="1306" t="s">
        <v>28</v>
      </c>
      <c r="C65" s="1307">
        <v>4</v>
      </c>
      <c r="D65" s="1307">
        <v>80687.079681830699</v>
      </c>
      <c r="E65" s="1307">
        <v>2</v>
      </c>
      <c r="F65" s="1307">
        <v>8227.4178773008007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109429.60298796601</v>
      </c>
      <c r="E68" s="1310">
        <v>8</v>
      </c>
      <c r="F68" s="1310">
        <v>40896.305781772397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47084133</v>
      </c>
      <c r="E73" s="456"/>
      <c r="F73" s="332"/>
    </row>
    <row r="74" spans="1:6">
      <c r="A74" s="1306" t="s">
        <v>63</v>
      </c>
      <c r="B74" s="1306" t="s">
        <v>724</v>
      </c>
      <c r="C74" s="1320" t="s">
        <v>725</v>
      </c>
      <c r="D74" s="1321">
        <v>2516031.1963470108</v>
      </c>
      <c r="E74" s="456"/>
      <c r="F74" s="332"/>
    </row>
    <row r="75" spans="1:6">
      <c r="A75" s="1306" t="s">
        <v>64</v>
      </c>
      <c r="B75" s="1306" t="s">
        <v>722</v>
      </c>
      <c r="C75" s="1320" t="s">
        <v>726</v>
      </c>
      <c r="D75" s="1321">
        <v>19080026</v>
      </c>
      <c r="E75" s="456"/>
      <c r="F75" s="332"/>
    </row>
    <row r="76" spans="1:6">
      <c r="A76" s="1306" t="s">
        <v>64</v>
      </c>
      <c r="B76" s="1306" t="s">
        <v>724</v>
      </c>
      <c r="C76" s="1320" t="s">
        <v>727</v>
      </c>
      <c r="D76" s="1321">
        <v>618704.1963470109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684177.60730597819</v>
      </c>
      <c r="C83" s="456"/>
      <c r="D83" s="332"/>
      <c r="E83" s="332"/>
      <c r="F83" s="332"/>
    </row>
    <row r="84" spans="1:6">
      <c r="A84" s="1301" t="s">
        <v>336</v>
      </c>
      <c r="B84" s="1322">
        <v>450438.82380139857</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1236.8550968462603</v>
      </c>
      <c r="C91" s="332"/>
      <c r="D91" s="332"/>
      <c r="E91" s="332"/>
      <c r="F91" s="332"/>
    </row>
    <row r="92" spans="1:6">
      <c r="A92" s="1301" t="s">
        <v>68</v>
      </c>
      <c r="B92" s="1302">
        <v>879.90711745963677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7129</v>
      </c>
      <c r="C97" s="332"/>
      <c r="D97" s="332"/>
      <c r="E97" s="332"/>
      <c r="F97" s="332"/>
    </row>
    <row r="98" spans="1:6">
      <c r="A98" s="1306" t="s">
        <v>71</v>
      </c>
      <c r="B98" s="1307">
        <v>9</v>
      </c>
      <c r="C98" s="332"/>
      <c r="D98" s="332"/>
      <c r="E98" s="332"/>
      <c r="F98" s="332"/>
    </row>
    <row r="99" spans="1:6">
      <c r="A99" s="1306" t="s">
        <v>72</v>
      </c>
      <c r="B99" s="1307">
        <v>16</v>
      </c>
      <c r="C99" s="332"/>
      <c r="D99" s="332"/>
      <c r="E99" s="332"/>
      <c r="F99" s="332"/>
    </row>
    <row r="100" spans="1:6">
      <c r="A100" s="1306" t="s">
        <v>73</v>
      </c>
      <c r="B100" s="1307">
        <v>538</v>
      </c>
      <c r="C100" s="332"/>
      <c r="D100" s="332"/>
      <c r="E100" s="332"/>
      <c r="F100" s="332"/>
    </row>
    <row r="101" spans="1:6">
      <c r="A101" s="1306" t="s">
        <v>74</v>
      </c>
      <c r="B101" s="1307">
        <v>33</v>
      </c>
      <c r="C101" s="332"/>
      <c r="D101" s="332"/>
      <c r="E101" s="332"/>
      <c r="F101" s="332"/>
    </row>
    <row r="102" spans="1:6">
      <c r="A102" s="1306" t="s">
        <v>75</v>
      </c>
      <c r="B102" s="1307">
        <v>143</v>
      </c>
      <c r="C102" s="332"/>
      <c r="D102" s="332"/>
      <c r="E102" s="332"/>
      <c r="F102" s="332"/>
    </row>
    <row r="103" spans="1:6">
      <c r="A103" s="1306" t="s">
        <v>76</v>
      </c>
      <c r="B103" s="1307">
        <v>56</v>
      </c>
      <c r="C103" s="332"/>
      <c r="D103" s="332"/>
      <c r="E103" s="332"/>
      <c r="F103" s="332"/>
    </row>
    <row r="104" spans="1:6">
      <c r="A104" s="1306" t="s">
        <v>77</v>
      </c>
      <c r="B104" s="1307">
        <v>2194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74798.194294715664</v>
      </c>
      <c r="C3" s="43" t="s">
        <v>169</v>
      </c>
      <c r="D3" s="43"/>
      <c r="E3" s="156"/>
      <c r="F3" s="43"/>
      <c r="G3" s="43"/>
      <c r="H3" s="43"/>
      <c r="I3" s="43"/>
      <c r="J3" s="43"/>
      <c r="K3" s="96"/>
    </row>
    <row r="4" spans="1:11">
      <c r="A4" s="363" t="s">
        <v>170</v>
      </c>
      <c r="B4" s="49">
        <f>IF(ISERROR('SEAP template'!B78+'SEAP template'!C78),0,'SEAP template'!B78+'SEAP template'!C78)</f>
        <v>2116.762214305897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0.21474577884168719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1095.567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1095.567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0.21474577884168719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235.26838868825072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35658.027536850903</v>
      </c>
      <c r="C5" s="17">
        <f>IF(ISERROR('Eigen informatie GS &amp; warmtenet'!B57),0,'Eigen informatie GS &amp; warmtenet'!B57)</f>
        <v>0</v>
      </c>
      <c r="D5" s="30">
        <f>(SUM(HH_hh_gas_kWh,HH_rest_gas_kWh)/1000)*0.902</f>
        <v>143782.16060894349</v>
      </c>
      <c r="E5" s="17">
        <f>B46*B57</f>
        <v>829.9332252709014</v>
      </c>
      <c r="F5" s="17">
        <f>B51*B62</f>
        <v>7535.755167232639</v>
      </c>
      <c r="G5" s="18"/>
      <c r="H5" s="17"/>
      <c r="I5" s="17"/>
      <c r="J5" s="17">
        <f>B50*B61+C50*C61</f>
        <v>0</v>
      </c>
      <c r="K5" s="17"/>
      <c r="L5" s="17"/>
      <c r="M5" s="17"/>
      <c r="N5" s="17">
        <f>B48*B59+C48*C59</f>
        <v>5859.2348426047647</v>
      </c>
      <c r="O5" s="17">
        <f>B69*B70*B71</f>
        <v>126.63</v>
      </c>
      <c r="P5" s="17">
        <f>B77*B78*B79/1000-B77*B78*B79/1000/B80</f>
        <v>76.266666666666666</v>
      </c>
    </row>
    <row r="6" spans="1:16">
      <c r="A6" s="16" t="s">
        <v>633</v>
      </c>
      <c r="B6" s="779">
        <f>kWh_PV_kleiner_dan_10kW</f>
        <v>1236.8550968462603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36894.882633697162</v>
      </c>
      <c r="C8" s="21">
        <f>C5</f>
        <v>0</v>
      </c>
      <c r="D8" s="21">
        <f>D5</f>
        <v>143782.16060894349</v>
      </c>
      <c r="E8" s="21">
        <f>E5</f>
        <v>829.9332252709014</v>
      </c>
      <c r="F8" s="21">
        <f>F5</f>
        <v>7535.755167232639</v>
      </c>
      <c r="G8" s="21"/>
      <c r="H8" s="21"/>
      <c r="I8" s="21"/>
      <c r="J8" s="21">
        <f>J5</f>
        <v>0</v>
      </c>
      <c r="K8" s="21"/>
      <c r="L8" s="21">
        <f>L5</f>
        <v>0</v>
      </c>
      <c r="M8" s="21">
        <f>M5</f>
        <v>0</v>
      </c>
      <c r="N8" s="21">
        <f>N5</f>
        <v>5859.2348426047647</v>
      </c>
      <c r="O8" s="21">
        <f>O5</f>
        <v>126.63</v>
      </c>
      <c r="P8" s="21">
        <f>P5</f>
        <v>76.266666666666666</v>
      </c>
    </row>
    <row r="9" spans="1:16">
      <c r="B9" s="19"/>
      <c r="C9" s="19"/>
      <c r="D9" s="261"/>
      <c r="E9" s="19"/>
      <c r="F9" s="19"/>
      <c r="G9" s="19"/>
      <c r="H9" s="19"/>
      <c r="I9" s="19"/>
      <c r="J9" s="19"/>
      <c r="K9" s="19"/>
      <c r="L9" s="19"/>
      <c r="M9" s="19"/>
      <c r="N9" s="19"/>
      <c r="O9" s="19"/>
      <c r="P9" s="19"/>
    </row>
    <row r="10" spans="1:16">
      <c r="A10" s="24" t="s">
        <v>213</v>
      </c>
      <c r="B10" s="25">
        <f ca="1">'EF ele_warmte'!B12</f>
        <v>0.21474577884168719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7923.0203064459365</v>
      </c>
      <c r="C12" s="23">
        <f ca="1">C10*C8</f>
        <v>0</v>
      </c>
      <c r="D12" s="23">
        <f>D8*D10</f>
        <v>29043.996443006588</v>
      </c>
      <c r="E12" s="23">
        <f>E10*E8</f>
        <v>188.39484213649462</v>
      </c>
      <c r="F12" s="23">
        <f>F10*F8</f>
        <v>2012.0466296511147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7129</v>
      </c>
      <c r="C18" s="168" t="s">
        <v>110</v>
      </c>
      <c r="D18" s="230"/>
      <c r="E18" s="15"/>
    </row>
    <row r="19" spans="1:7">
      <c r="A19" s="173" t="s">
        <v>71</v>
      </c>
      <c r="B19" s="37">
        <f>aantalw2001_ander</f>
        <v>9</v>
      </c>
      <c r="C19" s="168" t="s">
        <v>110</v>
      </c>
      <c r="D19" s="231"/>
      <c r="E19" s="15"/>
    </row>
    <row r="20" spans="1:7">
      <c r="A20" s="173" t="s">
        <v>72</v>
      </c>
      <c r="B20" s="37">
        <f>aantalw2001_propaan</f>
        <v>16</v>
      </c>
      <c r="C20" s="169">
        <f>IF(ISERROR(B20/SUM($B$20,$B$21,$B$22)*100),0,B20/SUM($B$20,$B$21,$B$22)*100)</f>
        <v>2.7257240204429301</v>
      </c>
      <c r="D20" s="231"/>
      <c r="E20" s="15"/>
    </row>
    <row r="21" spans="1:7">
      <c r="A21" s="173" t="s">
        <v>73</v>
      </c>
      <c r="B21" s="37">
        <f>aantalw2001_elektriciteit</f>
        <v>538</v>
      </c>
      <c r="C21" s="169">
        <f>IF(ISERROR(B21/SUM($B$20,$B$21,$B$22)*100),0,B21/SUM($B$20,$B$21,$B$22)*100)</f>
        <v>91.652470187393533</v>
      </c>
      <c r="D21" s="231"/>
      <c r="E21" s="15"/>
    </row>
    <row r="22" spans="1:7">
      <c r="A22" s="173" t="s">
        <v>74</v>
      </c>
      <c r="B22" s="37">
        <f>aantalw2001_hout</f>
        <v>33</v>
      </c>
      <c r="C22" s="169">
        <f>IF(ISERROR(B22/SUM($B$20,$B$21,$B$22)*100),0,B22/SUM($B$20,$B$21,$B$22)*100)</f>
        <v>5.6218057921635438</v>
      </c>
      <c r="D22" s="231"/>
      <c r="E22" s="15"/>
    </row>
    <row r="23" spans="1:7">
      <c r="A23" s="173" t="s">
        <v>75</v>
      </c>
      <c r="B23" s="37">
        <f>aantalw2001_niet_gespec</f>
        <v>143</v>
      </c>
      <c r="C23" s="168" t="s">
        <v>110</v>
      </c>
      <c r="D23" s="230"/>
      <c r="E23" s="15"/>
    </row>
    <row r="24" spans="1:7">
      <c r="A24" s="173" t="s">
        <v>76</v>
      </c>
      <c r="B24" s="37">
        <f>aantalw2001_steenkool</f>
        <v>56</v>
      </c>
      <c r="C24" s="168" t="s">
        <v>110</v>
      </c>
      <c r="D24" s="231"/>
      <c r="E24" s="15"/>
    </row>
    <row r="25" spans="1:7">
      <c r="A25" s="173" t="s">
        <v>77</v>
      </c>
      <c r="B25" s="37">
        <f>aantalw2001_stookolie</f>
        <v>2194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10863</v>
      </c>
      <c r="C28" s="36"/>
      <c r="D28" s="230"/>
    </row>
    <row r="29" spans="1:7" s="15" customFormat="1">
      <c r="A29" s="232" t="s">
        <v>743</v>
      </c>
      <c r="B29" s="37">
        <f>SUM(HH_hh_gas_aantal,HH_rest_gas_aantal)</f>
        <v>9211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9211</v>
      </c>
      <c r="C32" s="169">
        <f>IF(ISERROR(B32/SUM($B$32,$B$34,$B$35,$B$36,$B$38,$B$39)*100),0,B32/SUM($B$32,$B$34,$B$35,$B$36,$B$38,$B$39)*100)</f>
        <v>84.823648586425989</v>
      </c>
      <c r="D32" s="235"/>
      <c r="G32" s="15"/>
    </row>
    <row r="33" spans="1:7">
      <c r="A33" s="173" t="s">
        <v>71</v>
      </c>
      <c r="B33" s="34" t="s">
        <v>110</v>
      </c>
      <c r="C33" s="169"/>
      <c r="D33" s="235"/>
      <c r="G33" s="15"/>
    </row>
    <row r="34" spans="1:7">
      <c r="A34" s="173" t="s">
        <v>72</v>
      </c>
      <c r="B34" s="33">
        <f>IF((($B$28-$B$32-$B$39-$B$77-$B$38)*C20/100)&lt;0,0,($B$28-$B$32-$B$39-$B$77-$B$38)*C20/100)</f>
        <v>36.192163543441225</v>
      </c>
      <c r="C34" s="169">
        <f>IF(ISERROR(B34/SUM($B$32,$B$34,$B$35,$B$36,$B$38,$B$39)*100),0,B34/SUM($B$32,$B$34,$B$35,$B$36,$B$38,$B$39)*100)</f>
        <v>0.33329186429175084</v>
      </c>
      <c r="D34" s="235"/>
      <c r="G34" s="15"/>
    </row>
    <row r="35" spans="1:7">
      <c r="A35" s="173" t="s">
        <v>73</v>
      </c>
      <c r="B35" s="33">
        <f>IF((($B$28-$B$32-$B$39-$B$77-$B$38)*C21/100)&lt;0,0,($B$28-$B$32-$B$39-$B$77-$B$38)*C21/100)</f>
        <v>1216.9614991482113</v>
      </c>
      <c r="C35" s="169">
        <f>IF(ISERROR(B35/SUM($B$32,$B$34,$B$35,$B$36,$B$38,$B$39)*100),0,B35/SUM($B$32,$B$34,$B$35,$B$36,$B$38,$B$39)*100)</f>
        <v>11.20693893681012</v>
      </c>
      <c r="D35" s="235"/>
      <c r="G35" s="15"/>
    </row>
    <row r="36" spans="1:7">
      <c r="A36" s="173" t="s">
        <v>74</v>
      </c>
      <c r="B36" s="33">
        <f>IF((($B$28-$B$32-$B$39-$B$77-$B$38)*C22/100)&lt;0,0,($B$28-$B$32-$B$39-$B$77-$B$38)*C22/100)</f>
        <v>74.646337308347526</v>
      </c>
      <c r="C36" s="169">
        <f>IF(ISERROR(B36/SUM($B$32,$B$34,$B$35,$B$36,$B$38,$B$39)*100),0,B36/SUM($B$32,$B$34,$B$35,$B$36,$B$38,$B$39)*100)</f>
        <v>0.68741447010173595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320.20000000000005</v>
      </c>
      <c r="C39" s="169">
        <f>IF(ISERROR(B39/SUM($B$32,$B$34,$B$35,$B$36,$B$38,$B$39)*100),0,B39/SUM($B$32,$B$34,$B$35,$B$36,$B$38,$B$39)*100)</f>
        <v>2.948706142370384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9211</v>
      </c>
      <c r="C44" s="34" t="s">
        <v>110</v>
      </c>
      <c r="D44" s="176"/>
    </row>
    <row r="45" spans="1:7">
      <c r="A45" s="173" t="s">
        <v>71</v>
      </c>
      <c r="B45" s="33" t="str">
        <f t="shared" si="0"/>
        <v>-</v>
      </c>
      <c r="C45" s="34" t="s">
        <v>110</v>
      </c>
      <c r="D45" s="176"/>
    </row>
    <row r="46" spans="1:7">
      <c r="A46" s="173" t="s">
        <v>72</v>
      </c>
      <c r="B46" s="33">
        <f t="shared" si="0"/>
        <v>36.192163543441225</v>
      </c>
      <c r="C46" s="34" t="s">
        <v>110</v>
      </c>
      <c r="D46" s="176"/>
    </row>
    <row r="47" spans="1:7">
      <c r="A47" s="173" t="s">
        <v>73</v>
      </c>
      <c r="B47" s="33">
        <f t="shared" si="0"/>
        <v>1216.9614991482113</v>
      </c>
      <c r="C47" s="34" t="s">
        <v>110</v>
      </c>
      <c r="D47" s="176"/>
    </row>
    <row r="48" spans="1:7">
      <c r="A48" s="173" t="s">
        <v>74</v>
      </c>
      <c r="B48" s="33">
        <f t="shared" si="0"/>
        <v>74.646337308347526</v>
      </c>
      <c r="C48" s="33">
        <f>B48*10</f>
        <v>746.46337308347529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320.20000000000005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30005.224384442568</v>
      </c>
      <c r="C5" s="17">
        <f>IF(ISERROR('Eigen informatie GS &amp; warmtenet'!B58),0,'Eigen informatie GS &amp; warmtenet'!B58)</f>
        <v>0</v>
      </c>
      <c r="D5" s="30">
        <f>SUM(D6:D12)</f>
        <v>53692.119755082276</v>
      </c>
      <c r="E5" s="17">
        <f>SUM(E6:E12)</f>
        <v>426.37668994534209</v>
      </c>
      <c r="F5" s="17">
        <f>SUM(F6:F12)</f>
        <v>5863.6304755921174</v>
      </c>
      <c r="G5" s="18"/>
      <c r="H5" s="17"/>
      <c r="I5" s="17"/>
      <c r="J5" s="17">
        <f>SUM(J6:J12)</f>
        <v>0</v>
      </c>
      <c r="K5" s="17"/>
      <c r="L5" s="17"/>
      <c r="M5" s="17"/>
      <c r="N5" s="17">
        <f>SUM(N6:N12)</f>
        <v>1454.142073766604</v>
      </c>
      <c r="O5" s="17">
        <f>B38*B39*B40</f>
        <v>0</v>
      </c>
      <c r="P5" s="17">
        <f>B46*B47*B48/1000-B46*B47*B48/1000/B49</f>
        <v>0</v>
      </c>
      <c r="R5" s="32"/>
    </row>
    <row r="6" spans="1:18">
      <c r="A6" s="32" t="s">
        <v>53</v>
      </c>
      <c r="B6" s="37">
        <f>B26</f>
        <v>6997.3153408852395</v>
      </c>
      <c r="C6" s="33"/>
      <c r="D6" s="37">
        <f>IF(ISERROR(TER_kantoor_gas_kWh/1000),0,TER_kantoor_gas_kWh/1000)*0.902</f>
        <v>15776.455466304773</v>
      </c>
      <c r="E6" s="33">
        <f>$C$26*'E Balans VL '!I12/100/3.6*1000000</f>
        <v>27.186051517311405</v>
      </c>
      <c r="F6" s="33">
        <f>$C$26*('E Balans VL '!L12+'E Balans VL '!N12)/100/3.6*1000000</f>
        <v>1064.227992855295</v>
      </c>
      <c r="G6" s="34"/>
      <c r="H6" s="33"/>
      <c r="I6" s="33"/>
      <c r="J6" s="33">
        <f>$C$26*('E Balans VL '!D12+'E Balans VL '!E12)/100/3.6*1000000</f>
        <v>0</v>
      </c>
      <c r="K6" s="33"/>
      <c r="L6" s="33"/>
      <c r="M6" s="33"/>
      <c r="N6" s="33">
        <f>$C$26*'E Balans VL '!Y12/100/3.6*1000000</f>
        <v>3.8563590105618797</v>
      </c>
      <c r="O6" s="33"/>
      <c r="P6" s="33"/>
      <c r="R6" s="32"/>
    </row>
    <row r="7" spans="1:18">
      <c r="A7" s="32" t="s">
        <v>52</v>
      </c>
      <c r="B7" s="37">
        <f t="shared" ref="B7:B12" si="0">B27</f>
        <v>3352.0858351506699</v>
      </c>
      <c r="C7" s="33"/>
      <c r="D7" s="37">
        <f>IF(ISERROR(TER_horeca_gas_kWh/1000),0,TER_horeca_gas_kWh/1000)*0.902</f>
        <v>11054.361129173267</v>
      </c>
      <c r="E7" s="33">
        <f>$C$27*'E Balans VL '!I9/100/3.6*1000000</f>
        <v>188.82389129330502</v>
      </c>
      <c r="F7" s="33">
        <f>$C$27*('E Balans VL '!L9+'E Balans VL '!N9)/100/3.6*1000000</f>
        <v>966.54086957529159</v>
      </c>
      <c r="G7" s="34"/>
      <c r="H7" s="33"/>
      <c r="I7" s="33"/>
      <c r="J7" s="33">
        <f>$C$27*('E Balans VL '!D9+'E Balans VL '!E9)/100/3.6*1000000</f>
        <v>0</v>
      </c>
      <c r="K7" s="33"/>
      <c r="L7" s="33"/>
      <c r="M7" s="33"/>
      <c r="N7" s="33">
        <f>$C$27*'E Balans VL '!Y9/100/3.6*1000000</f>
        <v>0.92549348000819309</v>
      </c>
      <c r="O7" s="33"/>
      <c r="P7" s="33"/>
      <c r="R7" s="32"/>
    </row>
    <row r="8" spans="1:18">
      <c r="A8" s="6" t="s">
        <v>51</v>
      </c>
      <c r="B8" s="37">
        <f t="shared" si="0"/>
        <v>6900.1000887788005</v>
      </c>
      <c r="C8" s="33"/>
      <c r="D8" s="37">
        <f>IF(ISERROR(TER_handel_gas_kWh/1000),0,TER_handel_gas_kWh/1000)*0.902</f>
        <v>6180.1378226048246</v>
      </c>
      <c r="E8" s="33">
        <f>$C$28*'E Balans VL '!I13/100/3.6*1000000</f>
        <v>99.453851990206914</v>
      </c>
      <c r="F8" s="33">
        <f>$C$28*('E Balans VL '!L13+'E Balans VL '!N13)/100/3.6*1000000</f>
        <v>1198.7080779086004</v>
      </c>
      <c r="G8" s="34"/>
      <c r="H8" s="33"/>
      <c r="I8" s="33"/>
      <c r="J8" s="33">
        <f>$C$28*('E Balans VL '!D13+'E Balans VL '!E13)/100/3.6*1000000</f>
        <v>0</v>
      </c>
      <c r="K8" s="33"/>
      <c r="L8" s="33"/>
      <c r="M8" s="33"/>
      <c r="N8" s="33">
        <f>$C$28*'E Balans VL '!Y13/100/3.6*1000000</f>
        <v>20.673468000946869</v>
      </c>
      <c r="O8" s="33"/>
      <c r="P8" s="33"/>
      <c r="R8" s="32"/>
    </row>
    <row r="9" spans="1:18">
      <c r="A9" s="32" t="s">
        <v>50</v>
      </c>
      <c r="B9" s="37">
        <f t="shared" si="0"/>
        <v>2623.3578962310903</v>
      </c>
      <c r="C9" s="33"/>
      <c r="D9" s="37">
        <f>IF(ISERROR(TER_gezond_gas_kWh/1000),0,TER_gezond_gas_kWh/1000)*0.902</f>
        <v>12727.48556254612</v>
      </c>
      <c r="E9" s="33">
        <f>$C$29*'E Balans VL '!I10/100/3.6*1000000</f>
        <v>2.8024261825711574</v>
      </c>
      <c r="F9" s="33">
        <f>$C$29*('E Balans VL '!L10+'E Balans VL '!N10)/100/3.6*1000000</f>
        <v>427.94939971352596</v>
      </c>
      <c r="G9" s="34"/>
      <c r="H9" s="33"/>
      <c r="I9" s="33"/>
      <c r="J9" s="33">
        <f>$C$29*('E Balans VL '!D10+'E Balans VL '!E10)/100/3.6*1000000</f>
        <v>0</v>
      </c>
      <c r="K9" s="33"/>
      <c r="L9" s="33"/>
      <c r="M9" s="33"/>
      <c r="N9" s="33">
        <f>$C$29*'E Balans VL '!Y10/100/3.6*1000000</f>
        <v>27.005972683546261</v>
      </c>
      <c r="O9" s="33"/>
      <c r="P9" s="33"/>
      <c r="R9" s="32"/>
    </row>
    <row r="10" spans="1:18">
      <c r="A10" s="32" t="s">
        <v>49</v>
      </c>
      <c r="B10" s="37">
        <f t="shared" si="0"/>
        <v>1047.9489106102499</v>
      </c>
      <c r="C10" s="33"/>
      <c r="D10" s="37">
        <f>IF(ISERROR(TER_ander_gas_kWh/1000),0,TER_ander_gas_kWh/1000)*0.902</f>
        <v>2427.2543320961981</v>
      </c>
      <c r="E10" s="33">
        <f>$C$30*'E Balans VL '!I14/100/3.6*1000000</f>
        <v>4.8193576350340335</v>
      </c>
      <c r="F10" s="33">
        <f>$C$30*('E Balans VL '!L14+'E Balans VL '!N14)/100/3.6*1000000</f>
        <v>314.10334378948477</v>
      </c>
      <c r="G10" s="34"/>
      <c r="H10" s="33"/>
      <c r="I10" s="33"/>
      <c r="J10" s="33">
        <f>$C$30*('E Balans VL '!D14+'E Balans VL '!E14)/100/3.6*1000000</f>
        <v>0</v>
      </c>
      <c r="K10" s="33"/>
      <c r="L10" s="33"/>
      <c r="M10" s="33"/>
      <c r="N10" s="33">
        <f>$C$30*'E Balans VL '!Y14/100/3.6*1000000</f>
        <v>729.44161769786649</v>
      </c>
      <c r="O10" s="33"/>
      <c r="P10" s="33"/>
      <c r="R10" s="32"/>
    </row>
    <row r="11" spans="1:18">
      <c r="A11" s="32" t="s">
        <v>54</v>
      </c>
      <c r="B11" s="37">
        <f t="shared" si="0"/>
        <v>615.82052321619904</v>
      </c>
      <c r="C11" s="33"/>
      <c r="D11" s="37">
        <f>IF(ISERROR(TER_onderwijs_gas_kWh/1000),0,TER_onderwijs_gas_kWh/1000)*0.902</f>
        <v>836.52585067074017</v>
      </c>
      <c r="E11" s="33">
        <f>$C$31*'E Balans VL '!I11/100/3.6*1000000</f>
        <v>0.57125452108763763</v>
      </c>
      <c r="F11" s="33">
        <f>$C$31*('E Balans VL '!L11+'E Balans VL '!N11)/100/3.6*1000000</f>
        <v>216.32359618871601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8468.5957895703195</v>
      </c>
      <c r="C12" s="33"/>
      <c r="D12" s="37">
        <f>IF(ISERROR(TER_rest_gas_kWh/1000),0,TER_rest_gas_kWh/1000)*0.902</f>
        <v>4689.8995916863523</v>
      </c>
      <c r="E12" s="33">
        <f>$C$32*'E Balans VL '!I8/100/3.6*1000000</f>
        <v>102.719856805826</v>
      </c>
      <c r="F12" s="33">
        <f>$C$32*('E Balans VL '!L8+'E Balans VL '!N8)/100/3.6*1000000</f>
        <v>1675.7771955612034</v>
      </c>
      <c r="G12" s="34"/>
      <c r="H12" s="33"/>
      <c r="I12" s="33"/>
      <c r="J12" s="33">
        <f>$C$32*('E Balans VL '!D8+'E Balans VL '!E8)/100/3.6*1000000</f>
        <v>0</v>
      </c>
      <c r="K12" s="33"/>
      <c r="L12" s="33"/>
      <c r="M12" s="33"/>
      <c r="N12" s="33">
        <f>$C$32*'E Balans VL '!Y8/100/3.6*1000000</f>
        <v>672.23916289367435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30005.224384442568</v>
      </c>
      <c r="C16" s="21">
        <f t="shared" ca="1" si="1"/>
        <v>0</v>
      </c>
      <c r="D16" s="21">
        <f t="shared" ca="1" si="1"/>
        <v>53692.119755082276</v>
      </c>
      <c r="E16" s="21">
        <f t="shared" si="1"/>
        <v>426.37668994534209</v>
      </c>
      <c r="F16" s="21">
        <f t="shared" ca="1" si="1"/>
        <v>5863.6304755921174</v>
      </c>
      <c r="G16" s="21">
        <f t="shared" si="1"/>
        <v>0</v>
      </c>
      <c r="H16" s="21">
        <f t="shared" si="1"/>
        <v>0</v>
      </c>
      <c r="I16" s="21">
        <f t="shared" si="1"/>
        <v>0</v>
      </c>
      <c r="J16" s="21">
        <f t="shared" si="1"/>
        <v>0</v>
      </c>
      <c r="K16" s="21">
        <f t="shared" si="1"/>
        <v>0</v>
      </c>
      <c r="L16" s="21">
        <f t="shared" ca="1" si="1"/>
        <v>0</v>
      </c>
      <c r="M16" s="21">
        <f t="shared" si="1"/>
        <v>0</v>
      </c>
      <c r="N16" s="21">
        <f t="shared" ca="1" si="1"/>
        <v>1454.142073766604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0.21474577884168719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6443.4952797567039</v>
      </c>
      <c r="C20" s="23">
        <f t="shared" ref="C20:P20" ca="1" si="2">C16*C18</f>
        <v>0</v>
      </c>
      <c r="D20" s="23">
        <f t="shared" ca="1" si="2"/>
        <v>10845.808190526621</v>
      </c>
      <c r="E20" s="23">
        <f t="shared" si="2"/>
        <v>96.787508617592664</v>
      </c>
      <c r="F20" s="23">
        <f t="shared" ca="1" si="2"/>
        <v>1565.5893369830953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6997.3153408852395</v>
      </c>
      <c r="C26" s="39">
        <f>IF(ISERROR(B26*3.6/1000000/'E Balans VL '!Z12*100),0,B26*3.6/1000000/'E Balans VL '!Z12*100)</f>
        <v>0.148626443859846</v>
      </c>
      <c r="D26" s="239" t="s">
        <v>689</v>
      </c>
      <c r="F26" s="6"/>
    </row>
    <row r="27" spans="1:18">
      <c r="A27" s="233" t="s">
        <v>52</v>
      </c>
      <c r="B27" s="33">
        <f>IF(ISERROR(TER_horeca_ele_kWh/1000),0,TER_horeca_ele_kWh/1000)</f>
        <v>3352.0858351506699</v>
      </c>
      <c r="C27" s="39">
        <f>IF(ISERROR(B27*3.6/1000000/'E Balans VL '!Z9*100),0,B27*3.6/1000000/'E Balans VL '!Z9*100)</f>
        <v>0.26064508814815485</v>
      </c>
      <c r="D27" s="239" t="s">
        <v>689</v>
      </c>
      <c r="F27" s="6"/>
    </row>
    <row r="28" spans="1:18">
      <c r="A28" s="173" t="s">
        <v>51</v>
      </c>
      <c r="B28" s="33">
        <f>IF(ISERROR(TER_handel_ele_kWh/1000),0,TER_handel_ele_kWh/1000)</f>
        <v>6900.1000887788005</v>
      </c>
      <c r="C28" s="39">
        <f>IF(ISERROR(B28*3.6/1000000/'E Balans VL '!Z13*100),0,B28*3.6/1000000/'E Balans VL '!Z13*100)</f>
        <v>0.19741998414542056</v>
      </c>
      <c r="D28" s="239" t="s">
        <v>689</v>
      </c>
      <c r="F28" s="6"/>
    </row>
    <row r="29" spans="1:18">
      <c r="A29" s="233" t="s">
        <v>50</v>
      </c>
      <c r="B29" s="33">
        <f>IF(ISERROR(TER_gezond_ele_kWh/1000),0,TER_gezond_ele_kWh/1000)</f>
        <v>2623.3578962310903</v>
      </c>
      <c r="C29" s="39">
        <f>IF(ISERROR(B29*3.6/1000000/'E Balans VL '!Z10*100),0,B29*3.6/1000000/'E Balans VL '!Z10*100)</f>
        <v>0.28600697021570992</v>
      </c>
      <c r="D29" s="239" t="s">
        <v>689</v>
      </c>
      <c r="F29" s="6"/>
    </row>
    <row r="30" spans="1:18">
      <c r="A30" s="233" t="s">
        <v>49</v>
      </c>
      <c r="B30" s="33">
        <f>IF(ISERROR(TER_ander_ele_kWh/1000),0,TER_ander_ele_kWh/1000)</f>
        <v>1047.9489106102499</v>
      </c>
      <c r="C30" s="39">
        <f>IF(ISERROR(B30*3.6/1000000/'E Balans VL '!Z14*100),0,B30*3.6/1000000/'E Balans VL '!Z14*100)</f>
        <v>7.6686524062707331E-2</v>
      </c>
      <c r="D30" s="239" t="s">
        <v>689</v>
      </c>
      <c r="F30" s="6"/>
    </row>
    <row r="31" spans="1:18">
      <c r="A31" s="233" t="s">
        <v>54</v>
      </c>
      <c r="B31" s="33">
        <f>IF(ISERROR(TER_onderwijs_ele_kWh/1000),0,TER_onderwijs_ele_kWh/1000)</f>
        <v>615.82052321619904</v>
      </c>
      <c r="C31" s="39">
        <f>IF(ISERROR(B31*3.6/1000000/'E Balans VL '!Z11*100),0,B31*3.6/1000000/'E Balans VL '!Z11*100)</f>
        <v>0.12368800938368421</v>
      </c>
      <c r="D31" s="239" t="s">
        <v>689</v>
      </c>
    </row>
    <row r="32" spans="1:18">
      <c r="A32" s="233" t="s">
        <v>259</v>
      </c>
      <c r="B32" s="33">
        <f>IF(ISERROR(TER_rest_ele_kWh/1000),0,TER_rest_ele_kWh/1000)</f>
        <v>8468.5957895703195</v>
      </c>
      <c r="C32" s="39">
        <f>IF(ISERROR(B32*3.6/1000000/'E Balans VL '!Z8*100),0,B32*3.6/1000000/'E Balans VL '!Z8*100)</f>
        <v>6.9013916355338614E-2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3709.8301805687206</v>
      </c>
      <c r="C5" s="17">
        <f>IF(ISERROR('Eigen informatie GS &amp; warmtenet'!B59),0,'Eigen informatie GS &amp; warmtenet'!B59)</f>
        <v>0</v>
      </c>
      <c r="D5" s="30">
        <f>SUM(D6:D15)</f>
        <v>387217.8084453154</v>
      </c>
      <c r="E5" s="17">
        <f>SUM(E6:E15)</f>
        <v>817.59447580379708</v>
      </c>
      <c r="F5" s="17">
        <f>SUM(F6:F15)</f>
        <v>2839.0627674061225</v>
      </c>
      <c r="G5" s="18"/>
      <c r="H5" s="17"/>
      <c r="I5" s="17"/>
      <c r="J5" s="17">
        <f>SUM(J6:J15)</f>
        <v>0.34596714845296367</v>
      </c>
      <c r="K5" s="17"/>
      <c r="L5" s="17"/>
      <c r="M5" s="17"/>
      <c r="N5" s="17">
        <f>SUM(N6:N15)</f>
        <v>433.64458683087543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121.81246339371501</v>
      </c>
      <c r="C8" s="33"/>
      <c r="D8" s="37">
        <f>IF( ISERROR(IND_metaal_Gas_kWH/1000),0,IND_metaal_Gas_kWH/1000)*0.902</f>
        <v>0</v>
      </c>
      <c r="E8" s="33">
        <f>C30*'E Balans VL '!I18/100/3.6*1000000</f>
        <v>3.4989111765630159</v>
      </c>
      <c r="F8" s="33">
        <f>C30*'E Balans VL '!L18/100/3.6*1000000+C30*'E Balans VL '!N18/100/3.6*1000000</f>
        <v>31.24255407013143</v>
      </c>
      <c r="G8" s="34"/>
      <c r="H8" s="33"/>
      <c r="I8" s="33"/>
      <c r="J8" s="40">
        <f>C30*'E Balans VL '!D18/100/3.6*1000000+C30*'E Balans VL '!E18/100/3.6*1000000</f>
        <v>0</v>
      </c>
      <c r="K8" s="33"/>
      <c r="L8" s="33"/>
      <c r="M8" s="33"/>
      <c r="N8" s="33">
        <f>C30*'E Balans VL '!Y18/100/3.6*1000000</f>
        <v>3.3074570356059474</v>
      </c>
      <c r="O8" s="33"/>
      <c r="P8" s="33"/>
      <c r="R8" s="32"/>
    </row>
    <row r="9" spans="1:18">
      <c r="A9" s="6" t="s">
        <v>32</v>
      </c>
      <c r="B9" s="37">
        <f t="shared" si="0"/>
        <v>2794.3397421230902</v>
      </c>
      <c r="C9" s="33"/>
      <c r="D9" s="37">
        <f>IF( ISERROR(IND_andere_gas_kWh/1000),0,IND_andere_gas_kWh/1000)*0.902</f>
        <v>968.34015981012294</v>
      </c>
      <c r="E9" s="33">
        <f>C31*'E Balans VL '!I19/100/3.6*1000000</f>
        <v>756.35906364846187</v>
      </c>
      <c r="F9" s="33">
        <f>C31*'E Balans VL '!L19/100/3.6*1000000+C31*'E Balans VL '!N19/100/3.6*1000000</f>
        <v>1861.3259711681508</v>
      </c>
      <c r="G9" s="34"/>
      <c r="H9" s="33"/>
      <c r="I9" s="33"/>
      <c r="J9" s="40">
        <f>C31*'E Balans VL '!D19/100/3.6*1000000+C31*'E Balans VL '!E19/100/3.6*1000000</f>
        <v>0</v>
      </c>
      <c r="K9" s="33"/>
      <c r="L9" s="33"/>
      <c r="M9" s="33"/>
      <c r="N9" s="33">
        <f>C31*'E Balans VL '!Y19/100/3.6*1000000</f>
        <v>236.24291480948673</v>
      </c>
      <c r="O9" s="33"/>
      <c r="P9" s="33"/>
      <c r="R9" s="32"/>
    </row>
    <row r="10" spans="1:18">
      <c r="A10" s="6" t="s">
        <v>40</v>
      </c>
      <c r="B10" s="37">
        <f t="shared" si="0"/>
        <v>611.70021811970605</v>
      </c>
      <c r="C10" s="33"/>
      <c r="D10" s="37">
        <f>IF( ISERROR(IND_voed_gas_kWh/1000),0,IND_voed_gas_kWh/1000)*0.902</f>
        <v>566.03249014098935</v>
      </c>
      <c r="E10" s="33">
        <f>C32*'E Balans VL '!I20/100/3.6*1000000</f>
        <v>49.891675134525379</v>
      </c>
      <c r="F10" s="33">
        <f>C32*'E Balans VL '!L20/100/3.6*1000000+C32*'E Balans VL '!N20/100/3.6*1000000</f>
        <v>912.10052352310277</v>
      </c>
      <c r="G10" s="34"/>
      <c r="H10" s="33"/>
      <c r="I10" s="33"/>
      <c r="J10" s="40">
        <f>C32*'E Balans VL '!D20/100/3.6*1000000+C32*'E Balans VL '!E20/100/3.6*1000000</f>
        <v>8.0920513812663408E-3</v>
      </c>
      <c r="K10" s="33"/>
      <c r="L10" s="33"/>
      <c r="M10" s="33"/>
      <c r="N10" s="33">
        <f>C32*'E Balans VL '!Y20/100/3.6*1000000</f>
        <v>179.69593951029051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44.086719535233094</v>
      </c>
      <c r="C13" s="33"/>
      <c r="D13" s="37">
        <f>IF( ISERROR(IND_papier_gas_kWh/1000),0,IND_papier_gas_kWh/1000)*0.902</f>
        <v>113.20486630976653</v>
      </c>
      <c r="E13" s="33">
        <f>C35*'E Balans VL '!I23/100/3.6*1000000</f>
        <v>0.46188870333275017</v>
      </c>
      <c r="F13" s="33">
        <f>C35*'E Balans VL '!L23/100/3.6*1000000+C35*'E Balans VL '!N23/100/3.6*1000000</f>
        <v>3.2897588259152388</v>
      </c>
      <c r="G13" s="34"/>
      <c r="H13" s="33"/>
      <c r="I13" s="33"/>
      <c r="J13" s="40">
        <f>C35*'E Balans VL '!D23/100/3.6*1000000+C35*'E Balans VL '!E23/100/3.6*1000000</f>
        <v>0</v>
      </c>
      <c r="K13" s="33"/>
      <c r="L13" s="33"/>
      <c r="M13" s="33"/>
      <c r="N13" s="33">
        <f>C35*'E Balans VL '!Y23/100/3.6*1000000</f>
        <v>8.1330464899748378</v>
      </c>
      <c r="O13" s="33"/>
      <c r="P13" s="33"/>
      <c r="R13" s="32"/>
    </row>
    <row r="14" spans="1:18">
      <c r="A14" s="6" t="s">
        <v>33</v>
      </c>
      <c r="B14" s="37">
        <f t="shared" si="0"/>
        <v>6.0662979857316008</v>
      </c>
      <c r="C14" s="33"/>
      <c r="D14" s="37">
        <f>IF( ISERROR(IND_chemie_gas_kWh/1000),0,IND_chemie_gas_kWh/1000)*0.902</f>
        <v>384976.02988262294</v>
      </c>
      <c r="E14" s="33">
        <f>C36*'E Balans VL '!I24/100/3.6*1000000</f>
        <v>2.8676815128695143E-2</v>
      </c>
      <c r="F14" s="33">
        <f>C36*'E Balans VL '!L24/100/3.6*1000000+C36*'E Balans VL '!N24/100/3.6*1000000</f>
        <v>0.11464977577782449</v>
      </c>
      <c r="G14" s="34"/>
      <c r="H14" s="33"/>
      <c r="I14" s="33"/>
      <c r="J14" s="40">
        <f>C36*'E Balans VL '!D24/100/3.6*1000000+C36*'E Balans VL '!E24/100/3.6*1000000</f>
        <v>0</v>
      </c>
      <c r="K14" s="33"/>
      <c r="L14" s="33"/>
      <c r="M14" s="33"/>
      <c r="N14" s="33">
        <f>C36*'E Balans VL '!Y24/100/3.6*1000000</f>
        <v>0.14726919261847668</v>
      </c>
      <c r="O14" s="33"/>
      <c r="P14" s="33"/>
      <c r="R14" s="32"/>
    </row>
    <row r="15" spans="1:18">
      <c r="A15" s="6" t="s">
        <v>269</v>
      </c>
      <c r="B15" s="37">
        <f t="shared" si="0"/>
        <v>131.82473941124502</v>
      </c>
      <c r="C15" s="33"/>
      <c r="D15" s="37">
        <f>IF( ISERROR(IND_rest_gas_kWh/1000),0,IND_rest_gas_kWh/1000)*0.902</f>
        <v>594.20104643157401</v>
      </c>
      <c r="E15" s="33">
        <f>C37*'E Balans VL '!I15/100/3.6*1000000</f>
        <v>7.3542603257852646</v>
      </c>
      <c r="F15" s="33">
        <f>C37*'E Balans VL '!L15/100/3.6*1000000+C37*'E Balans VL '!N15/100/3.6*1000000</f>
        <v>30.989310043044505</v>
      </c>
      <c r="G15" s="34"/>
      <c r="H15" s="33"/>
      <c r="I15" s="33"/>
      <c r="J15" s="40">
        <f>C37*'E Balans VL '!D15/100/3.6*1000000+C37*'E Balans VL '!E15/100/3.6*1000000</f>
        <v>0.33787509707169733</v>
      </c>
      <c r="K15" s="33"/>
      <c r="L15" s="33"/>
      <c r="M15" s="33"/>
      <c r="N15" s="33">
        <f>C37*'E Balans VL '!Y15/100/3.6*1000000</f>
        <v>6.1179597928989029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3709.8301805687206</v>
      </c>
      <c r="C18" s="21">
        <f>C5+C16</f>
        <v>0</v>
      </c>
      <c r="D18" s="21">
        <f>MAX((D5+D16),0)</f>
        <v>387217.8084453154</v>
      </c>
      <c r="E18" s="21">
        <f>MAX((E5+E16),0)</f>
        <v>817.59447580379708</v>
      </c>
      <c r="F18" s="21">
        <f>MAX((F5+F16),0)</f>
        <v>2839.0627674061225</v>
      </c>
      <c r="G18" s="21"/>
      <c r="H18" s="21"/>
      <c r="I18" s="21"/>
      <c r="J18" s="21">
        <f>MAX((J5+J16),0)</f>
        <v>0.34596714845296367</v>
      </c>
      <c r="K18" s="21"/>
      <c r="L18" s="21">
        <f>MAX((L5+L16),0)</f>
        <v>0</v>
      </c>
      <c r="M18" s="21"/>
      <c r="N18" s="21">
        <f>MAX((N5+N16),0)</f>
        <v>433.64458683087543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0.21474577884168719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796.6703714966269</v>
      </c>
      <c r="C22" s="23">
        <f ca="1">C18*C20</f>
        <v>0</v>
      </c>
      <c r="D22" s="23">
        <f>D18*D20</f>
        <v>78217.997305953715</v>
      </c>
      <c r="E22" s="23">
        <f>E18*E20</f>
        <v>185.59394600746194</v>
      </c>
      <c r="F22" s="23">
        <f>F18*F20</f>
        <v>758.0297588974347</v>
      </c>
      <c r="G22" s="23"/>
      <c r="H22" s="23"/>
      <c r="I22" s="23"/>
      <c r="J22" s="23">
        <f>J18*J20</f>
        <v>0.12247237055234914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121.81246339371501</v>
      </c>
      <c r="C30" s="39">
        <f>IF(ISERROR(B30*3.6/1000000/'E Balans VL '!Z18*100),0,B30*3.6/1000000/'E Balans VL '!Z18*100)</f>
        <v>1.1986035443846915E-2</v>
      </c>
      <c r="D30" s="239" t="s">
        <v>689</v>
      </c>
    </row>
    <row r="31" spans="1:18">
      <c r="A31" s="6" t="s">
        <v>32</v>
      </c>
      <c r="B31" s="37">
        <f>IF( ISERROR(IND_ander_ele_kWh/1000),0,IND_ander_ele_kWh/1000)</f>
        <v>2794.3397421230902</v>
      </c>
      <c r="C31" s="39">
        <f>IF(ISERROR(B31*3.6/1000000/'E Balans VL '!Z19*100),0,B31*3.6/1000000/'E Balans VL '!Z19*100)</f>
        <v>0.12169126674660563</v>
      </c>
      <c r="D31" s="239" t="s">
        <v>689</v>
      </c>
    </row>
    <row r="32" spans="1:18">
      <c r="A32" s="173" t="s">
        <v>40</v>
      </c>
      <c r="B32" s="37">
        <f>IF( ISERROR(IND_voed_ele_kWh/1000),0,IND_voed_ele_kWh/1000)</f>
        <v>611.70021811970605</v>
      </c>
      <c r="C32" s="39">
        <f>IF(ISERROR(B32*3.6/1000000/'E Balans VL '!Z20*100),0,B32*3.6/1000000/'E Balans VL '!Z20*100)</f>
        <v>0.11606129471138517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44.086719535233094</v>
      </c>
      <c r="C35" s="39">
        <f>IF(ISERROR(B35*3.6/1000000/'E Balans VL '!Z22*100),0,B35*3.6/1000000/'E Balans VL '!Z22*100)</f>
        <v>6.1990354716923921E-3</v>
      </c>
      <c r="D35" s="239" t="s">
        <v>689</v>
      </c>
    </row>
    <row r="36" spans="1:5">
      <c r="A36" s="173" t="s">
        <v>33</v>
      </c>
      <c r="B36" s="37">
        <f>IF( ISERROR(IND_chemie_ele_kWh/1000),0,IND_chemie_ele_kWh/1000)</f>
        <v>6.0662979857316008</v>
      </c>
      <c r="C36" s="39">
        <f>IF(ISERROR(B36*3.6/1000000/'E Balans VL '!Z24*100),0,B36*3.6/1000000/'E Balans VL '!Z24*100)</f>
        <v>1.7678984886555077E-4</v>
      </c>
      <c r="D36" s="239" t="s">
        <v>689</v>
      </c>
    </row>
    <row r="37" spans="1:5">
      <c r="A37" s="173" t="s">
        <v>269</v>
      </c>
      <c r="B37" s="37">
        <f>IF( ISERROR(IND_rest_ele_kWh/1000),0,IND_rest_ele_kWh/1000)</f>
        <v>131.82473941124502</v>
      </c>
      <c r="C37" s="39">
        <f>IF(ISERROR(B37*3.6/1000000/'E Balans VL '!Z15*100),0,B37*3.6/1000000/'E Balans VL '!Z15*100)</f>
        <v>1.0158715313187694E-3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169.99569392426531</v>
      </c>
      <c r="C5" s="17">
        <f>'Eigen informatie GS &amp; warmtenet'!B60</f>
        <v>0</v>
      </c>
      <c r="D5" s="30">
        <f>IF(ISERROR(SUM(LB_lb_gas_kWh,LB_rest_gas_kWh)/1000),0,SUM(LB_lb_gas_kWh,LB_rest_gas_kWh)/1000)*0.902</f>
        <v>71.538827954039363</v>
      </c>
      <c r="E5" s="17">
        <f>B17*'E Balans VL '!I25/3.6*1000000/100</f>
        <v>2.142164742426516</v>
      </c>
      <c r="F5" s="17">
        <f>B17*('E Balans VL '!L25/3.6*1000000+'E Balans VL '!N25/3.6*1000000)/100</f>
        <v>586.52773050468898</v>
      </c>
      <c r="G5" s="18"/>
      <c r="H5" s="17"/>
      <c r="I5" s="17"/>
      <c r="J5" s="17">
        <f>('E Balans VL '!D25+'E Balans VL '!E25)/3.6*1000000*landbouw!B17/100</f>
        <v>25.565419923363223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169.99569392426531</v>
      </c>
      <c r="C8" s="21">
        <f>C5+C6</f>
        <v>0</v>
      </c>
      <c r="D8" s="21">
        <f>MAX((D5+D6),0)</f>
        <v>71.538827954039363</v>
      </c>
      <c r="E8" s="21">
        <f>MAX((E5+E6),0)</f>
        <v>2.142164742426516</v>
      </c>
      <c r="F8" s="21">
        <f>MAX((F5+F6),0)</f>
        <v>586.52773050468898</v>
      </c>
      <c r="G8" s="21"/>
      <c r="H8" s="21"/>
      <c r="I8" s="21"/>
      <c r="J8" s="21">
        <f>MAX((J5+J6),0)</f>
        <v>25.565419923363223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0.21474577884168719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36.505857691499422</v>
      </c>
      <c r="C12" s="23">
        <f ca="1">C8*C10</f>
        <v>0</v>
      </c>
      <c r="D12" s="23">
        <f>D8*D10</f>
        <v>14.450843246715952</v>
      </c>
      <c r="E12" s="23">
        <f>E8*E10</f>
        <v>0.48627139653081913</v>
      </c>
      <c r="F12" s="23">
        <f>F8*F10</f>
        <v>156.60290404475197</v>
      </c>
      <c r="G12" s="23"/>
      <c r="H12" s="23"/>
      <c r="I12" s="23"/>
      <c r="J12" s="23">
        <f>J8*J10</f>
        <v>9.0501586528705804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2.3709041349171879E-2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31.755163942442191</v>
      </c>
      <c r="C26" s="249">
        <f>B26*'GWP N2O_CH4'!B5</f>
        <v>666.85844279128605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6.8164064415111243</v>
      </c>
      <c r="C27" s="249">
        <f>B27*'GWP N2O_CH4'!B5</f>
        <v>143.14453527173362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0.34044540635861686</v>
      </c>
      <c r="C28" s="249">
        <f>B28*'GWP N2O_CH4'!B4</f>
        <v>105.53807597117122</v>
      </c>
      <c r="D28" s="50"/>
    </row>
    <row r="29" spans="1:4">
      <c r="A29" s="41" t="s">
        <v>276</v>
      </c>
      <c r="B29" s="249">
        <f>B34*'ha_N2O bodem landbouw'!B4</f>
        <v>0.63140216050191977</v>
      </c>
      <c r="C29" s="249">
        <f>B29*'GWP N2O_CH4'!B4</f>
        <v>195.73466975559512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1.57654810330852E-4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1.028266788822055E-5</v>
      </c>
      <c r="C5" s="444" t="s">
        <v>210</v>
      </c>
      <c r="D5" s="429">
        <f>SUM(D6:D11)</f>
        <v>1.8301627942289346E-5</v>
      </c>
      <c r="E5" s="429">
        <f>SUM(E6:E11)</f>
        <v>6.4095749770107246E-4</v>
      </c>
      <c r="F5" s="442" t="s">
        <v>210</v>
      </c>
      <c r="G5" s="429">
        <f>SUM(G6:G11)</f>
        <v>0.15783804372844498</v>
      </c>
      <c r="H5" s="429">
        <f>SUM(H6:H11)</f>
        <v>3.3165042127107761E-2</v>
      </c>
      <c r="I5" s="444" t="s">
        <v>210</v>
      </c>
      <c r="J5" s="444" t="s">
        <v>210</v>
      </c>
      <c r="K5" s="444" t="s">
        <v>210</v>
      </c>
      <c r="L5" s="444" t="s">
        <v>210</v>
      </c>
      <c r="M5" s="429">
        <f>SUM(M6:M11)</f>
        <v>8.6383822031240055E-3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7.3174133815228503E-6</v>
      </c>
      <c r="C6" s="883"/>
      <c r="D6" s="883">
        <f>vkm_GW_PW*SUMIFS(TableVerdeelsleutelVkm[CNG],TableVerdeelsleutelVkm[Voertuigtype],"Lichte voertuigen")*SUMIFS(TableECFTransport[EnergieConsumptieFactor (PJ per km)],TableECFTransport[Index],CONCATENATE($A6,"_CNG_CNG"))</f>
        <v>1.0844188677693935E-5</v>
      </c>
      <c r="E6" s="883">
        <f>vkm_GW_PW*SUMIFS(TableVerdeelsleutelVkm[LPG],TableVerdeelsleutelVkm[Voertuigtype],"Lichte voertuigen")*SUMIFS(TableECFTransport[EnergieConsumptieFactor (PJ per km)],TableECFTransport[Index],CONCATENATE($A6,"_LPG_LPG"))</f>
        <v>3.8839921335806423E-4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7.8166510101106021E-2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1.9968752274860016E-2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4.4395850404576158E-3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2.3822273149118129E-2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5.5349491896658113E-7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1.0756128161720072E-3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2.9652545066976999E-6</v>
      </c>
      <c r="C8" s="883"/>
      <c r="D8" s="432">
        <f>vkm_NGW_PW*SUMIFS(TableVerdeelsleutelVkm[CNG],TableVerdeelsleutelVkm[Voertuigtype],"Lichte voertuigen")*SUMIFS(TableECFTransport[EnergieConsumptieFactor (PJ per km)],TableECFTransport[Index],CONCATENATE($A8,"_CNG_CNG"))</f>
        <v>7.4574392645954092E-6</v>
      </c>
      <c r="E8" s="432">
        <f>vkm_NGW_PW*SUMIFS(TableVerdeelsleutelVkm[LPG],TableVerdeelsleutelVkm[Voertuigtype],"Lichte voertuigen")*SUMIFS(TableECFTransport[EnergieConsumptieFactor (PJ per km)],TableECFTransport[Index],CONCATENATE($A8,"_LPG_LPG"))</f>
        <v>2.5255828434300824E-4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4.8282593866104638E-2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1.319553258155929E-2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2.7815362633183487E-3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7.5666666121161821E-3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2.0377576949020787E-7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3.4164808317603453E-4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2.8562966356168196</v>
      </c>
      <c r="C14" s="21"/>
      <c r="D14" s="21">
        <f t="shared" ref="D14:M14" si="0">((D5)*10^9/3600)+D12</f>
        <v>5.0837855395248184</v>
      </c>
      <c r="E14" s="21">
        <f t="shared" si="0"/>
        <v>178.04374936140903</v>
      </c>
      <c r="F14" s="21"/>
      <c r="G14" s="21">
        <f t="shared" si="0"/>
        <v>43843.901035679162</v>
      </c>
      <c r="H14" s="21">
        <f t="shared" si="0"/>
        <v>9212.5117019743775</v>
      </c>
      <c r="I14" s="21"/>
      <c r="J14" s="21"/>
      <c r="K14" s="21"/>
      <c r="L14" s="21"/>
      <c r="M14" s="21">
        <f t="shared" si="0"/>
        <v>2399.5506119788902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0.21474577884168719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0.61337764561842467</v>
      </c>
      <c r="C18" s="23"/>
      <c r="D18" s="23">
        <f t="shared" ref="D18:M18" si="1">D14*D16</f>
        <v>1.0269246789840134</v>
      </c>
      <c r="E18" s="23">
        <f t="shared" si="1"/>
        <v>40.415931105039853</v>
      </c>
      <c r="F18" s="23"/>
      <c r="G18" s="23">
        <f t="shared" si="1"/>
        <v>11706.321576526338</v>
      </c>
      <c r="H18" s="23">
        <f t="shared" si="1"/>
        <v>2293.9154137916198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5.716068674039748E-3</v>
      </c>
      <c r="C50" s="321">
        <f t="shared" ref="C50:P50" si="2">SUM(C51:C52)</f>
        <v>0</v>
      </c>
      <c r="D50" s="321">
        <f t="shared" si="2"/>
        <v>0</v>
      </c>
      <c r="E50" s="321">
        <f t="shared" si="2"/>
        <v>0</v>
      </c>
      <c r="F50" s="321">
        <f t="shared" si="2"/>
        <v>0</v>
      </c>
      <c r="G50" s="321">
        <f t="shared" si="2"/>
        <v>8.9116357202498452E-3</v>
      </c>
      <c r="H50" s="321">
        <f t="shared" si="2"/>
        <v>0</v>
      </c>
      <c r="I50" s="321">
        <f t="shared" si="2"/>
        <v>0</v>
      </c>
      <c r="J50" s="321">
        <f t="shared" si="2"/>
        <v>0</v>
      </c>
      <c r="K50" s="321">
        <f t="shared" si="2"/>
        <v>0</v>
      </c>
      <c r="L50" s="321">
        <f t="shared" si="2"/>
        <v>0</v>
      </c>
      <c r="M50" s="321">
        <f t="shared" si="2"/>
        <v>3.9666427843489891E-4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8.9116357202498452E-3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3.9666427843489891E-4</v>
      </c>
      <c r="N51" s="323"/>
      <c r="O51" s="323"/>
      <c r="P51" s="326"/>
    </row>
    <row r="52" spans="1:18">
      <c r="A52" s="4" t="s">
        <v>329</v>
      </c>
      <c r="B52" s="327">
        <f>vkm_tram*SUMIFS(TableECFTransport[EnergieConsumptieFactor (PJ per km)],TableECFTransport[Index],"Tram_gemiddeld_Electric_Electric")</f>
        <v>5.716068674039748E-3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1587.7968538999298</v>
      </c>
      <c r="C54" s="21">
        <f t="shared" ref="C54:P54" si="3">(C50)*10^9/3600</f>
        <v>0</v>
      </c>
      <c r="D54" s="21">
        <f t="shared" si="3"/>
        <v>0</v>
      </c>
      <c r="E54" s="21">
        <f t="shared" si="3"/>
        <v>0</v>
      </c>
      <c r="F54" s="21">
        <f t="shared" si="3"/>
        <v>0</v>
      </c>
      <c r="G54" s="21">
        <f t="shared" si="3"/>
        <v>2475.4543667360681</v>
      </c>
      <c r="H54" s="21">
        <f t="shared" si="3"/>
        <v>0</v>
      </c>
      <c r="I54" s="21">
        <f t="shared" si="3"/>
        <v>0</v>
      </c>
      <c r="J54" s="21">
        <f t="shared" si="3"/>
        <v>0</v>
      </c>
      <c r="K54" s="21">
        <f t="shared" si="3"/>
        <v>0</v>
      </c>
      <c r="L54" s="21">
        <f t="shared" si="3"/>
        <v>0</v>
      </c>
      <c r="M54" s="21">
        <f t="shared" si="3"/>
        <v>110.18452178747192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0.21474577884168719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340.97267203312106</v>
      </c>
      <c r="C58" s="23">
        <f t="shared" ref="C58:P58" ca="1" si="4">C54*C56</f>
        <v>0</v>
      </c>
      <c r="D58" s="23">
        <f t="shared" si="4"/>
        <v>0</v>
      </c>
      <c r="E58" s="23">
        <f t="shared" si="4"/>
        <v>0</v>
      </c>
      <c r="F58" s="23">
        <f t="shared" si="4"/>
        <v>0</v>
      </c>
      <c r="G58" s="23">
        <f t="shared" si="4"/>
        <v>660.94631591853022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31100.791384442568</v>
      </c>
      <c r="D10" s="686">
        <f ca="1">tertiair!C16</f>
        <v>0</v>
      </c>
      <c r="E10" s="686">
        <f ca="1">tertiair!D16</f>
        <v>53692.119755082276</v>
      </c>
      <c r="F10" s="686">
        <f>tertiair!E16</f>
        <v>426.37668994534209</v>
      </c>
      <c r="G10" s="686">
        <f ca="1">tertiair!F16</f>
        <v>5863.6304755921174</v>
      </c>
      <c r="H10" s="686">
        <f>tertiair!G16</f>
        <v>0</v>
      </c>
      <c r="I10" s="686">
        <f>tertiair!H16</f>
        <v>0</v>
      </c>
      <c r="J10" s="686">
        <f>tertiair!I16</f>
        <v>0</v>
      </c>
      <c r="K10" s="686">
        <f>tertiair!J16</f>
        <v>0</v>
      </c>
      <c r="L10" s="686">
        <f>tertiair!K16</f>
        <v>0</v>
      </c>
      <c r="M10" s="686">
        <f ca="1">tertiair!L16</f>
        <v>0</v>
      </c>
      <c r="N10" s="686">
        <f>tertiair!M16</f>
        <v>0</v>
      </c>
      <c r="O10" s="686">
        <f ca="1">tertiair!N16</f>
        <v>1454.142073766604</v>
      </c>
      <c r="P10" s="686">
        <f>tertiair!O16</f>
        <v>0</v>
      </c>
      <c r="Q10" s="687">
        <f>tertiair!P16</f>
        <v>0</v>
      </c>
      <c r="R10" s="689">
        <f ca="1">SUM(C10:Q10)</f>
        <v>92537.060378828915</v>
      </c>
      <c r="S10" s="67"/>
    </row>
    <row r="11" spans="1:19" s="454" customFormat="1">
      <c r="A11" s="801" t="s">
        <v>224</v>
      </c>
      <c r="B11" s="806"/>
      <c r="C11" s="686">
        <f>huishoudens!B8</f>
        <v>36894.882633697162</v>
      </c>
      <c r="D11" s="686">
        <f>huishoudens!C8</f>
        <v>0</v>
      </c>
      <c r="E11" s="686">
        <f>huishoudens!D8</f>
        <v>143782.16060894349</v>
      </c>
      <c r="F11" s="686">
        <f>huishoudens!E8</f>
        <v>829.9332252709014</v>
      </c>
      <c r="G11" s="686">
        <f>huishoudens!F8</f>
        <v>7535.755167232639</v>
      </c>
      <c r="H11" s="686">
        <f>huishoudens!G8</f>
        <v>0</v>
      </c>
      <c r="I11" s="686">
        <f>huishoudens!H8</f>
        <v>0</v>
      </c>
      <c r="J11" s="686">
        <f>huishoudens!I8</f>
        <v>0</v>
      </c>
      <c r="K11" s="686">
        <f>huishoudens!J8</f>
        <v>0</v>
      </c>
      <c r="L11" s="686">
        <f>huishoudens!K8</f>
        <v>0</v>
      </c>
      <c r="M11" s="686">
        <f>huishoudens!L8</f>
        <v>0</v>
      </c>
      <c r="N11" s="686">
        <f>huishoudens!M8</f>
        <v>0</v>
      </c>
      <c r="O11" s="686">
        <f>huishoudens!N8</f>
        <v>5859.2348426047647</v>
      </c>
      <c r="P11" s="686">
        <f>huishoudens!O8</f>
        <v>126.63</v>
      </c>
      <c r="Q11" s="687">
        <f>huishoudens!P8</f>
        <v>76.266666666666666</v>
      </c>
      <c r="R11" s="689">
        <f>SUM(C11:Q11)</f>
        <v>195104.86314441563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3709.8301805687206</v>
      </c>
      <c r="D13" s="686">
        <f>industrie!C18</f>
        <v>0</v>
      </c>
      <c r="E13" s="686">
        <f>industrie!D18</f>
        <v>387217.8084453154</v>
      </c>
      <c r="F13" s="686">
        <f>industrie!E18</f>
        <v>817.59447580379708</v>
      </c>
      <c r="G13" s="686">
        <f>industrie!F18</f>
        <v>2839.0627674061225</v>
      </c>
      <c r="H13" s="686">
        <f>industrie!G18</f>
        <v>0</v>
      </c>
      <c r="I13" s="686">
        <f>industrie!H18</f>
        <v>0</v>
      </c>
      <c r="J13" s="686">
        <f>industrie!I18</f>
        <v>0</v>
      </c>
      <c r="K13" s="686">
        <f>industrie!J18</f>
        <v>0.34596714845296367</v>
      </c>
      <c r="L13" s="686">
        <f>industrie!K18</f>
        <v>0</v>
      </c>
      <c r="M13" s="686">
        <f>industrie!L18</f>
        <v>0</v>
      </c>
      <c r="N13" s="686">
        <f>industrie!M18</f>
        <v>0</v>
      </c>
      <c r="O13" s="686">
        <f>industrie!N18</f>
        <v>433.64458683087543</v>
      </c>
      <c r="P13" s="686">
        <f>industrie!O18</f>
        <v>0</v>
      </c>
      <c r="Q13" s="687">
        <f>industrie!P18</f>
        <v>0</v>
      </c>
      <c r="R13" s="689">
        <f>SUM(C13:Q13)</f>
        <v>395018.28642307332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71705.504198708455</v>
      </c>
      <c r="D16" s="721">
        <f t="shared" ref="D16:R16" ca="1" si="0">SUM(D9:D15)</f>
        <v>0</v>
      </c>
      <c r="E16" s="721">
        <f t="shared" ca="1" si="0"/>
        <v>584692.08880934119</v>
      </c>
      <c r="F16" s="721">
        <f t="shared" si="0"/>
        <v>2073.9043910200407</v>
      </c>
      <c r="G16" s="721">
        <f t="shared" ca="1" si="0"/>
        <v>16238.448410230878</v>
      </c>
      <c r="H16" s="721">
        <f t="shared" si="0"/>
        <v>0</v>
      </c>
      <c r="I16" s="721">
        <f t="shared" si="0"/>
        <v>0</v>
      </c>
      <c r="J16" s="721">
        <f t="shared" si="0"/>
        <v>0</v>
      </c>
      <c r="K16" s="721">
        <f t="shared" si="0"/>
        <v>0.34596714845296367</v>
      </c>
      <c r="L16" s="721">
        <f t="shared" si="0"/>
        <v>0</v>
      </c>
      <c r="M16" s="721">
        <f t="shared" ca="1" si="0"/>
        <v>0</v>
      </c>
      <c r="N16" s="721">
        <f t="shared" si="0"/>
        <v>0</v>
      </c>
      <c r="O16" s="721">
        <f t="shared" ca="1" si="0"/>
        <v>7747.0215032022443</v>
      </c>
      <c r="P16" s="721">
        <f t="shared" si="0"/>
        <v>126.63</v>
      </c>
      <c r="Q16" s="721">
        <f t="shared" si="0"/>
        <v>76.266666666666666</v>
      </c>
      <c r="R16" s="721">
        <f t="shared" ca="1" si="0"/>
        <v>682660.20994631783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1587.7968538999298</v>
      </c>
      <c r="D19" s="686">
        <f>transport!C54</f>
        <v>0</v>
      </c>
      <c r="E19" s="686">
        <f>transport!D54</f>
        <v>0</v>
      </c>
      <c r="F19" s="686">
        <f>transport!E54</f>
        <v>0</v>
      </c>
      <c r="G19" s="686">
        <f>transport!F54</f>
        <v>0</v>
      </c>
      <c r="H19" s="686">
        <f>transport!G54</f>
        <v>2475.4543667360681</v>
      </c>
      <c r="I19" s="686">
        <f>transport!H54</f>
        <v>0</v>
      </c>
      <c r="J19" s="686">
        <f>transport!I54</f>
        <v>0</v>
      </c>
      <c r="K19" s="686">
        <f>transport!J54</f>
        <v>0</v>
      </c>
      <c r="L19" s="686">
        <f>transport!K54</f>
        <v>0</v>
      </c>
      <c r="M19" s="686">
        <f>transport!L54</f>
        <v>0</v>
      </c>
      <c r="N19" s="686">
        <f>transport!M54</f>
        <v>110.18452178747192</v>
      </c>
      <c r="O19" s="686">
        <f>transport!N54</f>
        <v>0</v>
      </c>
      <c r="P19" s="686">
        <f>transport!O54</f>
        <v>0</v>
      </c>
      <c r="Q19" s="687">
        <f>transport!P54</f>
        <v>0</v>
      </c>
      <c r="R19" s="689">
        <f>SUM(C19:Q19)</f>
        <v>4173.4357424234695</v>
      </c>
      <c r="S19" s="67"/>
    </row>
    <row r="20" spans="1:19" s="454" customFormat="1">
      <c r="A20" s="801" t="s">
        <v>306</v>
      </c>
      <c r="B20" s="806"/>
      <c r="C20" s="686">
        <f>transport!B14</f>
        <v>2.8562966356168196</v>
      </c>
      <c r="D20" s="686">
        <f>transport!C14</f>
        <v>0</v>
      </c>
      <c r="E20" s="686">
        <f>transport!D14</f>
        <v>5.0837855395248184</v>
      </c>
      <c r="F20" s="686">
        <f>transport!E14</f>
        <v>178.04374936140903</v>
      </c>
      <c r="G20" s="686">
        <f>transport!F14</f>
        <v>0</v>
      </c>
      <c r="H20" s="686">
        <f>transport!G14</f>
        <v>43843.901035679162</v>
      </c>
      <c r="I20" s="686">
        <f>transport!H14</f>
        <v>9212.5117019743775</v>
      </c>
      <c r="J20" s="686">
        <f>transport!I14</f>
        <v>0</v>
      </c>
      <c r="K20" s="686">
        <f>transport!J14</f>
        <v>0</v>
      </c>
      <c r="L20" s="686">
        <f>transport!K14</f>
        <v>0</v>
      </c>
      <c r="M20" s="686">
        <f>transport!L14</f>
        <v>0</v>
      </c>
      <c r="N20" s="686">
        <f>transport!M14</f>
        <v>2399.5506119788902</v>
      </c>
      <c r="O20" s="686">
        <f>transport!N14</f>
        <v>0</v>
      </c>
      <c r="P20" s="686">
        <f>transport!O14</f>
        <v>0</v>
      </c>
      <c r="Q20" s="687">
        <f>transport!P14</f>
        <v>0</v>
      </c>
      <c r="R20" s="689">
        <f>SUM(C20:Q20)</f>
        <v>55641.94718116898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1590.6531505355467</v>
      </c>
      <c r="D22" s="804">
        <f t="shared" ref="D22:R22" si="1">SUM(D18:D21)</f>
        <v>0</v>
      </c>
      <c r="E22" s="804">
        <f t="shared" si="1"/>
        <v>5.0837855395248184</v>
      </c>
      <c r="F22" s="804">
        <f t="shared" si="1"/>
        <v>178.04374936140903</v>
      </c>
      <c r="G22" s="804">
        <f t="shared" si="1"/>
        <v>0</v>
      </c>
      <c r="H22" s="804">
        <f t="shared" si="1"/>
        <v>46319.355402415233</v>
      </c>
      <c r="I22" s="804">
        <f t="shared" si="1"/>
        <v>9212.5117019743775</v>
      </c>
      <c r="J22" s="804">
        <f t="shared" si="1"/>
        <v>0</v>
      </c>
      <c r="K22" s="804">
        <f t="shared" si="1"/>
        <v>0</v>
      </c>
      <c r="L22" s="804">
        <f t="shared" si="1"/>
        <v>0</v>
      </c>
      <c r="M22" s="804">
        <f t="shared" si="1"/>
        <v>0</v>
      </c>
      <c r="N22" s="804">
        <f t="shared" si="1"/>
        <v>2509.7351337663622</v>
      </c>
      <c r="O22" s="804">
        <f t="shared" si="1"/>
        <v>0</v>
      </c>
      <c r="P22" s="804">
        <f t="shared" si="1"/>
        <v>0</v>
      </c>
      <c r="Q22" s="804">
        <f t="shared" si="1"/>
        <v>0</v>
      </c>
      <c r="R22" s="804">
        <f t="shared" si="1"/>
        <v>59815.38292359245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169.99569392426531</v>
      </c>
      <c r="D24" s="686">
        <f>+landbouw!C8</f>
        <v>0</v>
      </c>
      <c r="E24" s="686">
        <f>+landbouw!D8</f>
        <v>71.538827954039363</v>
      </c>
      <c r="F24" s="686">
        <f>+landbouw!E8</f>
        <v>2.142164742426516</v>
      </c>
      <c r="G24" s="686">
        <f>+landbouw!F8</f>
        <v>586.52773050468898</v>
      </c>
      <c r="H24" s="686">
        <f>+landbouw!G8</f>
        <v>0</v>
      </c>
      <c r="I24" s="686">
        <f>+landbouw!H8</f>
        <v>0</v>
      </c>
      <c r="J24" s="686">
        <f>+landbouw!I8</f>
        <v>0</v>
      </c>
      <c r="K24" s="686">
        <f>+landbouw!J8</f>
        <v>25.565419923363223</v>
      </c>
      <c r="L24" s="686">
        <f>+landbouw!K8</f>
        <v>0</v>
      </c>
      <c r="M24" s="686">
        <f>+landbouw!L8</f>
        <v>0</v>
      </c>
      <c r="N24" s="686">
        <f>+landbouw!M8</f>
        <v>0</v>
      </c>
      <c r="O24" s="686">
        <f>+landbouw!N8</f>
        <v>0</v>
      </c>
      <c r="P24" s="686">
        <f>+landbouw!O8</f>
        <v>0</v>
      </c>
      <c r="Q24" s="687">
        <f>+landbouw!P8</f>
        <v>0</v>
      </c>
      <c r="R24" s="689">
        <f>SUM(C24:Q24)</f>
        <v>855.76983704878342</v>
      </c>
      <c r="S24" s="67"/>
    </row>
    <row r="25" spans="1:19" s="454" customFormat="1" ht="15" thickBot="1">
      <c r="A25" s="823" t="s">
        <v>856</v>
      </c>
      <c r="B25" s="991"/>
      <c r="C25" s="992">
        <f>IF(Onbekend_ele_kWh="---",0,Onbekend_ele_kWh)/1000+IF(REST_rest_ele_kWh="---",0,REST_rest_ele_kWh)/1000</f>
        <v>1332.0412515473899</v>
      </c>
      <c r="D25" s="992"/>
      <c r="E25" s="992">
        <f>IF(onbekend_gas_kWh="---",0,onbekend_gas_kWh)/1000+IF(REST_rest_gas_kWh="---",0,REST_rest_gas_kWh)/1000</f>
        <v>6765.1627034224193</v>
      </c>
      <c r="F25" s="992"/>
      <c r="G25" s="992"/>
      <c r="H25" s="992"/>
      <c r="I25" s="992"/>
      <c r="J25" s="992"/>
      <c r="K25" s="992"/>
      <c r="L25" s="992"/>
      <c r="M25" s="992"/>
      <c r="N25" s="992"/>
      <c r="O25" s="992"/>
      <c r="P25" s="992"/>
      <c r="Q25" s="993"/>
      <c r="R25" s="689">
        <f>SUM(C25:Q25)</f>
        <v>8097.2039549698093</v>
      </c>
      <c r="S25" s="67"/>
    </row>
    <row r="26" spans="1:19" s="454" customFormat="1" ht="15.75" thickBot="1">
      <c r="A26" s="694" t="s">
        <v>857</v>
      </c>
      <c r="B26" s="809"/>
      <c r="C26" s="804">
        <f>SUM(C24:C25)</f>
        <v>1502.0369454716551</v>
      </c>
      <c r="D26" s="804">
        <f t="shared" ref="D26:R26" si="2">SUM(D24:D25)</f>
        <v>0</v>
      </c>
      <c r="E26" s="804">
        <f t="shared" si="2"/>
        <v>6836.7015313764587</v>
      </c>
      <c r="F26" s="804">
        <f t="shared" si="2"/>
        <v>2.142164742426516</v>
      </c>
      <c r="G26" s="804">
        <f t="shared" si="2"/>
        <v>586.52773050468898</v>
      </c>
      <c r="H26" s="804">
        <f t="shared" si="2"/>
        <v>0</v>
      </c>
      <c r="I26" s="804">
        <f t="shared" si="2"/>
        <v>0</v>
      </c>
      <c r="J26" s="804">
        <f t="shared" si="2"/>
        <v>0</v>
      </c>
      <c r="K26" s="804">
        <f t="shared" si="2"/>
        <v>25.565419923363223</v>
      </c>
      <c r="L26" s="804">
        <f t="shared" si="2"/>
        <v>0</v>
      </c>
      <c r="M26" s="804">
        <f t="shared" si="2"/>
        <v>0</v>
      </c>
      <c r="N26" s="804">
        <f t="shared" si="2"/>
        <v>0</v>
      </c>
      <c r="O26" s="804">
        <f t="shared" si="2"/>
        <v>0</v>
      </c>
      <c r="P26" s="804">
        <f t="shared" si="2"/>
        <v>0</v>
      </c>
      <c r="Q26" s="804">
        <f t="shared" si="2"/>
        <v>0</v>
      </c>
      <c r="R26" s="804">
        <f t="shared" si="2"/>
        <v>8952.9737920185926</v>
      </c>
      <c r="S26" s="67"/>
    </row>
    <row r="27" spans="1:19" s="454" customFormat="1" ht="17.25" thickTop="1" thickBot="1">
      <c r="A27" s="695" t="s">
        <v>115</v>
      </c>
      <c r="B27" s="796"/>
      <c r="C27" s="696">
        <f ca="1">C22+C16+C26</f>
        <v>74798.194294715664</v>
      </c>
      <c r="D27" s="696">
        <f t="shared" ref="D27:R27" ca="1" si="3">D22+D16+D26</f>
        <v>0</v>
      </c>
      <c r="E27" s="696">
        <f t="shared" ca="1" si="3"/>
        <v>591533.87412625714</v>
      </c>
      <c r="F27" s="696">
        <f t="shared" si="3"/>
        <v>2254.0903051238761</v>
      </c>
      <c r="G27" s="696">
        <f t="shared" ca="1" si="3"/>
        <v>16824.976140735565</v>
      </c>
      <c r="H27" s="696">
        <f t="shared" si="3"/>
        <v>46319.355402415233</v>
      </c>
      <c r="I27" s="696">
        <f t="shared" si="3"/>
        <v>9212.5117019743775</v>
      </c>
      <c r="J27" s="696">
        <f t="shared" si="3"/>
        <v>0</v>
      </c>
      <c r="K27" s="696">
        <f t="shared" si="3"/>
        <v>25.911387071816186</v>
      </c>
      <c r="L27" s="696">
        <f t="shared" si="3"/>
        <v>0</v>
      </c>
      <c r="M27" s="696">
        <f t="shared" ca="1" si="3"/>
        <v>0</v>
      </c>
      <c r="N27" s="696">
        <f t="shared" si="3"/>
        <v>2509.7351337663622</v>
      </c>
      <c r="O27" s="696">
        <f t="shared" ca="1" si="3"/>
        <v>7747.0215032022443</v>
      </c>
      <c r="P27" s="696">
        <f t="shared" si="3"/>
        <v>126.63</v>
      </c>
      <c r="Q27" s="696">
        <f t="shared" si="3"/>
        <v>76.266666666666666</v>
      </c>
      <c r="R27" s="696">
        <f t="shared" ca="1" si="3"/>
        <v>751428.5666619289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6678.7636684449544</v>
      </c>
      <c r="D40" s="686">
        <f ca="1">tertiair!C20</f>
        <v>0</v>
      </c>
      <c r="E40" s="686">
        <f ca="1">tertiair!D20</f>
        <v>10845.808190526621</v>
      </c>
      <c r="F40" s="686">
        <f>tertiair!E20</f>
        <v>96.787508617592664</v>
      </c>
      <c r="G40" s="686">
        <f ca="1">tertiair!F20</f>
        <v>1565.5893369830953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19186.948704572264</v>
      </c>
    </row>
    <row r="41" spans="1:18">
      <c r="A41" s="814" t="s">
        <v>224</v>
      </c>
      <c r="B41" s="821"/>
      <c r="C41" s="686">
        <f ca="1">huishoudens!B12</f>
        <v>7923.0203064459365</v>
      </c>
      <c r="D41" s="686">
        <f ca="1">huishoudens!C12</f>
        <v>0</v>
      </c>
      <c r="E41" s="686">
        <f>huishoudens!D12</f>
        <v>29043.996443006588</v>
      </c>
      <c r="F41" s="686">
        <f>huishoudens!E12</f>
        <v>188.39484213649462</v>
      </c>
      <c r="G41" s="686">
        <f>huishoudens!F12</f>
        <v>2012.0466296511147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39167.458221240129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796.6703714966269</v>
      </c>
      <c r="D43" s="686">
        <f ca="1">industrie!C22</f>
        <v>0</v>
      </c>
      <c r="E43" s="686">
        <f>industrie!D22</f>
        <v>78217.997305953715</v>
      </c>
      <c r="F43" s="686">
        <f>industrie!E22</f>
        <v>185.59394600746194</v>
      </c>
      <c r="G43" s="686">
        <f>industrie!F22</f>
        <v>758.0297588974347</v>
      </c>
      <c r="H43" s="686">
        <f>industrie!G22</f>
        <v>0</v>
      </c>
      <c r="I43" s="686">
        <f>industrie!H22</f>
        <v>0</v>
      </c>
      <c r="J43" s="686">
        <f>industrie!I22</f>
        <v>0</v>
      </c>
      <c r="K43" s="686">
        <f>industrie!J22</f>
        <v>0.12247237055234914</v>
      </c>
      <c r="L43" s="686">
        <f>industrie!K22</f>
        <v>0</v>
      </c>
      <c r="M43" s="686">
        <f>industrie!L22</f>
        <v>0</v>
      </c>
      <c r="N43" s="686">
        <f>industrie!M22</f>
        <v>0</v>
      </c>
      <c r="O43" s="686">
        <f>industrie!N22</f>
        <v>0</v>
      </c>
      <c r="P43" s="686">
        <f>industrie!O22</f>
        <v>0</v>
      </c>
      <c r="Q43" s="763">
        <f>industrie!P22</f>
        <v>0</v>
      </c>
      <c r="R43" s="841">
        <f t="shared" ca="1" si="4"/>
        <v>79958.41385472579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15398.454346387518</v>
      </c>
      <c r="D46" s="721">
        <f t="shared" ref="D46:Q46" ca="1" si="5">SUM(D39:D45)</f>
        <v>0</v>
      </c>
      <c r="E46" s="721">
        <f t="shared" ca="1" si="5"/>
        <v>118107.80193948693</v>
      </c>
      <c r="F46" s="721">
        <f t="shared" si="5"/>
        <v>470.77629676154925</v>
      </c>
      <c r="G46" s="721">
        <f t="shared" ca="1" si="5"/>
        <v>4335.665725531645</v>
      </c>
      <c r="H46" s="721">
        <f t="shared" si="5"/>
        <v>0</v>
      </c>
      <c r="I46" s="721">
        <f t="shared" si="5"/>
        <v>0</v>
      </c>
      <c r="J46" s="721">
        <f t="shared" si="5"/>
        <v>0</v>
      </c>
      <c r="K46" s="721">
        <f t="shared" si="5"/>
        <v>0.12247237055234914</v>
      </c>
      <c r="L46" s="721">
        <f t="shared" si="5"/>
        <v>0</v>
      </c>
      <c r="M46" s="721">
        <f t="shared" ca="1" si="5"/>
        <v>0</v>
      </c>
      <c r="N46" s="721">
        <f t="shared" si="5"/>
        <v>0</v>
      </c>
      <c r="O46" s="721">
        <f t="shared" ca="1" si="5"/>
        <v>0</v>
      </c>
      <c r="P46" s="721">
        <f t="shared" si="5"/>
        <v>0</v>
      </c>
      <c r="Q46" s="721">
        <f t="shared" si="5"/>
        <v>0</v>
      </c>
      <c r="R46" s="721">
        <f ca="1">SUM(R39:R45)</f>
        <v>138312.8207805382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340.97267203312106</v>
      </c>
      <c r="D49" s="686">
        <f ca="1">transport!C58</f>
        <v>0</v>
      </c>
      <c r="E49" s="686">
        <f>transport!D58</f>
        <v>0</v>
      </c>
      <c r="F49" s="686">
        <f>transport!E58</f>
        <v>0</v>
      </c>
      <c r="G49" s="686">
        <f>transport!F58</f>
        <v>0</v>
      </c>
      <c r="H49" s="686">
        <f>transport!G58</f>
        <v>660.94631591853022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1001.9189879516513</v>
      </c>
    </row>
    <row r="50" spans="1:18">
      <c r="A50" s="817" t="s">
        <v>306</v>
      </c>
      <c r="B50" s="827"/>
      <c r="C50" s="692">
        <f ca="1">transport!B18</f>
        <v>0.61337764561842467</v>
      </c>
      <c r="D50" s="692">
        <f>transport!C18</f>
        <v>0</v>
      </c>
      <c r="E50" s="692">
        <f>transport!D18</f>
        <v>1.0269246789840134</v>
      </c>
      <c r="F50" s="692">
        <f>transport!E18</f>
        <v>40.415931105039853</v>
      </c>
      <c r="G50" s="692">
        <f>transport!F18</f>
        <v>0</v>
      </c>
      <c r="H50" s="692">
        <f>transport!G18</f>
        <v>11706.321576526338</v>
      </c>
      <c r="I50" s="692">
        <f>transport!H18</f>
        <v>2293.9154137916198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14042.2932237476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341.58604967873947</v>
      </c>
      <c r="D52" s="721">
        <f t="shared" ref="D52:Q52" ca="1" si="6">SUM(D48:D51)</f>
        <v>0</v>
      </c>
      <c r="E52" s="721">
        <f t="shared" si="6"/>
        <v>1.0269246789840134</v>
      </c>
      <c r="F52" s="721">
        <f t="shared" si="6"/>
        <v>40.415931105039853</v>
      </c>
      <c r="G52" s="721">
        <f t="shared" si="6"/>
        <v>0</v>
      </c>
      <c r="H52" s="721">
        <f t="shared" si="6"/>
        <v>12367.267892444868</v>
      </c>
      <c r="I52" s="721">
        <f t="shared" si="6"/>
        <v>2293.9154137916198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15044.21221169925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36.505857691499422</v>
      </c>
      <c r="D54" s="692">
        <f ca="1">+landbouw!C12</f>
        <v>0</v>
      </c>
      <c r="E54" s="692">
        <f>+landbouw!D12</f>
        <v>14.450843246715952</v>
      </c>
      <c r="F54" s="692">
        <f>+landbouw!E12</f>
        <v>0.48627139653081913</v>
      </c>
      <c r="G54" s="692">
        <f>+landbouw!F12</f>
        <v>156.60290404475197</v>
      </c>
      <c r="H54" s="692">
        <f>+landbouw!G12</f>
        <v>0</v>
      </c>
      <c r="I54" s="692">
        <f>+landbouw!H12</f>
        <v>0</v>
      </c>
      <c r="J54" s="692">
        <f>+landbouw!I12</f>
        <v>0</v>
      </c>
      <c r="K54" s="692">
        <f>+landbouw!J12</f>
        <v>9.0501586528705804</v>
      </c>
      <c r="L54" s="692">
        <f>+landbouw!K12</f>
        <v>0</v>
      </c>
      <c r="M54" s="692">
        <f>+landbouw!L12</f>
        <v>0</v>
      </c>
      <c r="N54" s="692">
        <f>+landbouw!M12</f>
        <v>0</v>
      </c>
      <c r="O54" s="692">
        <f>+landbouw!N12</f>
        <v>0</v>
      </c>
      <c r="P54" s="692">
        <f>+landbouw!O12</f>
        <v>0</v>
      </c>
      <c r="Q54" s="693">
        <f>+landbouw!P12</f>
        <v>0</v>
      </c>
      <c r="R54" s="720">
        <f ca="1">SUM(C54:Q54)</f>
        <v>217.09603503236875</v>
      </c>
    </row>
    <row r="55" spans="1:18" ht="15" thickBot="1">
      <c r="A55" s="817" t="s">
        <v>856</v>
      </c>
      <c r="B55" s="827"/>
      <c r="C55" s="692">
        <f ca="1">C25*'EF ele_warmte'!B12</f>
        <v>286.05023601280004</v>
      </c>
      <c r="D55" s="692"/>
      <c r="E55" s="692">
        <f>E25*EF_CO2_aardgas</f>
        <v>1366.5628660913287</v>
      </c>
      <c r="F55" s="692"/>
      <c r="G55" s="692"/>
      <c r="H55" s="692"/>
      <c r="I55" s="692"/>
      <c r="J55" s="692"/>
      <c r="K55" s="692"/>
      <c r="L55" s="692"/>
      <c r="M55" s="692"/>
      <c r="N55" s="692"/>
      <c r="O55" s="692"/>
      <c r="P55" s="692"/>
      <c r="Q55" s="693"/>
      <c r="R55" s="720">
        <f ca="1">SUM(C55:Q55)</f>
        <v>1652.6131021041288</v>
      </c>
    </row>
    <row r="56" spans="1:18" ht="15.75" thickBot="1">
      <c r="A56" s="815" t="s">
        <v>857</v>
      </c>
      <c r="B56" s="828"/>
      <c r="C56" s="721">
        <f ca="1">SUM(C54:C55)</f>
        <v>322.55609370429949</v>
      </c>
      <c r="D56" s="721">
        <f t="shared" ref="D56:Q56" ca="1" si="7">SUM(D54:D55)</f>
        <v>0</v>
      </c>
      <c r="E56" s="721">
        <f t="shared" si="7"/>
        <v>1381.0137093380447</v>
      </c>
      <c r="F56" s="721">
        <f t="shared" si="7"/>
        <v>0.48627139653081913</v>
      </c>
      <c r="G56" s="721">
        <f t="shared" si="7"/>
        <v>156.60290404475197</v>
      </c>
      <c r="H56" s="721">
        <f t="shared" si="7"/>
        <v>0</v>
      </c>
      <c r="I56" s="721">
        <f t="shared" si="7"/>
        <v>0</v>
      </c>
      <c r="J56" s="721">
        <f t="shared" si="7"/>
        <v>0</v>
      </c>
      <c r="K56" s="721">
        <f t="shared" si="7"/>
        <v>9.0501586528705804</v>
      </c>
      <c r="L56" s="721">
        <f t="shared" si="7"/>
        <v>0</v>
      </c>
      <c r="M56" s="721">
        <f t="shared" si="7"/>
        <v>0</v>
      </c>
      <c r="N56" s="721">
        <f t="shared" si="7"/>
        <v>0</v>
      </c>
      <c r="O56" s="721">
        <f t="shared" si="7"/>
        <v>0</v>
      </c>
      <c r="P56" s="721">
        <f t="shared" si="7"/>
        <v>0</v>
      </c>
      <c r="Q56" s="722">
        <f t="shared" si="7"/>
        <v>0</v>
      </c>
      <c r="R56" s="723">
        <f ca="1">SUM(R54:R55)</f>
        <v>1869.7091371364975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16062.596489770556</v>
      </c>
      <c r="D61" s="729">
        <f t="shared" ref="D61:Q61" ca="1" si="8">D46+D52+D56</f>
        <v>0</v>
      </c>
      <c r="E61" s="729">
        <f t="shared" ca="1" si="8"/>
        <v>119489.84257350396</v>
      </c>
      <c r="F61" s="729">
        <f t="shared" si="8"/>
        <v>511.67849926311993</v>
      </c>
      <c r="G61" s="729">
        <f t="shared" ca="1" si="8"/>
        <v>4492.268629576397</v>
      </c>
      <c r="H61" s="729">
        <f t="shared" si="8"/>
        <v>12367.267892444868</v>
      </c>
      <c r="I61" s="729">
        <f t="shared" si="8"/>
        <v>2293.9154137916198</v>
      </c>
      <c r="J61" s="729">
        <f t="shared" si="8"/>
        <v>0</v>
      </c>
      <c r="K61" s="729">
        <f t="shared" si="8"/>
        <v>9.1726310234229302</v>
      </c>
      <c r="L61" s="729">
        <f t="shared" si="8"/>
        <v>0</v>
      </c>
      <c r="M61" s="729">
        <f t="shared" ca="1" si="8"/>
        <v>0</v>
      </c>
      <c r="N61" s="729">
        <f t="shared" si="8"/>
        <v>0</v>
      </c>
      <c r="O61" s="729">
        <f t="shared" ca="1" si="8"/>
        <v>0</v>
      </c>
      <c r="P61" s="729">
        <f t="shared" si="8"/>
        <v>0</v>
      </c>
      <c r="Q61" s="729">
        <f t="shared" si="8"/>
        <v>0</v>
      </c>
      <c r="R61" s="729">
        <f ca="1">R46+R52+R56</f>
        <v>155226.74212937395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0.21474577884168716</v>
      </c>
      <c r="D63" s="772">
        <f t="shared" ca="1" si="9"/>
        <v>0</v>
      </c>
      <c r="E63" s="998">
        <f t="shared" ca="1" si="9"/>
        <v>0.20200000000000004</v>
      </c>
      <c r="F63" s="772">
        <f t="shared" si="9"/>
        <v>0.22700000000000004</v>
      </c>
      <c r="G63" s="772">
        <f t="shared" ca="1" si="9"/>
        <v>0.26700000000000007</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2116.762214305897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2116.762214305897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2116.762214305897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2116.762214305897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36894.882633697162</v>
      </c>
      <c r="C4" s="458">
        <f>huishoudens!C8</f>
        <v>0</v>
      </c>
      <c r="D4" s="458">
        <f>huishoudens!D8</f>
        <v>143782.16060894349</v>
      </c>
      <c r="E4" s="458">
        <f>huishoudens!E8</f>
        <v>829.9332252709014</v>
      </c>
      <c r="F4" s="458">
        <f>huishoudens!F8</f>
        <v>7535.755167232639</v>
      </c>
      <c r="G4" s="458">
        <f>huishoudens!G8</f>
        <v>0</v>
      </c>
      <c r="H4" s="458">
        <f>huishoudens!H8</f>
        <v>0</v>
      </c>
      <c r="I4" s="458">
        <f>huishoudens!I8</f>
        <v>0</v>
      </c>
      <c r="J4" s="458">
        <f>huishoudens!J8</f>
        <v>0</v>
      </c>
      <c r="K4" s="458">
        <f>huishoudens!K8</f>
        <v>0</v>
      </c>
      <c r="L4" s="458">
        <f>huishoudens!L8</f>
        <v>0</v>
      </c>
      <c r="M4" s="458">
        <f>huishoudens!M8</f>
        <v>0</v>
      </c>
      <c r="N4" s="458">
        <f>huishoudens!N8</f>
        <v>5859.2348426047647</v>
      </c>
      <c r="O4" s="458">
        <f>huishoudens!O8</f>
        <v>126.63</v>
      </c>
      <c r="P4" s="459">
        <f>huishoudens!P8</f>
        <v>76.266666666666666</v>
      </c>
      <c r="Q4" s="460">
        <f>SUM(B4:P4)</f>
        <v>195104.86314441563</v>
      </c>
    </row>
    <row r="5" spans="1:17">
      <c r="A5" s="457" t="s">
        <v>155</v>
      </c>
      <c r="B5" s="458">
        <f ca="1">tertiair!B16</f>
        <v>30005.224384442568</v>
      </c>
      <c r="C5" s="458">
        <f ca="1">tertiair!C16</f>
        <v>0</v>
      </c>
      <c r="D5" s="458">
        <f ca="1">tertiair!D16</f>
        <v>53692.119755082276</v>
      </c>
      <c r="E5" s="458">
        <f>tertiair!E16</f>
        <v>426.37668994534209</v>
      </c>
      <c r="F5" s="458">
        <f ca="1">tertiair!F16</f>
        <v>5863.6304755921174</v>
      </c>
      <c r="G5" s="458">
        <f>tertiair!G16</f>
        <v>0</v>
      </c>
      <c r="H5" s="458">
        <f>tertiair!H16</f>
        <v>0</v>
      </c>
      <c r="I5" s="458">
        <f>tertiair!I16</f>
        <v>0</v>
      </c>
      <c r="J5" s="458">
        <f>tertiair!J16</f>
        <v>0</v>
      </c>
      <c r="K5" s="458">
        <f>tertiair!K16</f>
        <v>0</v>
      </c>
      <c r="L5" s="458">
        <f ca="1">tertiair!L16</f>
        <v>0</v>
      </c>
      <c r="M5" s="458">
        <f>tertiair!M16</f>
        <v>0</v>
      </c>
      <c r="N5" s="458">
        <f ca="1">tertiair!N16</f>
        <v>1454.142073766604</v>
      </c>
      <c r="O5" s="458">
        <f>tertiair!O16</f>
        <v>0</v>
      </c>
      <c r="P5" s="459">
        <f>tertiair!P16</f>
        <v>0</v>
      </c>
      <c r="Q5" s="457">
        <f t="shared" ref="Q5:Q14" ca="1" si="0">SUM(B5:P5)</f>
        <v>91441.49337882892</v>
      </c>
    </row>
    <row r="6" spans="1:17">
      <c r="A6" s="457" t="s">
        <v>193</v>
      </c>
      <c r="B6" s="458">
        <f>'openbare verlichting'!B8</f>
        <v>1095.567</v>
      </c>
      <c r="C6" s="458"/>
      <c r="D6" s="458"/>
      <c r="E6" s="458"/>
      <c r="F6" s="458"/>
      <c r="G6" s="458"/>
      <c r="H6" s="458"/>
      <c r="I6" s="458"/>
      <c r="J6" s="458"/>
      <c r="K6" s="458"/>
      <c r="L6" s="458"/>
      <c r="M6" s="458"/>
      <c r="N6" s="458"/>
      <c r="O6" s="458"/>
      <c r="P6" s="459"/>
      <c r="Q6" s="457">
        <f t="shared" si="0"/>
        <v>1095.567</v>
      </c>
    </row>
    <row r="7" spans="1:17">
      <c r="A7" s="457" t="s">
        <v>111</v>
      </c>
      <c r="B7" s="458">
        <f>landbouw!B8</f>
        <v>169.99569392426531</v>
      </c>
      <c r="C7" s="458">
        <f>landbouw!C8</f>
        <v>0</v>
      </c>
      <c r="D7" s="458">
        <f>landbouw!D8</f>
        <v>71.538827954039363</v>
      </c>
      <c r="E7" s="458">
        <f>landbouw!E8</f>
        <v>2.142164742426516</v>
      </c>
      <c r="F7" s="458">
        <f>landbouw!F8</f>
        <v>586.52773050468898</v>
      </c>
      <c r="G7" s="458">
        <f>landbouw!G8</f>
        <v>0</v>
      </c>
      <c r="H7" s="458">
        <f>landbouw!H8</f>
        <v>0</v>
      </c>
      <c r="I7" s="458">
        <f>landbouw!I8</f>
        <v>0</v>
      </c>
      <c r="J7" s="458">
        <f>landbouw!J8</f>
        <v>25.565419923363223</v>
      </c>
      <c r="K7" s="458">
        <f>landbouw!K8</f>
        <v>0</v>
      </c>
      <c r="L7" s="458">
        <f>landbouw!L8</f>
        <v>0</v>
      </c>
      <c r="M7" s="458">
        <f>landbouw!M8</f>
        <v>0</v>
      </c>
      <c r="N7" s="458">
        <f>landbouw!N8</f>
        <v>0</v>
      </c>
      <c r="O7" s="458">
        <f>landbouw!O8</f>
        <v>0</v>
      </c>
      <c r="P7" s="459">
        <f>landbouw!P8</f>
        <v>0</v>
      </c>
      <c r="Q7" s="457">
        <f t="shared" si="0"/>
        <v>855.76983704878342</v>
      </c>
    </row>
    <row r="8" spans="1:17">
      <c r="A8" s="457" t="s">
        <v>655</v>
      </c>
      <c r="B8" s="458">
        <f>industrie!B18</f>
        <v>3709.8301805687206</v>
      </c>
      <c r="C8" s="458">
        <f>industrie!C18</f>
        <v>0</v>
      </c>
      <c r="D8" s="458">
        <f>industrie!D18</f>
        <v>387217.8084453154</v>
      </c>
      <c r="E8" s="458">
        <f>industrie!E18</f>
        <v>817.59447580379708</v>
      </c>
      <c r="F8" s="458">
        <f>industrie!F18</f>
        <v>2839.0627674061225</v>
      </c>
      <c r="G8" s="458">
        <f>industrie!G18</f>
        <v>0</v>
      </c>
      <c r="H8" s="458">
        <f>industrie!H18</f>
        <v>0</v>
      </c>
      <c r="I8" s="458">
        <f>industrie!I18</f>
        <v>0</v>
      </c>
      <c r="J8" s="458">
        <f>industrie!J18</f>
        <v>0.34596714845296367</v>
      </c>
      <c r="K8" s="458">
        <f>industrie!K18</f>
        <v>0</v>
      </c>
      <c r="L8" s="458">
        <f>industrie!L18</f>
        <v>0</v>
      </c>
      <c r="M8" s="458">
        <f>industrie!M18</f>
        <v>0</v>
      </c>
      <c r="N8" s="458">
        <f>industrie!N18</f>
        <v>433.64458683087543</v>
      </c>
      <c r="O8" s="458">
        <f>industrie!O18</f>
        <v>0</v>
      </c>
      <c r="P8" s="459">
        <f>industrie!P18</f>
        <v>0</v>
      </c>
      <c r="Q8" s="457">
        <f t="shared" si="0"/>
        <v>395018.28642307332</v>
      </c>
    </row>
    <row r="9" spans="1:17" s="463" customFormat="1">
      <c r="A9" s="461" t="s">
        <v>573</v>
      </c>
      <c r="B9" s="462">
        <f>transport!B14</f>
        <v>2.8562966356168196</v>
      </c>
      <c r="C9" s="462">
        <f>transport!C14</f>
        <v>0</v>
      </c>
      <c r="D9" s="462">
        <f>transport!D14</f>
        <v>5.0837855395248184</v>
      </c>
      <c r="E9" s="462">
        <f>transport!E14</f>
        <v>178.04374936140903</v>
      </c>
      <c r="F9" s="462">
        <f>transport!F14</f>
        <v>0</v>
      </c>
      <c r="G9" s="462">
        <f>transport!G14</f>
        <v>43843.901035679162</v>
      </c>
      <c r="H9" s="462">
        <f>transport!H14</f>
        <v>9212.5117019743775</v>
      </c>
      <c r="I9" s="462">
        <f>transport!I14</f>
        <v>0</v>
      </c>
      <c r="J9" s="462">
        <f>transport!J14</f>
        <v>0</v>
      </c>
      <c r="K9" s="462">
        <f>transport!K14</f>
        <v>0</v>
      </c>
      <c r="L9" s="462">
        <f>transport!L14</f>
        <v>0</v>
      </c>
      <c r="M9" s="462">
        <f>transport!M14</f>
        <v>2399.5506119788902</v>
      </c>
      <c r="N9" s="462">
        <f>transport!N14</f>
        <v>0</v>
      </c>
      <c r="O9" s="462">
        <f>transport!O14</f>
        <v>0</v>
      </c>
      <c r="P9" s="462">
        <f>transport!P14</f>
        <v>0</v>
      </c>
      <c r="Q9" s="461">
        <f>SUM(B9:P9)</f>
        <v>55641.94718116898</v>
      </c>
    </row>
    <row r="10" spans="1:17">
      <c r="A10" s="457" t="s">
        <v>563</v>
      </c>
      <c r="B10" s="458">
        <f>transport!B54</f>
        <v>1587.7968538999298</v>
      </c>
      <c r="C10" s="458">
        <f>transport!C54</f>
        <v>0</v>
      </c>
      <c r="D10" s="458">
        <f>transport!D54</f>
        <v>0</v>
      </c>
      <c r="E10" s="458">
        <f>transport!E54</f>
        <v>0</v>
      </c>
      <c r="F10" s="458">
        <f>transport!F54</f>
        <v>0</v>
      </c>
      <c r="G10" s="458">
        <f>transport!G54</f>
        <v>2475.4543667360681</v>
      </c>
      <c r="H10" s="458">
        <f>transport!H54</f>
        <v>0</v>
      </c>
      <c r="I10" s="458">
        <f>transport!I54</f>
        <v>0</v>
      </c>
      <c r="J10" s="458">
        <f>transport!J54</f>
        <v>0</v>
      </c>
      <c r="K10" s="458">
        <f>transport!K54</f>
        <v>0</v>
      </c>
      <c r="L10" s="458">
        <f>transport!L54</f>
        <v>0</v>
      </c>
      <c r="M10" s="458">
        <f>transport!M54</f>
        <v>110.18452178747192</v>
      </c>
      <c r="N10" s="458">
        <f>transport!N54</f>
        <v>0</v>
      </c>
      <c r="O10" s="458">
        <f>transport!O54</f>
        <v>0</v>
      </c>
      <c r="P10" s="459">
        <f>transport!P54</f>
        <v>0</v>
      </c>
      <c r="Q10" s="457">
        <f t="shared" si="0"/>
        <v>4173.4357424234695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1332.0412515473899</v>
      </c>
      <c r="C14" s="465"/>
      <c r="D14" s="465">
        <f>'SEAP template'!E25</f>
        <v>6765.1627034224193</v>
      </c>
      <c r="E14" s="465"/>
      <c r="F14" s="465"/>
      <c r="G14" s="465"/>
      <c r="H14" s="465"/>
      <c r="I14" s="465"/>
      <c r="J14" s="465"/>
      <c r="K14" s="465"/>
      <c r="L14" s="465"/>
      <c r="M14" s="465"/>
      <c r="N14" s="465"/>
      <c r="O14" s="465"/>
      <c r="P14" s="466"/>
      <c r="Q14" s="457">
        <f t="shared" si="0"/>
        <v>8097.2039549698093</v>
      </c>
    </row>
    <row r="15" spans="1:17" s="470" customFormat="1">
      <c r="A15" s="467" t="s">
        <v>567</v>
      </c>
      <c r="B15" s="468">
        <f ca="1">SUM(B4:B14)</f>
        <v>74798.194294715649</v>
      </c>
      <c r="C15" s="468">
        <f t="shared" ref="C15:Q15" ca="1" si="1">SUM(C4:C14)</f>
        <v>0</v>
      </c>
      <c r="D15" s="468">
        <f t="shared" ca="1" si="1"/>
        <v>591533.87412625703</v>
      </c>
      <c r="E15" s="468">
        <f t="shared" si="1"/>
        <v>2254.0903051238761</v>
      </c>
      <c r="F15" s="468">
        <f t="shared" ca="1" si="1"/>
        <v>16824.976140735569</v>
      </c>
      <c r="G15" s="468">
        <f t="shared" si="1"/>
        <v>46319.355402415233</v>
      </c>
      <c r="H15" s="468">
        <f t="shared" si="1"/>
        <v>9212.5117019743775</v>
      </c>
      <c r="I15" s="468">
        <f t="shared" si="1"/>
        <v>0</v>
      </c>
      <c r="J15" s="468">
        <f t="shared" si="1"/>
        <v>25.911387071816186</v>
      </c>
      <c r="K15" s="468">
        <f t="shared" si="1"/>
        <v>0</v>
      </c>
      <c r="L15" s="468">
        <f t="shared" ca="1" si="1"/>
        <v>0</v>
      </c>
      <c r="M15" s="468">
        <f t="shared" si="1"/>
        <v>2509.7351337663622</v>
      </c>
      <c r="N15" s="468">
        <f t="shared" ca="1" si="1"/>
        <v>7747.0215032022443</v>
      </c>
      <c r="O15" s="468">
        <f t="shared" si="1"/>
        <v>126.63</v>
      </c>
      <c r="P15" s="468">
        <f t="shared" si="1"/>
        <v>76.266666666666666</v>
      </c>
      <c r="Q15" s="468">
        <f t="shared" ca="1" si="1"/>
        <v>751428.5666619289</v>
      </c>
    </row>
    <row r="17" spans="1:17">
      <c r="A17" s="471" t="s">
        <v>568</v>
      </c>
      <c r="B17" s="777">
        <f ca="1">huishoudens!B10</f>
        <v>0.21474577884168719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7923.0203064459365</v>
      </c>
      <c r="C22" s="458">
        <f t="shared" ref="C22:C32" ca="1" si="3">C4*$C$17</f>
        <v>0</v>
      </c>
      <c r="D22" s="458">
        <f t="shared" ref="D22:D32" si="4">D4*$D$17</f>
        <v>29043.996443006588</v>
      </c>
      <c r="E22" s="458">
        <f t="shared" ref="E22:E32" si="5">E4*$E$17</f>
        <v>188.39484213649462</v>
      </c>
      <c r="F22" s="458">
        <f t="shared" ref="F22:F32" si="6">F4*$F$17</f>
        <v>2012.0466296511147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39167.458221240129</v>
      </c>
    </row>
    <row r="23" spans="1:17">
      <c r="A23" s="457" t="s">
        <v>155</v>
      </c>
      <c r="B23" s="458">
        <f t="shared" ca="1" si="2"/>
        <v>6443.4952797567039</v>
      </c>
      <c r="C23" s="458">
        <f t="shared" ca="1" si="3"/>
        <v>0</v>
      </c>
      <c r="D23" s="458">
        <f t="shared" ca="1" si="4"/>
        <v>10845.808190526621</v>
      </c>
      <c r="E23" s="458">
        <f t="shared" si="5"/>
        <v>96.787508617592664</v>
      </c>
      <c r="F23" s="458">
        <f t="shared" ca="1" si="6"/>
        <v>1565.5893369830953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18951.680315884012</v>
      </c>
    </row>
    <row r="24" spans="1:17">
      <c r="A24" s="457" t="s">
        <v>193</v>
      </c>
      <c r="B24" s="458">
        <f t="shared" ca="1" si="2"/>
        <v>235.26838868825072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235.26838868825072</v>
      </c>
    </row>
    <row r="25" spans="1:17">
      <c r="A25" s="457" t="s">
        <v>111</v>
      </c>
      <c r="B25" s="458">
        <f t="shared" ca="1" si="2"/>
        <v>36.505857691499422</v>
      </c>
      <c r="C25" s="458">
        <f t="shared" ca="1" si="3"/>
        <v>0</v>
      </c>
      <c r="D25" s="458">
        <f t="shared" si="4"/>
        <v>14.450843246715952</v>
      </c>
      <c r="E25" s="458">
        <f t="shared" si="5"/>
        <v>0.48627139653081913</v>
      </c>
      <c r="F25" s="458">
        <f t="shared" si="6"/>
        <v>156.60290404475197</v>
      </c>
      <c r="G25" s="458">
        <f t="shared" si="7"/>
        <v>0</v>
      </c>
      <c r="H25" s="458">
        <f t="shared" si="8"/>
        <v>0</v>
      </c>
      <c r="I25" s="458">
        <f t="shared" si="9"/>
        <v>0</v>
      </c>
      <c r="J25" s="458">
        <f t="shared" si="10"/>
        <v>9.0501586528705804</v>
      </c>
      <c r="K25" s="458">
        <f t="shared" si="11"/>
        <v>0</v>
      </c>
      <c r="L25" s="458">
        <f t="shared" si="12"/>
        <v>0</v>
      </c>
      <c r="M25" s="458">
        <f t="shared" si="13"/>
        <v>0</v>
      </c>
      <c r="N25" s="458">
        <f t="shared" si="14"/>
        <v>0</v>
      </c>
      <c r="O25" s="458">
        <f t="shared" si="15"/>
        <v>0</v>
      </c>
      <c r="P25" s="459">
        <f t="shared" si="16"/>
        <v>0</v>
      </c>
      <c r="Q25" s="457">
        <f t="shared" ca="1" si="17"/>
        <v>217.09603503236875</v>
      </c>
    </row>
    <row r="26" spans="1:17">
      <c r="A26" s="457" t="s">
        <v>655</v>
      </c>
      <c r="B26" s="458">
        <f t="shared" ca="1" si="2"/>
        <v>796.6703714966269</v>
      </c>
      <c r="C26" s="458">
        <f t="shared" ca="1" si="3"/>
        <v>0</v>
      </c>
      <c r="D26" s="458">
        <f t="shared" si="4"/>
        <v>78217.997305953715</v>
      </c>
      <c r="E26" s="458">
        <f t="shared" si="5"/>
        <v>185.59394600746194</v>
      </c>
      <c r="F26" s="458">
        <f t="shared" si="6"/>
        <v>758.0297588974347</v>
      </c>
      <c r="G26" s="458">
        <f t="shared" si="7"/>
        <v>0</v>
      </c>
      <c r="H26" s="458">
        <f t="shared" si="8"/>
        <v>0</v>
      </c>
      <c r="I26" s="458">
        <f t="shared" si="9"/>
        <v>0</v>
      </c>
      <c r="J26" s="458">
        <f t="shared" si="10"/>
        <v>0.12247237055234914</v>
      </c>
      <c r="K26" s="458">
        <f t="shared" si="11"/>
        <v>0</v>
      </c>
      <c r="L26" s="458">
        <f t="shared" si="12"/>
        <v>0</v>
      </c>
      <c r="M26" s="458">
        <f t="shared" si="13"/>
        <v>0</v>
      </c>
      <c r="N26" s="458">
        <f t="shared" si="14"/>
        <v>0</v>
      </c>
      <c r="O26" s="458">
        <f t="shared" si="15"/>
        <v>0</v>
      </c>
      <c r="P26" s="459">
        <f t="shared" si="16"/>
        <v>0</v>
      </c>
      <c r="Q26" s="457">
        <f t="shared" ca="1" si="17"/>
        <v>79958.41385472579</v>
      </c>
    </row>
    <row r="27" spans="1:17" s="463" customFormat="1">
      <c r="A27" s="461" t="s">
        <v>573</v>
      </c>
      <c r="B27" s="771">
        <f t="shared" ca="1" si="2"/>
        <v>0.61337764561842467</v>
      </c>
      <c r="C27" s="462">
        <f t="shared" ca="1" si="3"/>
        <v>0</v>
      </c>
      <c r="D27" s="462">
        <f t="shared" si="4"/>
        <v>1.0269246789840134</v>
      </c>
      <c r="E27" s="462">
        <f t="shared" si="5"/>
        <v>40.415931105039853</v>
      </c>
      <c r="F27" s="462">
        <f t="shared" si="6"/>
        <v>0</v>
      </c>
      <c r="G27" s="462">
        <f t="shared" si="7"/>
        <v>11706.321576526338</v>
      </c>
      <c r="H27" s="462">
        <f t="shared" si="8"/>
        <v>2293.9154137916198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14042.2932237476</v>
      </c>
    </row>
    <row r="28" spans="1:17">
      <c r="A28" s="457" t="s">
        <v>563</v>
      </c>
      <c r="B28" s="458">
        <f t="shared" ca="1" si="2"/>
        <v>340.97267203312106</v>
      </c>
      <c r="C28" s="458">
        <f t="shared" ca="1" si="3"/>
        <v>0</v>
      </c>
      <c r="D28" s="458">
        <f t="shared" si="4"/>
        <v>0</v>
      </c>
      <c r="E28" s="458">
        <f t="shared" si="5"/>
        <v>0</v>
      </c>
      <c r="F28" s="458">
        <f t="shared" si="6"/>
        <v>0</v>
      </c>
      <c r="G28" s="458">
        <f t="shared" si="7"/>
        <v>660.94631591853022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1001.9189879516513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286.05023601280004</v>
      </c>
      <c r="C32" s="458">
        <f t="shared" ca="1" si="3"/>
        <v>0</v>
      </c>
      <c r="D32" s="458">
        <f t="shared" si="4"/>
        <v>1366.5628660913287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1652.6131021041288</v>
      </c>
    </row>
    <row r="33" spans="1:17" s="470" customFormat="1">
      <c r="A33" s="467" t="s">
        <v>567</v>
      </c>
      <c r="B33" s="468">
        <f ca="1">SUM(B22:B32)</f>
        <v>16062.596489770558</v>
      </c>
      <c r="C33" s="468">
        <f t="shared" ref="C33:Q33" ca="1" si="18">SUM(C22:C32)</f>
        <v>0</v>
      </c>
      <c r="D33" s="468">
        <f t="shared" ca="1" si="18"/>
        <v>119489.84257350396</v>
      </c>
      <c r="E33" s="468">
        <f t="shared" si="18"/>
        <v>511.67849926311993</v>
      </c>
      <c r="F33" s="468">
        <f t="shared" ca="1" si="18"/>
        <v>4492.268629576397</v>
      </c>
      <c r="G33" s="468">
        <f t="shared" si="18"/>
        <v>12367.267892444868</v>
      </c>
      <c r="H33" s="468">
        <f t="shared" si="18"/>
        <v>2293.9154137916198</v>
      </c>
      <c r="I33" s="468">
        <f t="shared" si="18"/>
        <v>0</v>
      </c>
      <c r="J33" s="468">
        <f t="shared" si="18"/>
        <v>9.1726310234229302</v>
      </c>
      <c r="K33" s="468">
        <f t="shared" si="18"/>
        <v>0</v>
      </c>
      <c r="L33" s="468">
        <f t="shared" ca="1" si="18"/>
        <v>0</v>
      </c>
      <c r="M33" s="468">
        <f t="shared" si="18"/>
        <v>0</v>
      </c>
      <c r="N33" s="468">
        <f t="shared" ca="1" si="18"/>
        <v>0</v>
      </c>
      <c r="O33" s="468">
        <f t="shared" si="18"/>
        <v>0</v>
      </c>
      <c r="P33" s="468">
        <f t="shared" si="18"/>
        <v>0</v>
      </c>
      <c r="Q33" s="468">
        <f t="shared" ca="1" si="18"/>
        <v>155226.74212937395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2116.762214305897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2116.762214305897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0.21474577884168719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0.21474577884168719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2020-06-20T16:13:38Z</dcterms:modified>
</cp:coreProperties>
</file>