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G10" i="18" s="1"/>
  <c r="F9" i="18"/>
  <c r="F10" i="18" s="1"/>
  <c r="D9" i="18"/>
  <c r="B50" i="18"/>
  <c r="I54" i="18" s="1"/>
  <c r="H17" i="18" s="1"/>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V41" i="18"/>
  <c r="J9" i="18" s="1"/>
  <c r="U41" i="18"/>
  <c r="T41" i="18"/>
  <c r="I9" i="18" s="1"/>
  <c r="S41" i="18"/>
  <c r="E9" i="18" s="1"/>
  <c r="R41" i="18"/>
  <c r="Q41" i="18"/>
  <c r="P41" i="18"/>
  <c r="C9" i="18" s="1"/>
  <c r="O41" i="18"/>
  <c r="N41" i="18"/>
  <c r="B9" i="18" s="1"/>
  <c r="M41"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D20" i="18"/>
  <c r="B17" i="18"/>
  <c r="G12" i="18"/>
  <c r="F12" i="18"/>
  <c r="E12" i="18"/>
  <c r="D12" i="18"/>
  <c r="C12" i="18"/>
  <c r="L10" i="18"/>
  <c r="K10" i="18"/>
  <c r="D10" i="18"/>
  <c r="B6" i="18"/>
  <c r="B5" i="18"/>
  <c r="B4" i="18"/>
  <c r="B20" i="18" l="1"/>
  <c r="F54" i="18"/>
  <c r="G54" i="18"/>
  <c r="I17" i="18" s="1"/>
  <c r="F20" i="18"/>
  <c r="C54" i="18"/>
  <c r="B54" i="18"/>
  <c r="C17" i="18" s="1"/>
  <c r="C20" i="18" s="1"/>
  <c r="C50" i="18"/>
  <c r="O18" i="18"/>
  <c r="H20" i="18"/>
  <c r="G20" i="18"/>
  <c r="K20" i="18"/>
  <c r="B10" i="18"/>
  <c r="O19" i="18"/>
  <c r="O9" i="18"/>
  <c r="I20" i="18"/>
  <c r="D54" i="18"/>
  <c r="H54" i="18"/>
  <c r="E54" i="18"/>
  <c r="E17" i="18" s="1"/>
  <c r="E20" i="18" s="1"/>
  <c r="N6" i="17"/>
  <c r="I53" i="18" l="1"/>
  <c r="H8" i="18" s="1"/>
  <c r="H10" i="18" s="1"/>
  <c r="G53" i="18"/>
  <c r="F53" i="18"/>
  <c r="D53" i="18"/>
  <c r="C53" i="18"/>
  <c r="B53" i="18"/>
  <c r="C8" i="18" s="1"/>
  <c r="C10" i="18" s="1"/>
  <c r="H53" i="18"/>
  <c r="J8" i="18" s="1"/>
  <c r="J10" i="18" s="1"/>
  <c r="E53"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E23" i="48"/>
  <c r="E33" i="48" s="1"/>
  <c r="E15" i="48"/>
  <c r="Q5" i="48"/>
  <c r="H63" i="14"/>
  <c r="J15" i="48"/>
  <c r="F13" i="14"/>
  <c r="F16" i="14" s="1"/>
  <c r="F27" i="14" s="1"/>
  <c r="E8" i="48"/>
  <c r="E26" i="48" s="1"/>
  <c r="N63" i="14"/>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<sst xmlns="http://schemas.openxmlformats.org/spreadsheetml/2006/main" count="2510" uniqueCount="953">
  <si>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</si>
  <si>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</si>
  <si>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</si>
  <si>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</si>
  <si>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</si>
  <si>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</si>
  <si>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</si>
  <si>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</si>
  <si>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</si>
  <si>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</si>
  <si>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</si>
  <si>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</si>
  <si>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</si>
  <si>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</si>
  <si>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</si>
  <si>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</si>
  <si>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</si>
  <si>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</si>
  <si>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</si>
  <si>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</si>
  <si>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</si>
  <si>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</si>
  <si>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</si>
  <si>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</si>
  <si>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</si>
  <si>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</si>
  <si>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</si>
  <si>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</si>
  <si>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</si>
  <si>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</si>
  <si>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</si>
  <si>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</si>
  <si>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</si>
  <si>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</si>
  <si>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</si>
  <si>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</si>
  <si>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</si>
  <si>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</si>
  <si>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</si>
  <si>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</si>
  <si>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</si>
  <si>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</si>
  <si>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</si>
  <si>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</si>
  <si>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</si>
  <si>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</si>
  <si>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</si>
  <si>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</si>
  <si>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</si>
  <si>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</si>
  <si>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</si>
  <si>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</si>
  <si>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</si>
  <si>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</si>
  <si>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</si>
  <si>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</si>
  <si>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</si>
  <si>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</si>
  <si>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</si>
  <si>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</si>
  <si>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</si>
  <si>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</si>
  <si>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</si>
  <si>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</si>
  <si>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</si>
  <si>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</si>
  <si>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</si>
  <si>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</si>
  <si>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</si>
  <si>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</si>
  <si>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</si>
  <si>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</si>
  <si>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</si>
  <si>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</si>
  <si>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</si>
  <si>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</si>
  <si>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</si>
  <si>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</si>
  <si>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</si>
  <si>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</si>
  <si>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</si>
  <si>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</si>
  <si>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</si>
  <si>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</si>
  <si>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</si>
  <si>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</si>
  <si>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</si>
  <si>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</si>
  <si>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</si>
  <si>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</si>
  <si>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</si>
  <si>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</si>
  <si>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</si>
  <si>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</si>
  <si>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</si>
  <si>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</si>
  <si>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</si>
  <si>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</si>
  <si>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</si>
  <si>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</si>
  <si>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</si>
  <si>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</si>
  <si>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</si>
  <si>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</si>
  <si>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</si>
  <si>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</si>
  <si>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</si>
  <si>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</si>
  <si>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</si>
  <si>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</si>
  <si>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</si>
  <si>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</si>
  <si>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</si>
  <si>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</si>
  <si>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</si>
  <si>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</si>
  <si>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</si>
  <si>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</si>
  <si>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</si>
  <si>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</si>
  <si>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</si>
  <si>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</si>
  <si>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</si>
  <si>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</si>
  <si>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</si>
  <si>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</si>
  <si>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</si>
  <si>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</si>
  <si>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</si>
  <si>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</si>
  <si>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</si>
  <si>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</si>
  <si>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</si>
  <si>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</si>
  <si>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</si>
  <si>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</si>
  <si>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</si>
  <si>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</si>
  <si>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</si>
  <si>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</si>
  <si>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</si>
  <si>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</si>
  <si>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</si>
  <si>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</si>
  <si>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</si>
  <si>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</si>
  <si>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</si>
  <si>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</si>
  <si>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</si>
  <si>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</si>
  <si>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</si>
  <si>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</si>
  <si>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</si>
  <si>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</si>
  <si>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</si>
  <si>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</si>
  <si>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</si>
  <si>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</si>
  <si>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</si>
  <si>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</si>
  <si>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</si>
  <si>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</si>
  <si>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</si>
  <si>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</si>
  <si>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</si>
  <si>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</si>
  <si>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</si>
  <si>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</si>
  <si>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</si>
  <si>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</si>
  <si>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</si>
  <si>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</si>
  <si>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</si>
  <si>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</si>
  <si>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</si>
  <si>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</si>
  <si>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</si>
  <si>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</si>
  <si>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</si>
  <si>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</si>
  <si>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</si>
  <si>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</si>
  <si>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</si>
  <si>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</si>
  <si>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</si>
  <si>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</si>
  <si>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</si>
  <si>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</si>
  <si>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</si>
  <si>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</si>
  <si>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</si>
  <si>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</si>
  <si>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</si>
  <si>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</si>
  <si>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</si>
  <si>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</si>
  <si>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</si>
  <si>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</si>
  <si>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</si>
  <si>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</si>
  <si>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</si>
  <si>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</si>
  <si>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</si>
  <si>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</si>
  <si>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</si>
  <si>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</si>
  <si>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</si>
  <si>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</si>
  <si>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</si>
  <si>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</si>
  <si>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</si>
  <si>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</si>
  <si>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</si>
  <si>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</si>
  <si>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</si>
  <si>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</si>
  <si>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</si>
  <si>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</si>
  <si>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</si>
  <si>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</si>
  <si>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</si>
  <si>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</si>
  <si>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</si>
  <si>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</si>
  <si>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</si>
  <si>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</si>
  <si>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</si>
  <si>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</si>
  <si>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</si>
  <si>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</si>
  <si>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</si>
  <si>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</si>
  <si>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</si>
  <si>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</si>
  <si>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</si>
  <si>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</si>
  <si>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</si>
  <si>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</si>
  <si>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</si>
  <si>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</si>
  <si>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</si>
  <si>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</si>
  <si>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</si>
  <si>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</si>
  <si>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</si>
  <si>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</si>
  <si>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</si>
  <si>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</si>
  <si>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</si>
  <si>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</si>
  <si>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</si>
  <si>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</si>
  <si>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</si>
  <si>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</si>
  <si>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</si>
  <si>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</si>
  <si>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</si>
  <si>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</si>
  <si>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</si>
  <si>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</si>
  <si>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</si>
  <si>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</si>
  <si>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</si>
  <si>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</si>
  <si>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</si>
  <si>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</si>
  <si>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</si>
  <si>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</si>
  <si>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</si>
  <si>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</si>
  <si>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</si>
  <si>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</si>
  <si>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</si>
  <si>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</si>
  <si>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</si>
  <si>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</si>
  <si>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</si>
  <si>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</si>
  <si>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</si>
  <si>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</si>
  <si>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</si>
  <si>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</si>
  <si>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</si>
  <si>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</si>
  <si>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</si>
  <si>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</si>
  <si>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</si>
  <si>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</si>
  <si>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</si>
  <si>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</si>
  <si>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</si>
  <si>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</si>
  <si>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</si>
  <si>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</si>
  <si>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</si>
  <si>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</si>
  <si>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</si>
  <si>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</si>
  <si>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</si>
  <si>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</si>
  <si>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</si>
  <si>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</si>
  <si>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</si>
  <si>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</si>
  <si>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</si>
  <si>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</si>
  <si>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</si>
  <si>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</si>
  <si>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</si>
  <si>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</si>
  <si>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</si>
  <si>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</si>
  <si>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</si>
  <si>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</si>
  <si>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</si>
  <si>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</si>
  <si>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</si>
  <si>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</si>
  <si>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</si>
  <si>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</si>
  <si>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</si>
  <si>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</si>
  <si>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</si>
  <si>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</si>
  <si>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</si>
  <si>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</si>
  <si>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</si>
  <si>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</si>
  <si>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</si>
  <si>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</si>
  <si>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</si>
  <si>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</si>
  <si>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</si>
  <si>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</si>
  <si>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</si>
  <si>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</si>
  <si>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</si>
  <si>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</si>
  <si>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</si>
  <si>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</si>
  <si>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</si>
  <si>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</si>
  <si>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</si>
  <si>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</si>
  <si>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</si>
  <si>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</si>
  <si>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</si>
  <si>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</si>
  <si>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</si>
  <si>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</si>
  <si>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</si>
  <si>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</si>
  <si>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</si>
  <si>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</si>
  <si>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</si>
  <si>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</si>
  <si>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</si>
  <si>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</si>
  <si>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</si>
  <si>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</si>
  <si>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</si>
  <si>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</si>
  <si>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</si>
  <si>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</si>
  <si>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</si>
  <si>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</si>
  <si>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</si>
  <si>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</si>
  <si>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</si>
  <si>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</si>
  <si>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</si>
  <si>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</si>
  <si>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</si>
  <si>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</si>
  <si>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</si>
  <si>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</si>
  <si>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</si>
  <si>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</si>
  <si>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</si>
  <si>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</si>
  <si>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</si>
  <si>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</si>
  <si>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</si>
  <si>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</si>
  <si>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</si>
  <si>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</si>
  <si>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</si>
  <si>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</si>
  <si>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</si>
  <si>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</si>
  <si>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</si>
  <si>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</si>
  <si>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</si>
  <si>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</si>
  <si>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</si>
  <si>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</si>
  <si>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</si>
  <si>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</si>
  <si>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</si>
  <si>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</si>
  <si>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</si>
  <si>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</si>
  <si>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</si>
  <si>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</si>
  <si>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</si>
  <si>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</si>
  <si>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</si>
  <si>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</si>
  <si>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</si>
  <si>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</si>
  <si>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</si>
  <si>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</si>
  <si>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</si>
  <si>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</si>
  <si>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</si>
  <si>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</si>
  <si>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</si>
  <si>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</si>
  <si>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</si>
  <si>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</si>
  <si>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</si>
  <si>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</si>
  <si>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</si>
  <si>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</si>
  <si>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</si>
  <si>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</si>
  <si>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</si>
  <si>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</si>
  <si>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</si>
  <si>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</si>
  <si>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</si>
  <si>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</si>
  <si>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</si>
  <si>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</si>
  <si>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</si>
  <si>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</si>
  <si>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</si>
  <si>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</si>
  <si>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</si>
  <si>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</si>
  <si>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</si>
  <si>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</si>
  <si>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</si>
  <si>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</si>
  <si>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</si>
  <si>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</si>
  <si>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</si>
  <si>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</si>
  <si>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</si>
  <si>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</si>
  <si>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</si>
  <si>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</si>
  <si>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</si>
  <si>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</si>
  <si>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</si>
  <si>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</si>
  <si>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</si>
  <si>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</si>
  <si>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</si>
  <si>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</si>
  <si>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</si>
  <si>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</si>
  <si>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</si>
  <si>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</si>
  <si>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</si>
  <si>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</si>
  <si>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</si>
  <si>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</si>
  <si>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</si>
  <si>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</si>
  <si>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</si>
  <si>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</si>
  <si>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</si>
  <si>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</si>
  <si>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</si>
  <si>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</si>
  <si>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</si>
  <si>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</si>
  <si>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</si>
  <si>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</si>
  <si>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</si>
  <si>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</si>
  <si>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</si>
  <si>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</si>
  <si>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</si>
  <si>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</si>
  <si>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</si>
  <si>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</si>
  <si>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</si>
  <si>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</si>
  <si>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</si>
  <si>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</si>
  <si>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</si>
  <si>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</si>
  <si>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</si>
  <si>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</si>
  <si>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</si>
  <si>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</si>
  <si>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</si>
  <si>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</si>
  <si>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</si>
  <si>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</si>
  <si>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</si>
  <si>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</si>
  <si>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</si>
  <si>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</si>
  <si>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</si>
  <si>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</si>
  <si>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</si>
  <si>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</si>
  <si>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</si>
  <si>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</si>
  <si>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</si>
  <si>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</si>
  <si>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</si>
  <si>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</si>
  <si>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</si>
  <si>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</si>
  <si>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</si>
  <si>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</si>
  <si>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</si>
  <si>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</si>
  <si>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</si>
  <si>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</si>
  <si>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</si>
  <si>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</si>
  <si>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</si>
  <si>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</si>
  <si>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</si>
  <si>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</si>
  <si>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</si>
  <si>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</si>
  <si>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</si>
  <si>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</si>
  <si>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</si>
  <si>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</si>
  <si>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</si>
  <si>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</si>
  <si>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</si>
  <si>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</si>
  <si>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</si>
  <si>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</si>
  <si>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</si>
  <si>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</si>
  <si>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</si>
  <si>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</si>
  <si>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</si>
  <si>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</si>
  <si>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</si>
  <si>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</si>
  <si>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</si>
  <si>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</si>
  <si>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</si>
  <si>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</si>
  <si>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</si>
  <si>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</si>
  <si>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</si>
  <si>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</si>
  <si>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</si>
  <si>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</si>
  <si>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</si>
  <si>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</si>
  <si>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</si>
  <si>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</si>
  <si>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</si>
  <si>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</si>
  <si>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</si>
  <si>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</si>
  <si>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</si>
  <si>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</si>
  <si>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</si>
  <si>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</si>
  <si>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</si>
  <si>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</si>
  <si>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</si>
  <si>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</si>
  <si>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</si>
  <si>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</si>
  <si>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</si>
  <si>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</si>
  <si>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</si>
  <si>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</si>
  <si>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</si>
  <si>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</si>
  <si>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</si>
  <si>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</si>
  <si>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</si>
  <si>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</si>
  <si>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</si>
  <si>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</si>
  <si>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</si>
  <si>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</si>
  <si>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</si>
  <si>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</si>
  <si>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</si>
  <si>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</si>
  <si>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</si>
  <si>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</si>
  <si>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</si>
  <si>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</si>
  <si>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</si>
  <si>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</si>
  <si>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</si>
  <si>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</si>
  <si>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</si>
  <si>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</si>
  <si>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</si>
  <si>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</si>
  <si>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</si>
  <si>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</si>
  <si>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</si>
  <si>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</si>
  <si>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</si>
  <si>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</si>
  <si>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</si>
  <si>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</si>
  <si>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</si>
  <si>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</si>
  <si>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</si>
  <si>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</si>
  <si>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</si>
  <si>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</si>
  <si>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</si>
  <si>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</si>
  <si>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</si>
  <si>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</si>
  <si>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</si>
  <si>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</si>
  <si>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</si>
  <si>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</si>
  <si>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</si>
  <si>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</si>
  <si>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</si>
  <si>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</si>
  <si>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</si>
  <si>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</si>
  <si>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</si>
  <si>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</si>
  <si>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</si>
  <si>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</si>
  <si>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</si>
  <si>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</si>
  <si>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</si>
  <si>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</si>
  <si>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</si>
  <si>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</si>
  <si>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</si>
  <si>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</si>
  <si>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</si>
  <si>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</si>
  <si>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</si>
  <si>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</si>
  <si>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</si>
  <si>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</si>
  <si>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</si>
  <si>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</si>
  <si>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</si>
  <si>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</si>
  <si>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</si>
  <si>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</si>
  <si>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</si>
  <si>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</si>
  <si>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</si>
  <si>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</si>
  <si>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</si>
  <si>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</si>
  <si>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</si>
  <si>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</si>
  <si>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</si>
  <si>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</si>
  <si>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</si>
  <si>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</si>
  <si>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</si>
  <si>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</si>
  <si>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</si>
  <si>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</si>
  <si>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</si>
  <si>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</si>
  <si>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</si>
  <si>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</si>
  <si>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</si>
  <si>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</si>
  <si>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</si>
  <si>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</si>
  <si>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</si>
  <si>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</si>
  <si>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</si>
  <si>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</si>
  <si>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</si>
  <si>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</si>
  <si>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</si>
  <si>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</si>
  <si>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</si>
  <si>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</si>
  <si>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</si>
  <si>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</si>
  <si>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</si>
  <si>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</si>
  <si>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</si>
  <si>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</si>
  <si>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</si>
  <si>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</si>
  <si>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</si>
  <si>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</si>
  <si>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</si>
  <si>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</si>
  <si>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</si>
  <si>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</si>
  <si>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</si>
  <si>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</si>
  <si>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</si>
  <si>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</si>
  <si>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</si>
  <si>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</si>
  <si>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</si>
  <si>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</si>
  <si>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</si>
  <si>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</si>
  <si>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</si>
  <si>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</si>
  <si>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</si>
  <si>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</si>
  <si>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</si>
  <si>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</si>
  <si>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</si>
  <si>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</si>
  <si>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</si>
  <si>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</si>
  <si>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</si>
  <si>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</si>
  <si>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</si>
  <si>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</si>
  <si>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</si>
  <si>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</si>
  <si>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</si>
  <si>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</si>
  <si>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</si>
  <si>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</si>
  <si>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</si>
  <si>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</si>
  <si>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</si>
  <si>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</si>
  <si>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</si>
  <si>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</si>
  <si>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</si>
  <si>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</si>
  <si>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</si>
  <si>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</si>
  <si>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</si>
  <si>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</si>
  <si>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</si>
  <si>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</si>
  <si>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</si>
  <si>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</si>
  <si>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</si>
  <si>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</si>
  <si>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</si>
  <si>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</si>
  <si>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</si>
  <si>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</si>
  <si>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</si>
  <si>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</si>
  <si>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</si>
  <si>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</si>
  <si>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</si>
  <si>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</si>
  <si>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</si>
  <si>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</si>
  <si>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</si>
  <si>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</si>
  <si>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</si>
  <si>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</si>
  <si>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</si>
  <si>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</si>
  <si>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</si>
  <si>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</si>
  <si>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</si>
  <si>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</si>
  <si>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</si>
  <si>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</si>
  <si>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</si>
  <si>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</si>
  <si>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</si>
  <si>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</si>
  <si>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</si>
  <si>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</si>
  <si>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</si>
  <si>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</si>
  <si>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</si>
  <si>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</si>
  <si>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</si>
  <si>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</si>
  <si>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</si>
  <si>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</si>
  <si>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</si>
  <si>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</si>
  <si>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</si>
  <si>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</si>
  <si>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</si>
  <si>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</si>
  <si>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</si>
  <si>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</si>
  <si>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</si>
  <si>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</si>
  <si>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</si>
  <si>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</si>
  <si>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</si>
  <si>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</si>
  <si>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</si>
  <si>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</si>
  <si>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</si>
  <si>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</si>
  <si>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</si>
  <si>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</si>
  <si>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</si>
  <si>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</si>
  <si>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</si>
  <si>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</si>
  <si>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</si>
  <si>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</si>
  <si>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</si>
  <si>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</si>
  <si>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</si>
  <si>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</si>
  <si>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</si>
  <si>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</si>
  <si>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</si>
  <si>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</si>
  <si>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</si>
  <si>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</si>
  <si>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</si>
  <si>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</si>
  <si>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</si>
  <si>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</si>
  <si>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</si>
  <si>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</si>
  <si>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</si>
  <si>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</si>
  <si>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</si>
  <si>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</si>
  <si>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</si>
  <si>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</si>
  <si>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</si>
  <si>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</si>
  <si>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</si>
  <si>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</si>
  <si>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</si>
  <si>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</si>
  <si>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</si>
  <si>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</si>
  <si>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</si>
  <si>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</si>
  <si>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</si>
  <si>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</si>
  <si>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</si>
  <si>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</si>
  <si>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</si>
  <si>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</si>
  <si>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</si>
  <si>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</si>
  <si>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</si>
  <si>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</si>
  <si>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</si>
  <si>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</si>
  <si>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</si>
  <si>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</si>
  <si>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</si>
  <si>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</si>
  <si>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</si>
  <si>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</si>
  <si>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</si>
  <si>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</si>
  <si>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</si>
  <si>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</si>
  <si>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</si>
  <si>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</si>
  <si>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</si>
  <si>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</si>
  <si>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</si>
  <si>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</si>
  <si>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</si>
  <si>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</si>
  <si>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</si>
  <si>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</si>
  <si>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</si>
  <si>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</si>
  <si>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</si>
  <si>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</si>
  <si>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</si>
  <si>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</si>
  <si>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</si>
  <si>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</si>
  <si>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</si>
  <si>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</si>
  <si>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</si>
  <si>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</si>
  <si>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</si>
  <si>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</si>
  <si>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</si>
  <si>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</si>
  <si>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</si>
  <si>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</si>
  <si>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</si>
  <si>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</si>
  <si>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</si>
  <si>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</si>
  <si>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</si>
  <si>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</si>
  <si>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</si>
  <si>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</si>
  <si>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</si>
  <si>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</si>
  <si>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</si>
  <si>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11009</t>
  </si>
  <si>
    <t>BRECHT</t>
  </si>
  <si>
    <t>Cultuurgrond (ha)</t>
  </si>
  <si>
    <t>Paarden&amp;pony's 200 - 600 kg</t>
  </si>
  <si>
    <t>Paarden&amp;pony's &lt; 200 kg</t>
  </si>
  <si>
    <t>Fluvius</t>
  </si>
  <si>
    <t>referentietaak LNE (2017); Jaarverslag De Lijn</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</si>
  <si>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</si>
  <si>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</si>
  <si>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</si>
  <si>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</si>
  <si>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</si>
  <si>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</si>
  <si>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</si>
  <si>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</si>
  <si>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</si>
  <si>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</si>
  <si>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</si>
  <si>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</si>
  <si>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</si>
  <si>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</si>
  <si>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</si>
  <si>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</si>
  <si>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</si>
  <si>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Igean CV</t>
  </si>
  <si>
    <t>Doornaardstraat 60, 2160 Wommelgem</t>
  </si>
  <si>
    <t>BGS-0014 Dranco 1 en 2- GFT</t>
  </si>
  <si>
    <t>biogas - GFT met compostering</t>
  </si>
  <si>
    <t>niet WKK interne verbrandingsmotor (gas)</t>
  </si>
  <si>
    <t>Oostmalsebaan 70-74 , 2960 Sint-Lenaarts</t>
  </si>
  <si>
    <t>Iveka</t>
  </si>
  <si>
    <t>IVEB NV</t>
  </si>
  <si>
    <t>Kruisbos 17, 2920 Kalmthout</t>
  </si>
  <si>
    <t>BGS-0031 IVEB - agr.verg</t>
  </si>
  <si>
    <t>biogas - hoofdzakelijk agrarische stromen</t>
  </si>
  <si>
    <t>Vaartkant Rechts 11 , 2960 Brecht</t>
  </si>
  <si>
    <t>Brusselsesteenweg 199 Blok A - 1 e verdiep , 9090 Melle</t>
  </si>
  <si>
    <t>BGS-0010 Igean Stort (GSC rest)</t>
  </si>
  <si>
    <t>biogas - stortgas</t>
  </si>
  <si>
    <t>Oostmalsebaan 70-74,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</si>
</sst>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251447.43122988261</c:v>
                </c:pt>
                <c:pt idx="1">
                  <c:v>83326.755738003209</c:v>
                </c:pt>
                <c:pt idx="2">
                  <c:v>1740.5</c:v>
                </c:pt>
                <c:pt idx="3">
                  <c:v>29214.93717524844</c:v>
                </c:pt>
                <c:pt idx="4">
                  <c:v>37355.879672036936</c:v>
                </c:pt>
                <c:pt idx="5">
                  <c:v>362240.81124824303</c:v>
                </c:pt>
                <c:pt idx="6">
                  <c:v>3622.9846200551106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251447.43122988261</c:v>
                </c:pt>
                <c:pt idx="1">
                  <c:v>83326.755738003209</c:v>
                </c:pt>
                <c:pt idx="2">
                  <c:v>1740.5</c:v>
                </c:pt>
                <c:pt idx="3">
                  <c:v>29214.93717524844</c:v>
                </c:pt>
                <c:pt idx="4">
                  <c:v>37355.879672036936</c:v>
                </c:pt>
                <c:pt idx="5">
                  <c:v>362240.81124824303</c:v>
                </c:pt>
                <c:pt idx="6">
                  <c:v>3622.9846200551106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39723.703050164469</c:v>
                </c:pt>
                <c:pt idx="2">
                  <c:v>15073.191479682753</c:v>
                </c:pt>
                <c:pt idx="3">
                  <c:v>266.71887303877793</c:v>
                </c:pt>
                <c:pt idx="4">
                  <c:v>7073.1667071792399</c:v>
                </c:pt>
                <c:pt idx="5">
                  <c:v>7289.4577611458626</c:v>
                </c:pt>
                <c:pt idx="6">
                  <c:v>91822.904458749748</c:v>
                </c:pt>
                <c:pt idx="7">
                  <c:v>926.11475944434483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39723.703050164469</c:v>
                </c:pt>
                <c:pt idx="2">
                  <c:v>15073.191479682753</c:v>
                </c:pt>
                <c:pt idx="3">
                  <c:v>266.71887303877793</c:v>
                </c:pt>
                <c:pt idx="4">
                  <c:v>7073.1667071792399</c:v>
                </c:pt>
                <c:pt idx="5">
                  <c:v>7289.4577611458626</c:v>
                </c:pt>
                <c:pt idx="6">
                  <c:v>91822.904458749748</c:v>
                </c:pt>
                <c:pt idx="7">
                  <c:v>926.11475944434483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11009</v>
      </c>
      <c r="B6" s="395"/>
      <c r="C6" s="396"/>
    </row>
    <row r="7" spans="1:7" s="393" customFormat="1" ht="15.75" customHeight="1">
      <c r="A7" s="397" t="str">
        <f>txtMunicipality</f>
        <v>BRECHT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0.15324267339200112</v>
      </c>
      <c r="C17" s="508">
        <f ca="1">'EF ele_warmte'!B22</f>
        <v>0.23374825469585611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0.15324267339200112</v>
      </c>
      <c r="C29" s="509">
        <f ca="1">'EF ele_warmte'!B22</f>
        <v>0.23374825469585611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11034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4499</v>
      </c>
      <c r="C14" s="332"/>
      <c r="D14" s="332"/>
      <c r="E14" s="332"/>
      <c r="F14" s="332"/>
    </row>
    <row r="15" spans="1:6">
      <c r="A15" s="1306" t="s">
        <v>183</v>
      </c>
      <c r="B15" s="1307">
        <v>7086</v>
      </c>
      <c r="C15" s="332"/>
      <c r="D15" s="332"/>
      <c r="E15" s="332"/>
      <c r="F15" s="332"/>
    </row>
    <row r="16" spans="1:6">
      <c r="A16" s="1306" t="s">
        <v>6</v>
      </c>
      <c r="B16" s="1307">
        <v>4179</v>
      </c>
      <c r="C16" s="332"/>
      <c r="D16" s="332"/>
      <c r="E16" s="332"/>
      <c r="F16" s="332"/>
    </row>
    <row r="17" spans="1:6">
      <c r="A17" s="1306" t="s">
        <v>7</v>
      </c>
      <c r="B17" s="1307">
        <v>941</v>
      </c>
      <c r="C17" s="332"/>
      <c r="D17" s="332"/>
      <c r="E17" s="332"/>
      <c r="F17" s="332"/>
    </row>
    <row r="18" spans="1:6">
      <c r="A18" s="1306" t="s">
        <v>8</v>
      </c>
      <c r="B18" s="1307">
        <v>2834</v>
      </c>
      <c r="C18" s="332"/>
      <c r="D18" s="332"/>
      <c r="E18" s="332"/>
      <c r="F18" s="332"/>
    </row>
    <row r="19" spans="1:6">
      <c r="A19" s="1306" t="s">
        <v>9</v>
      </c>
      <c r="B19" s="1307">
        <v>2574</v>
      </c>
      <c r="C19" s="332"/>
      <c r="D19" s="332"/>
      <c r="E19" s="332"/>
      <c r="F19" s="332"/>
    </row>
    <row r="20" spans="1:6">
      <c r="A20" s="1306" t="s">
        <v>10</v>
      </c>
      <c r="B20" s="1307">
        <v>1888</v>
      </c>
      <c r="C20" s="332"/>
      <c r="D20" s="332"/>
      <c r="E20" s="332"/>
      <c r="F20" s="332"/>
    </row>
    <row r="21" spans="1:6">
      <c r="A21" s="1306" t="s">
        <v>11</v>
      </c>
      <c r="B21" s="1307">
        <v>11288</v>
      </c>
      <c r="C21" s="332"/>
      <c r="D21" s="332"/>
      <c r="E21" s="332"/>
      <c r="F21" s="332"/>
    </row>
    <row r="22" spans="1:6">
      <c r="A22" s="1306" t="s">
        <v>12</v>
      </c>
      <c r="B22" s="1307">
        <v>38965</v>
      </c>
      <c r="C22" s="332"/>
      <c r="D22" s="332"/>
      <c r="E22" s="332"/>
      <c r="F22" s="332"/>
    </row>
    <row r="23" spans="1:6">
      <c r="A23" s="1306" t="s">
        <v>13</v>
      </c>
      <c r="B23" s="1307">
        <v>535</v>
      </c>
      <c r="C23" s="332"/>
      <c r="D23" s="332"/>
      <c r="E23" s="332"/>
      <c r="F23" s="332"/>
    </row>
    <row r="24" spans="1:6">
      <c r="A24" s="1306" t="s">
        <v>14</v>
      </c>
      <c r="B24" s="1307">
        <v>28</v>
      </c>
      <c r="C24" s="332"/>
      <c r="D24" s="332"/>
      <c r="E24" s="332"/>
      <c r="F24" s="332"/>
    </row>
    <row r="25" spans="1:6">
      <c r="A25" s="1306" t="s">
        <v>15</v>
      </c>
      <c r="B25" s="1307">
        <v>2822</v>
      </c>
      <c r="C25" s="332"/>
      <c r="D25" s="332"/>
      <c r="E25" s="332"/>
      <c r="F25" s="332"/>
    </row>
    <row r="26" spans="1:6">
      <c r="A26" s="1306" t="s">
        <v>16</v>
      </c>
      <c r="B26" s="1307">
        <v>85</v>
      </c>
      <c r="C26" s="332"/>
      <c r="D26" s="332"/>
      <c r="E26" s="332"/>
      <c r="F26" s="332"/>
    </row>
    <row r="27" spans="1:6">
      <c r="A27" s="1306" t="s">
        <v>17</v>
      </c>
      <c r="B27" s="1307">
        <v>2082</v>
      </c>
      <c r="C27" s="332"/>
      <c r="D27" s="332"/>
      <c r="E27" s="332"/>
      <c r="F27" s="332"/>
    </row>
    <row r="28" spans="1:6" s="43" customFormat="1">
      <c r="A28" s="1308" t="s">
        <v>18</v>
      </c>
      <c r="B28" s="1309">
        <v>342932</v>
      </c>
      <c r="C28" s="338"/>
      <c r="D28" s="338"/>
      <c r="E28" s="338"/>
      <c r="F28" s="338"/>
    </row>
    <row r="29" spans="1:6">
      <c r="A29" s="1308" t="s">
        <v>916</v>
      </c>
      <c r="B29" s="1309">
        <v>551</v>
      </c>
      <c r="C29" s="338"/>
      <c r="D29" s="338"/>
      <c r="E29" s="338"/>
      <c r="F29" s="338"/>
    </row>
    <row r="30" spans="1:6">
      <c r="A30" s="1301" t="s">
        <v>917</v>
      </c>
      <c r="B30" s="1310">
        <v>116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8</v>
      </c>
      <c r="F35" s="1307">
        <v>55184.052315987698</v>
      </c>
    </row>
    <row r="36" spans="1:6">
      <c r="A36" s="1306" t="s">
        <v>24</v>
      </c>
      <c r="B36" s="1306" t="s">
        <v>26</v>
      </c>
      <c r="C36" s="1307">
        <v>0</v>
      </c>
      <c r="D36" s="1307">
        <v>0</v>
      </c>
      <c r="E36" s="1307">
        <v>8</v>
      </c>
      <c r="F36" s="1307">
        <v>44296.337435779496</v>
      </c>
    </row>
    <row r="37" spans="1:6">
      <c r="A37" s="1306" t="s">
        <v>24</v>
      </c>
      <c r="B37" s="1306" t="s">
        <v>27</v>
      </c>
      <c r="C37" s="1307">
        <v>0</v>
      </c>
      <c r="D37" s="1307">
        <v>0</v>
      </c>
      <c r="E37" s="1307">
        <v>0</v>
      </c>
      <c r="F37" s="1307">
        <v>0</v>
      </c>
    </row>
    <row r="38" spans="1:6">
      <c r="A38" s="1306" t="s">
        <v>24</v>
      </c>
      <c r="B38" s="1306" t="s">
        <v>28</v>
      </c>
      <c r="C38" s="1307">
        <v>4</v>
      </c>
      <c r="D38" s="1307">
        <v>84188.447268292701</v>
      </c>
      <c r="E38" s="1307">
        <v>3</v>
      </c>
      <c r="F38" s="1307">
        <v>89610.664648943799</v>
      </c>
    </row>
    <row r="39" spans="1:6">
      <c r="A39" s="1306" t="s">
        <v>29</v>
      </c>
      <c r="B39" s="1306" t="s">
        <v>30</v>
      </c>
      <c r="C39" s="1307">
        <v>7256</v>
      </c>
      <c r="D39" s="1307">
        <v>154694228.66557601</v>
      </c>
      <c r="E39" s="1307">
        <v>10759</v>
      </c>
      <c r="F39" s="1307">
        <v>57417732.757745899</v>
      </c>
    </row>
    <row r="40" spans="1:6">
      <c r="A40" s="1306" t="s">
        <v>29</v>
      </c>
      <c r="B40" s="1306" t="s">
        <v>28</v>
      </c>
      <c r="C40" s="1307">
        <v>0</v>
      </c>
      <c r="D40" s="1307">
        <v>0</v>
      </c>
      <c r="E40" s="1307">
        <v>0</v>
      </c>
      <c r="F40" s="1307">
        <v>0</v>
      </c>
    </row>
    <row r="41" spans="1:6">
      <c r="A41" s="1306" t="s">
        <v>31</v>
      </c>
      <c r="B41" s="1306" t="s">
        <v>32</v>
      </c>
      <c r="C41" s="1307">
        <v>106</v>
      </c>
      <c r="D41" s="1307">
        <v>3100675.8299174798</v>
      </c>
      <c r="E41" s="1307">
        <v>244</v>
      </c>
      <c r="F41" s="1307">
        <v>3129824.20241307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11</v>
      </c>
      <c r="D44" s="1307">
        <v>373117.52379805199</v>
      </c>
      <c r="E44" s="1307">
        <v>46</v>
      </c>
      <c r="F44" s="1307">
        <v>1620359.7113453001</v>
      </c>
    </row>
    <row r="45" spans="1:6">
      <c r="A45" s="1306" t="s">
        <v>31</v>
      </c>
      <c r="B45" s="1306" t="s">
        <v>36</v>
      </c>
      <c r="C45" s="1307">
        <v>0</v>
      </c>
      <c r="D45" s="1307">
        <v>0</v>
      </c>
      <c r="E45" s="1307">
        <v>10</v>
      </c>
      <c r="F45" s="1307">
        <v>1993158.38647198</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40720.189840323197</v>
      </c>
    </row>
    <row r="48" spans="1:6">
      <c r="A48" s="1306" t="s">
        <v>31</v>
      </c>
      <c r="B48" s="1306" t="s">
        <v>28</v>
      </c>
      <c r="C48" s="1307">
        <v>35</v>
      </c>
      <c r="D48" s="1307">
        <v>19726949.6257989</v>
      </c>
      <c r="E48" s="1307">
        <v>40</v>
      </c>
      <c r="F48" s="1307">
        <v>2287174.53880062</v>
      </c>
    </row>
    <row r="49" spans="1:6">
      <c r="A49" s="1306" t="s">
        <v>31</v>
      </c>
      <c r="B49" s="1306" t="s">
        <v>39</v>
      </c>
      <c r="C49" s="1307">
        <v>0</v>
      </c>
      <c r="D49" s="1307">
        <v>0</v>
      </c>
      <c r="E49" s="1307">
        <v>0</v>
      </c>
      <c r="F49" s="1307">
        <v>0</v>
      </c>
    </row>
    <row r="50" spans="1:6">
      <c r="A50" s="1306" t="s">
        <v>31</v>
      </c>
      <c r="B50" s="1306" t="s">
        <v>40</v>
      </c>
      <c r="C50" s="1307">
        <v>12</v>
      </c>
      <c r="D50" s="1307">
        <v>971284.76429250103</v>
      </c>
      <c r="E50" s="1307">
        <v>13</v>
      </c>
      <c r="F50" s="1307">
        <v>422943.99775033502</v>
      </c>
    </row>
    <row r="51" spans="1:6">
      <c r="A51" s="1306" t="s">
        <v>41</v>
      </c>
      <c r="B51" s="1306" t="s">
        <v>42</v>
      </c>
      <c r="C51" s="1307">
        <v>10</v>
      </c>
      <c r="D51" s="1307">
        <v>247130.42796056901</v>
      </c>
      <c r="E51" s="1307">
        <v>204</v>
      </c>
      <c r="F51" s="1307">
        <v>4562730.4160021404</v>
      </c>
    </row>
    <row r="52" spans="1:6">
      <c r="A52" s="1306" t="s">
        <v>41</v>
      </c>
      <c r="B52" s="1306" t="s">
        <v>28</v>
      </c>
      <c r="C52" s="1307">
        <v>10</v>
      </c>
      <c r="D52" s="1307">
        <v>12290171.4494812</v>
      </c>
      <c r="E52" s="1307">
        <v>8</v>
      </c>
      <c r="F52" s="1307">
        <v>114073.923717549</v>
      </c>
    </row>
    <row r="53" spans="1:6">
      <c r="A53" s="1306" t="s">
        <v>43</v>
      </c>
      <c r="B53" s="1306" t="s">
        <v>44</v>
      </c>
      <c r="C53" s="1307">
        <v>133</v>
      </c>
      <c r="D53" s="1307">
        <v>3608530.3095960901</v>
      </c>
      <c r="E53" s="1307">
        <v>293</v>
      </c>
      <c r="F53" s="1307">
        <v>1363295.1506089901</v>
      </c>
    </row>
    <row r="54" spans="1:6">
      <c r="A54" s="1306" t="s">
        <v>45</v>
      </c>
      <c r="B54" s="1306" t="s">
        <v>46</v>
      </c>
      <c r="C54" s="1307">
        <v>0</v>
      </c>
      <c r="D54" s="1307">
        <v>0</v>
      </c>
      <c r="E54" s="1307">
        <v>1</v>
      </c>
      <c r="F54" s="1307">
        <v>1740500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85</v>
      </c>
      <c r="D57" s="1307">
        <v>5731938.3202283997</v>
      </c>
      <c r="E57" s="1307">
        <v>226</v>
      </c>
      <c r="F57" s="1307">
        <v>3296052.3736132402</v>
      </c>
    </row>
    <row r="58" spans="1:6">
      <c r="A58" s="1306" t="s">
        <v>48</v>
      </c>
      <c r="B58" s="1306" t="s">
        <v>50</v>
      </c>
      <c r="C58" s="1307">
        <v>28</v>
      </c>
      <c r="D58" s="1307">
        <v>1914277.23879507</v>
      </c>
      <c r="E58" s="1307">
        <v>76</v>
      </c>
      <c r="F58" s="1307">
        <v>705907.41185340495</v>
      </c>
    </row>
    <row r="59" spans="1:6">
      <c r="A59" s="1306" t="s">
        <v>48</v>
      </c>
      <c r="B59" s="1306" t="s">
        <v>51</v>
      </c>
      <c r="C59" s="1307">
        <v>147</v>
      </c>
      <c r="D59" s="1307">
        <v>6154713.1593184303</v>
      </c>
      <c r="E59" s="1307">
        <v>279</v>
      </c>
      <c r="F59" s="1307">
        <v>8312929.3813843103</v>
      </c>
    </row>
    <row r="60" spans="1:6">
      <c r="A60" s="1306" t="s">
        <v>48</v>
      </c>
      <c r="B60" s="1306" t="s">
        <v>52</v>
      </c>
      <c r="C60" s="1307">
        <v>73</v>
      </c>
      <c r="D60" s="1307">
        <v>10900698.2824356</v>
      </c>
      <c r="E60" s="1307">
        <v>111</v>
      </c>
      <c r="F60" s="1307">
        <v>4227913.6521641202</v>
      </c>
    </row>
    <row r="61" spans="1:6">
      <c r="A61" s="1306" t="s">
        <v>48</v>
      </c>
      <c r="B61" s="1306" t="s">
        <v>53</v>
      </c>
      <c r="C61" s="1307">
        <v>159</v>
      </c>
      <c r="D61" s="1307">
        <v>7373303.5263047302</v>
      </c>
      <c r="E61" s="1307">
        <v>377</v>
      </c>
      <c r="F61" s="1307">
        <v>7341016.72456632</v>
      </c>
    </row>
    <row r="62" spans="1:6">
      <c r="A62" s="1306" t="s">
        <v>48</v>
      </c>
      <c r="B62" s="1306" t="s">
        <v>54</v>
      </c>
      <c r="C62" s="1307">
        <v>6</v>
      </c>
      <c r="D62" s="1307">
        <v>1254980.27973256</v>
      </c>
      <c r="E62" s="1307">
        <v>10</v>
      </c>
      <c r="F62" s="1307">
        <v>174152.70681906</v>
      </c>
    </row>
    <row r="63" spans="1:6">
      <c r="A63" s="1306" t="s">
        <v>48</v>
      </c>
      <c r="B63" s="1306" t="s">
        <v>28</v>
      </c>
      <c r="C63" s="1307">
        <v>94</v>
      </c>
      <c r="D63" s="1307">
        <v>4632922.2140451502</v>
      </c>
      <c r="E63" s="1307">
        <v>100</v>
      </c>
      <c r="F63" s="1307">
        <v>2228216.2738981401</v>
      </c>
    </row>
    <row r="64" spans="1:6">
      <c r="A64" s="1306" t="s">
        <v>55</v>
      </c>
      <c r="B64" s="1306" t="s">
        <v>56</v>
      </c>
      <c r="C64" s="1307">
        <v>0</v>
      </c>
      <c r="D64" s="1307">
        <v>0</v>
      </c>
      <c r="E64" s="1307">
        <v>0</v>
      </c>
      <c r="F64" s="1307">
        <v>0</v>
      </c>
    </row>
    <row r="65" spans="1:6">
      <c r="A65" s="1306" t="s">
        <v>55</v>
      </c>
      <c r="B65" s="1306" t="s">
        <v>28</v>
      </c>
      <c r="C65" s="1307">
        <v>1</v>
      </c>
      <c r="D65" s="1307">
        <v>122078.865140201</v>
      </c>
      <c r="E65" s="1307">
        <v>3</v>
      </c>
      <c r="F65" s="1307">
        <v>86383.335244915201</v>
      </c>
    </row>
    <row r="66" spans="1:6">
      <c r="A66" s="1306" t="s">
        <v>55</v>
      </c>
      <c r="B66" s="1306" t="s">
        <v>57</v>
      </c>
      <c r="C66" s="1307">
        <v>4</v>
      </c>
      <c r="D66" s="1307">
        <v>125820.53546018399</v>
      </c>
      <c r="E66" s="1307">
        <v>4</v>
      </c>
      <c r="F66" s="1307">
        <v>23054.017962610898</v>
      </c>
    </row>
    <row r="67" spans="1:6">
      <c r="A67" s="1308" t="s">
        <v>55</v>
      </c>
      <c r="B67" s="1308" t="s">
        <v>58</v>
      </c>
      <c r="C67" s="1307">
        <v>0</v>
      </c>
      <c r="D67" s="1307">
        <v>0</v>
      </c>
      <c r="E67" s="1307">
        <v>0</v>
      </c>
      <c r="F67" s="1307">
        <v>0</v>
      </c>
    </row>
    <row r="68" spans="1:6">
      <c r="A68" s="1301" t="s">
        <v>55</v>
      </c>
      <c r="B68" s="1301" t="s">
        <v>59</v>
      </c>
      <c r="C68" s="1310">
        <v>7</v>
      </c>
      <c r="D68" s="1310">
        <v>172985.65948668201</v>
      </c>
      <c r="E68" s="1310">
        <v>35</v>
      </c>
      <c r="F68" s="1310">
        <v>319202.65381229401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116886453</v>
      </c>
      <c r="E73" s="456"/>
      <c r="F73" s="332"/>
    </row>
    <row r="74" spans="1:6">
      <c r="A74" s="1306" t="s">
        <v>63</v>
      </c>
      <c r="B74" s="1306" t="s">
        <v>724</v>
      </c>
      <c r="C74" s="1320" t="s">
        <v>725</v>
      </c>
      <c r="D74" s="1321">
        <v>9334186.8340931591</v>
      </c>
      <c r="E74" s="456"/>
      <c r="F74" s="332"/>
    </row>
    <row r="75" spans="1:6">
      <c r="A75" s="1306" t="s">
        <v>64</v>
      </c>
      <c r="B75" s="1306" t="s">
        <v>722</v>
      </c>
      <c r="C75" s="1320" t="s">
        <v>726</v>
      </c>
      <c r="D75" s="1321">
        <v>16509375</v>
      </c>
      <c r="E75" s="456"/>
      <c r="F75" s="332"/>
    </row>
    <row r="76" spans="1:6">
      <c r="A76" s="1306" t="s">
        <v>64</v>
      </c>
      <c r="B76" s="1306" t="s">
        <v>724</v>
      </c>
      <c r="C76" s="1320" t="s">
        <v>727</v>
      </c>
      <c r="D76" s="1321">
        <v>272258.83409315976</v>
      </c>
      <c r="E76" s="456"/>
      <c r="F76" s="332"/>
    </row>
    <row r="77" spans="1:6">
      <c r="A77" s="1306" t="s">
        <v>65</v>
      </c>
      <c r="B77" s="1306" t="s">
        <v>722</v>
      </c>
      <c r="C77" s="1320" t="s">
        <v>728</v>
      </c>
      <c r="D77" s="1321">
        <v>172304039</v>
      </c>
      <c r="E77" s="456"/>
      <c r="F77" s="332"/>
    </row>
    <row r="78" spans="1:6">
      <c r="A78" s="1301" t="s">
        <v>65</v>
      </c>
      <c r="B78" s="1301" t="s">
        <v>724</v>
      </c>
      <c r="C78" s="1301" t="s">
        <v>729</v>
      </c>
      <c r="D78" s="1322">
        <v>50528940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958666.33181368047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11040.927320000001</v>
      </c>
      <c r="C90" s="332"/>
      <c r="D90" s="332"/>
      <c r="E90" s="332"/>
      <c r="F90" s="332"/>
    </row>
    <row r="91" spans="1:6">
      <c r="A91" s="1306" t="s">
        <v>67</v>
      </c>
      <c r="B91" s="1307">
        <v>5613.2560254631117</v>
      </c>
      <c r="C91" s="332"/>
      <c r="D91" s="332"/>
      <c r="E91" s="332"/>
      <c r="F91" s="332"/>
    </row>
    <row r="92" spans="1:6">
      <c r="A92" s="1301" t="s">
        <v>68</v>
      </c>
      <c r="B92" s="1302">
        <v>4608.0413262312895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4748</v>
      </c>
      <c r="C97" s="332"/>
      <c r="D97" s="332"/>
      <c r="E97" s="332"/>
      <c r="F97" s="332"/>
    </row>
    <row r="98" spans="1:6">
      <c r="A98" s="1306" t="s">
        <v>71</v>
      </c>
      <c r="B98" s="1307">
        <v>10</v>
      </c>
      <c r="C98" s="332"/>
      <c r="D98" s="332"/>
      <c r="E98" s="332"/>
      <c r="F98" s="332"/>
    </row>
    <row r="99" spans="1:6">
      <c r="A99" s="1306" t="s">
        <v>72</v>
      </c>
      <c r="B99" s="1307">
        <v>189</v>
      </c>
      <c r="C99" s="332"/>
      <c r="D99" s="332"/>
      <c r="E99" s="332"/>
      <c r="F99" s="332"/>
    </row>
    <row r="100" spans="1:6">
      <c r="A100" s="1306" t="s">
        <v>73</v>
      </c>
      <c r="B100" s="1307">
        <v>1489</v>
      </c>
      <c r="C100" s="332"/>
      <c r="D100" s="332"/>
      <c r="E100" s="332"/>
      <c r="F100" s="332"/>
    </row>
    <row r="101" spans="1:6">
      <c r="A101" s="1306" t="s">
        <v>74</v>
      </c>
      <c r="B101" s="1307">
        <v>259</v>
      </c>
      <c r="C101" s="332"/>
      <c r="D101" s="332"/>
      <c r="E101" s="332"/>
      <c r="F101" s="332"/>
    </row>
    <row r="102" spans="1:6">
      <c r="A102" s="1306" t="s">
        <v>75</v>
      </c>
      <c r="B102" s="1307">
        <v>107</v>
      </c>
      <c r="C102" s="332"/>
      <c r="D102" s="332"/>
      <c r="E102" s="332"/>
      <c r="F102" s="332"/>
    </row>
    <row r="103" spans="1:6">
      <c r="A103" s="1306" t="s">
        <v>76</v>
      </c>
      <c r="B103" s="1307">
        <v>243</v>
      </c>
      <c r="C103" s="332"/>
      <c r="D103" s="332"/>
      <c r="E103" s="332"/>
      <c r="F103" s="332"/>
    </row>
    <row r="104" spans="1:6">
      <c r="A104" s="1306" t="s">
        <v>77</v>
      </c>
      <c r="B104" s="1307">
        <v>2196</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50</v>
      </c>
      <c r="C123" s="1307">
        <v>20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157</v>
      </c>
      <c r="C129" s="332"/>
      <c r="D129" s="332"/>
      <c r="E129" s="332"/>
      <c r="F129" s="332"/>
    </row>
    <row r="130" spans="1:6">
      <c r="A130" s="1306" t="s">
        <v>294</v>
      </c>
      <c r="B130" s="1307">
        <v>6</v>
      </c>
      <c r="C130" s="332"/>
      <c r="D130" s="332"/>
      <c r="E130" s="332"/>
      <c r="F130" s="332"/>
    </row>
    <row r="131" spans="1:6">
      <c r="A131" s="1306" t="s">
        <v>295</v>
      </c>
      <c r="B131" s="1307">
        <v>3</v>
      </c>
      <c r="C131" s="332"/>
      <c r="D131" s="332"/>
      <c r="E131" s="332"/>
      <c r="F131" s="332"/>
    </row>
    <row r="132" spans="1:6">
      <c r="A132" s="1301" t="s">
        <v>296</v>
      </c>
      <c r="B132" s="1302">
        <v>29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123529.65484101216</v>
      </c>
      <c r="C3" s="43" t="s">
        <v>169</v>
      </c>
      <c r="D3" s="43"/>
      <c r="E3" s="156"/>
      <c r="F3" s="43"/>
      <c r="G3" s="43"/>
      <c r="H3" s="43"/>
      <c r="I3" s="43"/>
      <c r="J3" s="43"/>
      <c r="K3" s="96"/>
    </row>
    <row r="4" spans="1:11">
      <c r="A4" s="363" t="s">
        <v>170</v>
      </c>
      <c r="B4" s="49">
        <f>IF(ISERROR('SEAP template'!B78+'SEAP template'!C78),0,'SEAP template'!B78+'SEAP template'!C78)</f>
        <v>43534.524671694395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1251.0907836086303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0.15324267339200112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1791.0292163913703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7662.2142857142862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0.23374825469585611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1740.5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0.15324267339200112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266.71887303877793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57417.7327577459</v>
      </c>
      <c r="C5" s="17">
        <f>IF(ISERROR('Eigen informatie GS &amp; warmtenet'!B57),0,'Eigen informatie GS &amp; warmtenet'!B57)</f>
        <v>0</v>
      </c>
      <c r="D5" s="30">
        <f>(SUM(HH_hh_gas_kWh,HH_rest_gas_kWh)/1000)*0.902</f>
        <v>139534.19425634958</v>
      </c>
      <c r="E5" s="17">
        <f>B46*B57</f>
        <v>8276.4695273201196</v>
      </c>
      <c r="F5" s="17">
        <f>B51*B62</f>
        <v>0</v>
      </c>
      <c r="G5" s="18"/>
      <c r="H5" s="17"/>
      <c r="I5" s="17"/>
      <c r="J5" s="17">
        <f>B50*B61+C50*C61</f>
        <v>0</v>
      </c>
      <c r="K5" s="17"/>
      <c r="L5" s="17"/>
      <c r="M5" s="17"/>
      <c r="N5" s="17">
        <f>B48*B59+C48*C59</f>
        <v>38822.801996337264</v>
      </c>
      <c r="O5" s="17">
        <f>B69*B70*B71</f>
        <v>276.70999999999998</v>
      </c>
      <c r="P5" s="17">
        <f>B77*B78*B79/1000-B77*B78*B79/1000/B80</f>
        <v>1506.2666666666667</v>
      </c>
    </row>
    <row r="6" spans="1:16">
      <c r="A6" s="16" t="s">
        <v>633</v>
      </c>
      <c r="B6" s="779">
        <f>kWh_PV_kleiner_dan_10kW</f>
        <v>5613.2560254631117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63030.98878320901</v>
      </c>
      <c r="C8" s="21">
        <f>C5</f>
        <v>0</v>
      </c>
      <c r="D8" s="21">
        <f>D5</f>
        <v>139534.19425634958</v>
      </c>
      <c r="E8" s="21">
        <f>E5</f>
        <v>8276.4695273201196</v>
      </c>
      <c r="F8" s="21">
        <f>F5</f>
        <v>0</v>
      </c>
      <c r="G8" s="21"/>
      <c r="H8" s="21"/>
      <c r="I8" s="21"/>
      <c r="J8" s="21">
        <f>J5</f>
        <v>0</v>
      </c>
      <c r="K8" s="21"/>
      <c r="L8" s="21">
        <f>L5</f>
        <v>0</v>
      </c>
      <c r="M8" s="21">
        <f>M5</f>
        <v>0</v>
      </c>
      <c r="N8" s="21">
        <f>N5</f>
        <v>38822.801996337264</v>
      </c>
      <c r="O8" s="21">
        <f>O5</f>
        <v>276.70999999999998</v>
      </c>
      <c r="P8" s="21">
        <f>P5</f>
        <v>1506.2666666666667</v>
      </c>
    </row>
    <row r="9" spans="1:16">
      <c r="B9" s="19"/>
      <c r="C9" s="19"/>
      <c r="D9" s="261"/>
      <c r="E9" s="19"/>
      <c r="F9" s="19"/>
      <c r="G9" s="19"/>
      <c r="H9" s="19"/>
      <c r="I9" s="19"/>
      <c r="J9" s="19"/>
      <c r="K9" s="19"/>
      <c r="L9" s="19"/>
      <c r="M9" s="19"/>
      <c r="N9" s="19"/>
      <c r="O9" s="19"/>
      <c r="P9" s="19"/>
    </row>
    <row r="10" spans="1:16">
      <c r="A10" s="24" t="s">
        <v>213</v>
      </c>
      <c r="B10" s="25">
        <f ca="1">'EF ele_warmte'!B12</f>
        <v>0.15324267339200112</v>
      </c>
      <c r="C10" s="25">
        <f ca="1">'EF ele_warmte'!B22</f>
        <v>0.23374825469585611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9659.0372276801845</v>
      </c>
      <c r="C12" s="23">
        <f ca="1">C10*C8</f>
        <v>0</v>
      </c>
      <c r="D12" s="23">
        <f>D8*D10</f>
        <v>28185.907239782617</v>
      </c>
      <c r="E12" s="23">
        <f>E10*E8</f>
        <v>1878.7585827016671</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4748</v>
      </c>
      <c r="C18" s="168" t="s">
        <v>110</v>
      </c>
      <c r="D18" s="230"/>
      <c r="E18" s="15"/>
    </row>
    <row r="19" spans="1:7">
      <c r="A19" s="173" t="s">
        <v>71</v>
      </c>
      <c r="B19" s="37">
        <f>aantalw2001_ander</f>
        <v>10</v>
      </c>
      <c r="C19" s="168" t="s">
        <v>110</v>
      </c>
      <c r="D19" s="231"/>
      <c r="E19" s="15"/>
    </row>
    <row r="20" spans="1:7">
      <c r="A20" s="173" t="s">
        <v>72</v>
      </c>
      <c r="B20" s="37">
        <f>aantalw2001_propaan</f>
        <v>189</v>
      </c>
      <c r="C20" s="169">
        <f>IF(ISERROR(B20/SUM($B$20,$B$21,$B$22)*100),0,B20/SUM($B$20,$B$21,$B$22)*100)</f>
        <v>9.7573567372225085</v>
      </c>
      <c r="D20" s="231"/>
      <c r="E20" s="15"/>
    </row>
    <row r="21" spans="1:7">
      <c r="A21" s="173" t="s">
        <v>73</v>
      </c>
      <c r="B21" s="37">
        <f>aantalw2001_elektriciteit</f>
        <v>1489</v>
      </c>
      <c r="C21" s="169">
        <f>IF(ISERROR(B21/SUM($B$20,$B$21,$B$22)*100),0,B21/SUM($B$20,$B$21,$B$22)*100)</f>
        <v>76.871450696954057</v>
      </c>
      <c r="D21" s="231"/>
      <c r="E21" s="15"/>
    </row>
    <row r="22" spans="1:7">
      <c r="A22" s="173" t="s">
        <v>74</v>
      </c>
      <c r="B22" s="37">
        <f>aantalw2001_hout</f>
        <v>259</v>
      </c>
      <c r="C22" s="169">
        <f>IF(ISERROR(B22/SUM($B$20,$B$21,$B$22)*100),0,B22/SUM($B$20,$B$21,$B$22)*100)</f>
        <v>13.371192565823439</v>
      </c>
      <c r="D22" s="231"/>
      <c r="E22" s="15"/>
    </row>
    <row r="23" spans="1:7">
      <c r="A23" s="173" t="s">
        <v>75</v>
      </c>
      <c r="B23" s="37">
        <f>aantalw2001_niet_gespec</f>
        <v>107</v>
      </c>
      <c r="C23" s="168" t="s">
        <v>110</v>
      </c>
      <c r="D23" s="230"/>
      <c r="E23" s="15"/>
    </row>
    <row r="24" spans="1:7">
      <c r="A24" s="173" t="s">
        <v>76</v>
      </c>
      <c r="B24" s="37">
        <f>aantalw2001_steenkool</f>
        <v>243</v>
      </c>
      <c r="C24" s="168" t="s">
        <v>110</v>
      </c>
      <c r="D24" s="231"/>
      <c r="E24" s="15"/>
    </row>
    <row r="25" spans="1:7">
      <c r="A25" s="173" t="s">
        <v>77</v>
      </c>
      <c r="B25" s="37">
        <f>aantalw2001_stookolie</f>
        <v>2196</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11034</v>
      </c>
      <c r="C28" s="36"/>
      <c r="D28" s="230"/>
    </row>
    <row r="29" spans="1:7" s="15" customFormat="1">
      <c r="A29" s="232" t="s">
        <v>743</v>
      </c>
      <c r="B29" s="37">
        <f>SUM(HH_hh_gas_aantal,HH_rest_gas_aantal)</f>
        <v>7256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7256</v>
      </c>
      <c r="C32" s="169">
        <f>IF(ISERROR(B32/SUM($B$32,$B$34,$B$35,$B$36,$B$38,$B$39)*100),0,B32/SUM($B$32,$B$34,$B$35,$B$36,$B$38,$B$39)*100)</f>
        <v>66.23459607485168</v>
      </c>
      <c r="D32" s="235"/>
      <c r="G32" s="15"/>
    </row>
    <row r="33" spans="1:7">
      <c r="A33" s="173" t="s">
        <v>71</v>
      </c>
      <c r="B33" s="34" t="s">
        <v>110</v>
      </c>
      <c r="C33" s="169"/>
      <c r="D33" s="235"/>
      <c r="G33" s="15"/>
    </row>
    <row r="34" spans="1:7">
      <c r="A34" s="173" t="s">
        <v>72</v>
      </c>
      <c r="B34" s="33">
        <f>IF((($B$28-$B$32-$B$39-$B$77-$B$38)*C20/100)&lt;0,0,($B$28-$B$32-$B$39-$B$77-$B$38)*C20/100)</f>
        <v>360.92462570986055</v>
      </c>
      <c r="C34" s="169">
        <f>IF(ISERROR(B34/SUM($B$32,$B$34,$B$35,$B$36,$B$38,$B$39)*100),0,B34/SUM($B$32,$B$34,$B$35,$B$36,$B$38,$B$39)*100)</f>
        <v>3.2946109147408547</v>
      </c>
      <c r="D34" s="235"/>
      <c r="G34" s="15"/>
    </row>
    <row r="35" spans="1:7">
      <c r="A35" s="173" t="s">
        <v>73</v>
      </c>
      <c r="B35" s="33">
        <f>IF((($B$28-$B$32-$B$39-$B$77-$B$38)*C21/100)&lt;0,0,($B$28-$B$32-$B$39-$B$77-$B$38)*C21/100)</f>
        <v>2843.4749612803303</v>
      </c>
      <c r="C35" s="169">
        <f>IF(ISERROR(B35/SUM($B$32,$B$34,$B$35,$B$36,$B$38,$B$39)*100),0,B35/SUM($B$32,$B$34,$B$35,$B$36,$B$38,$B$39)*100)</f>
        <v>25.95595583094779</v>
      </c>
      <c r="D35" s="235"/>
      <c r="G35" s="15"/>
    </row>
    <row r="36" spans="1:7">
      <c r="A36" s="173" t="s">
        <v>74</v>
      </c>
      <c r="B36" s="33">
        <f>IF((($B$28-$B$32-$B$39-$B$77-$B$38)*C22/100)&lt;0,0,($B$28-$B$32-$B$39-$B$77-$B$38)*C22/100)</f>
        <v>494.60041300980896</v>
      </c>
      <c r="C36" s="169">
        <f>IF(ISERROR(B36/SUM($B$32,$B$34,$B$35,$B$36,$B$38,$B$39)*100),0,B36/SUM($B$32,$B$34,$B$35,$B$36,$B$38,$B$39)*100)</f>
        <v>4.5148371794596898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7256</v>
      </c>
      <c r="C44" s="34" t="s">
        <v>110</v>
      </c>
      <c r="D44" s="176"/>
    </row>
    <row r="45" spans="1:7">
      <c r="A45" s="173" t="s">
        <v>71</v>
      </c>
      <c r="B45" s="33" t="str">
        <f t="shared" si="0"/>
        <v>-</v>
      </c>
      <c r="C45" s="34" t="s">
        <v>110</v>
      </c>
      <c r="D45" s="176"/>
    </row>
    <row r="46" spans="1:7">
      <c r="A46" s="173" t="s">
        <v>72</v>
      </c>
      <c r="B46" s="33">
        <f t="shared" si="0"/>
        <v>360.92462570986055</v>
      </c>
      <c r="C46" s="34" t="s">
        <v>110</v>
      </c>
      <c r="D46" s="176"/>
    </row>
    <row r="47" spans="1:7">
      <c r="A47" s="173" t="s">
        <v>73</v>
      </c>
      <c r="B47" s="33">
        <f t="shared" si="0"/>
        <v>2843.4749612803303</v>
      </c>
      <c r="C47" s="34" t="s">
        <v>110</v>
      </c>
      <c r="D47" s="176"/>
    </row>
    <row r="48" spans="1:7">
      <c r="A48" s="173" t="s">
        <v>74</v>
      </c>
      <c r="B48" s="33">
        <f t="shared" si="0"/>
        <v>494.60041300980896</v>
      </c>
      <c r="C48" s="33">
        <f>B48*10</f>
        <v>4946.0041300980893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26286.188524298595</v>
      </c>
      <c r="C5" s="17">
        <f>IF(ISERROR('Eigen informatie GS &amp; warmtenet'!B58),0,'Eigen informatie GS &amp; warmtenet'!B58)</f>
        <v>0</v>
      </c>
      <c r="D5" s="30">
        <f>SUM(D6:D12)</f>
        <v>34242.475384815669</v>
      </c>
      <c r="E5" s="17">
        <f>SUM(E6:E12)</f>
        <v>429.59926666497074</v>
      </c>
      <c r="F5" s="17">
        <f>SUM(F6:F12)</f>
        <v>5384.9125622239808</v>
      </c>
      <c r="G5" s="18"/>
      <c r="H5" s="17"/>
      <c r="I5" s="17"/>
      <c r="J5" s="17">
        <f>SUM(J6:J12)</f>
        <v>0</v>
      </c>
      <c r="K5" s="17"/>
      <c r="L5" s="17"/>
      <c r="M5" s="17"/>
      <c r="N5" s="17">
        <f>SUM(N6:N12)</f>
        <v>2508.5328291990631</v>
      </c>
      <c r="O5" s="17">
        <f>B38*B39*B40</f>
        <v>9.3800000000000008</v>
      </c>
      <c r="P5" s="17">
        <f>B46*B47*B48/1000-B46*B47*B48/1000/B49</f>
        <v>57.2</v>
      </c>
      <c r="R5" s="32"/>
    </row>
    <row r="6" spans="1:18">
      <c r="A6" s="32" t="s">
        <v>53</v>
      </c>
      <c r="B6" s="37">
        <f>B26</f>
        <v>7341.0167245663197</v>
      </c>
      <c r="C6" s="33"/>
      <c r="D6" s="37">
        <f>IF(ISERROR(TER_kantoor_gas_kWh/1000),0,TER_kantoor_gas_kWh/1000)*0.902</f>
        <v>6650.7197807268667</v>
      </c>
      <c r="E6" s="33">
        <f>$C$26*'E Balans VL '!I12/100/3.6*1000000</f>
        <v>28.521404158735013</v>
      </c>
      <c r="F6" s="33">
        <f>$C$26*('E Balans VL '!L12+'E Balans VL '!N12)/100/3.6*1000000</f>
        <v>1116.5018458799364</v>
      </c>
      <c r="G6" s="34"/>
      <c r="H6" s="33"/>
      <c r="I6" s="33"/>
      <c r="J6" s="33">
        <f>$C$26*('E Balans VL '!D12+'E Balans VL '!E12)/100/3.6*1000000</f>
        <v>0</v>
      </c>
      <c r="K6" s="33"/>
      <c r="L6" s="33"/>
      <c r="M6" s="33"/>
      <c r="N6" s="33">
        <f>$C$26*'E Balans VL '!Y12/100/3.6*1000000</f>
        <v>4.0457796473819192</v>
      </c>
      <c r="O6" s="33"/>
      <c r="P6" s="33"/>
      <c r="R6" s="32"/>
    </row>
    <row r="7" spans="1:18">
      <c r="A7" s="32" t="s">
        <v>52</v>
      </c>
      <c r="B7" s="37">
        <f t="shared" ref="B7:B12" si="0">B27</f>
        <v>4227.9136521641203</v>
      </c>
      <c r="C7" s="33"/>
      <c r="D7" s="37">
        <f>IF(ISERROR(TER_horeca_gas_kWh/1000),0,TER_horeca_gas_kWh/1000)*0.902</f>
        <v>9832.429850756911</v>
      </c>
      <c r="E7" s="33">
        <f>$C$27*'E Balans VL '!I9/100/3.6*1000000</f>
        <v>238.15950638323514</v>
      </c>
      <c r="F7" s="33">
        <f>$C$27*('E Balans VL '!L9+'E Balans VL '!N9)/100/3.6*1000000</f>
        <v>1219.0771772609685</v>
      </c>
      <c r="G7" s="34"/>
      <c r="H7" s="33"/>
      <c r="I7" s="33"/>
      <c r="J7" s="33">
        <f>$C$27*('E Balans VL '!D9+'E Balans VL '!E9)/100/3.6*1000000</f>
        <v>0</v>
      </c>
      <c r="K7" s="33"/>
      <c r="L7" s="33"/>
      <c r="M7" s="33"/>
      <c r="N7" s="33">
        <f>$C$27*'E Balans VL '!Y9/100/3.6*1000000</f>
        <v>1.1673049890560583</v>
      </c>
      <c r="O7" s="33"/>
      <c r="P7" s="33"/>
      <c r="R7" s="32"/>
    </row>
    <row r="8" spans="1:18">
      <c r="A8" s="6" t="s">
        <v>51</v>
      </c>
      <c r="B8" s="37">
        <f t="shared" si="0"/>
        <v>8312.9293813843105</v>
      </c>
      <c r="C8" s="33"/>
      <c r="D8" s="37">
        <f>IF(ISERROR(TER_handel_gas_kWh/1000),0,TER_handel_gas_kWh/1000)*0.902</f>
        <v>5551.5512697052245</v>
      </c>
      <c r="E8" s="33">
        <f>$C$28*'E Balans VL '!I13/100/3.6*1000000</f>
        <v>119.81751534963004</v>
      </c>
      <c r="F8" s="33">
        <f>$C$28*('E Balans VL '!L13+'E Balans VL '!N13)/100/3.6*1000000</f>
        <v>1444.1494286081745</v>
      </c>
      <c r="G8" s="34"/>
      <c r="H8" s="33"/>
      <c r="I8" s="33"/>
      <c r="J8" s="33">
        <f>$C$28*('E Balans VL '!D13+'E Balans VL '!E13)/100/3.6*1000000</f>
        <v>0</v>
      </c>
      <c r="K8" s="33"/>
      <c r="L8" s="33"/>
      <c r="M8" s="33"/>
      <c r="N8" s="33">
        <f>$C$28*'E Balans VL '!Y13/100/3.6*1000000</f>
        <v>24.906461840989806</v>
      </c>
      <c r="O8" s="33"/>
      <c r="P8" s="33"/>
      <c r="R8" s="32"/>
    </row>
    <row r="9" spans="1:18">
      <c r="A9" s="32" t="s">
        <v>50</v>
      </c>
      <c r="B9" s="37">
        <f t="shared" si="0"/>
        <v>705.90741185340494</v>
      </c>
      <c r="C9" s="33"/>
      <c r="D9" s="37">
        <f>IF(ISERROR(TER_gezond_gas_kWh/1000),0,TER_gezond_gas_kWh/1000)*0.902</f>
        <v>1726.6780693931532</v>
      </c>
      <c r="E9" s="33">
        <f>$C$29*'E Balans VL '!I10/100/3.6*1000000</f>
        <v>0.75409208034143116</v>
      </c>
      <c r="F9" s="33">
        <f>$C$29*('E Balans VL '!L10+'E Balans VL '!N10)/100/3.6*1000000</f>
        <v>115.15495220457797</v>
      </c>
      <c r="G9" s="34"/>
      <c r="H9" s="33"/>
      <c r="I9" s="33"/>
      <c r="J9" s="33">
        <f>$C$29*('E Balans VL '!D10+'E Balans VL '!E10)/100/3.6*1000000</f>
        <v>0</v>
      </c>
      <c r="K9" s="33"/>
      <c r="L9" s="33"/>
      <c r="M9" s="33"/>
      <c r="N9" s="33">
        <f>$C$29*'E Balans VL '!Y10/100/3.6*1000000</f>
        <v>7.2669140222972395</v>
      </c>
      <c r="O9" s="33"/>
      <c r="P9" s="33"/>
      <c r="R9" s="32"/>
    </row>
    <row r="10" spans="1:18">
      <c r="A10" s="32" t="s">
        <v>49</v>
      </c>
      <c r="B10" s="37">
        <f t="shared" si="0"/>
        <v>3296.05237361324</v>
      </c>
      <c r="C10" s="33"/>
      <c r="D10" s="37">
        <f>IF(ISERROR(TER_ander_gas_kWh/1000),0,TER_ander_gas_kWh/1000)*0.902</f>
        <v>5170.2083648460166</v>
      </c>
      <c r="E10" s="33">
        <f>$C$30*'E Balans VL '!I14/100/3.6*1000000</f>
        <v>15.158043499462986</v>
      </c>
      <c r="F10" s="33">
        <f>$C$30*('E Balans VL '!L14+'E Balans VL '!N14)/100/3.6*1000000</f>
        <v>987.93086320811403</v>
      </c>
      <c r="G10" s="34"/>
      <c r="H10" s="33"/>
      <c r="I10" s="33"/>
      <c r="J10" s="33">
        <f>$C$30*('E Balans VL '!D14+'E Balans VL '!E14)/100/3.6*1000000</f>
        <v>0</v>
      </c>
      <c r="K10" s="33"/>
      <c r="L10" s="33"/>
      <c r="M10" s="33"/>
      <c r="N10" s="33">
        <f>$C$30*'E Balans VL '!Y14/100/3.6*1000000</f>
        <v>2294.2700269856255</v>
      </c>
      <c r="O10" s="33"/>
      <c r="P10" s="33"/>
      <c r="R10" s="32"/>
    </row>
    <row r="11" spans="1:18">
      <c r="A11" s="32" t="s">
        <v>54</v>
      </c>
      <c r="B11" s="37">
        <f t="shared" si="0"/>
        <v>174.15270681906</v>
      </c>
      <c r="C11" s="33"/>
      <c r="D11" s="37">
        <f>IF(ISERROR(TER_onderwijs_gas_kWh/1000),0,TER_onderwijs_gas_kWh/1000)*0.902</f>
        <v>1131.9922123187694</v>
      </c>
      <c r="E11" s="33">
        <f>$C$31*'E Balans VL '!I11/100/3.6*1000000</f>
        <v>0.1615495381843762</v>
      </c>
      <c r="F11" s="33">
        <f>$C$31*('E Balans VL '!L11+'E Balans VL '!N11)/100/3.6*1000000</f>
        <v>61.175843293342176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2228.2162738981401</v>
      </c>
      <c r="C12" s="33"/>
      <c r="D12" s="37">
        <f>IF(ISERROR(TER_rest_gas_kWh/1000),0,TER_rest_gas_kWh/1000)*0.902</f>
        <v>4178.895837068726</v>
      </c>
      <c r="E12" s="33">
        <f>$C$32*'E Balans VL '!I8/100/3.6*1000000</f>
        <v>27.027155655381815</v>
      </c>
      <c r="F12" s="33">
        <f>$C$32*('E Balans VL '!L8+'E Balans VL '!N8)/100/3.6*1000000</f>
        <v>440.9224517688682</v>
      </c>
      <c r="G12" s="34"/>
      <c r="H12" s="33"/>
      <c r="I12" s="33"/>
      <c r="J12" s="33">
        <f>$C$32*('E Balans VL '!D8+'E Balans VL '!E8)/100/3.6*1000000</f>
        <v>0</v>
      </c>
      <c r="K12" s="33"/>
      <c r="L12" s="33"/>
      <c r="M12" s="33"/>
      <c r="N12" s="33">
        <f>$C$32*'E Balans VL '!Y8/100/3.6*1000000</f>
        <v>176.87634171371266</v>
      </c>
      <c r="O12" s="33"/>
      <c r="P12" s="33"/>
      <c r="R12" s="32"/>
    </row>
    <row r="13" spans="1:18">
      <c r="A13" s="16" t="s">
        <v>496</v>
      </c>
      <c r="B13" s="249">
        <f ca="1">'lokale energieproductie'!N43+'lokale energieproductie'!N34</f>
        <v>16924.5</v>
      </c>
      <c r="C13" s="249">
        <f ca="1">'lokale energieproductie'!O43+'lokale energieproductie'!O34</f>
        <v>22.5</v>
      </c>
      <c r="D13" s="310">
        <f ca="1">('lokale energieproductie'!P34+'lokale energieproductie'!P43)*(-1)</f>
        <v>-30</v>
      </c>
      <c r="E13" s="250"/>
      <c r="F13" s="310">
        <f ca="1">('lokale energieproductie'!S34+'lokale energieproductie'!S43)*(-1)</f>
        <v>0</v>
      </c>
      <c r="G13" s="251"/>
      <c r="H13" s="250"/>
      <c r="I13" s="250"/>
      <c r="J13" s="250"/>
      <c r="K13" s="250"/>
      <c r="L13" s="310">
        <f ca="1">('lokale energieproductie'!U34+'lokale energieproductie'!T34+'lokale energieproductie'!U43+'lokale energieproductie'!T43)*(-1)</f>
        <v>0</v>
      </c>
      <c r="M13" s="250"/>
      <c r="N13" s="310">
        <f ca="1">('lokale energieproductie'!Q34+'lokale energieproductie'!R34+'lokale energieproductie'!V34+'lokale energieproductie'!Q43+'lokale energieproductie'!R43+'lokale energieproductie'!V43)*(-1)</f>
        <v>-48342.857142857152</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43210.688524298595</v>
      </c>
      <c r="C16" s="21">
        <f t="shared" ca="1" si="1"/>
        <v>22.5</v>
      </c>
      <c r="D16" s="21">
        <f t="shared" ca="1" si="1"/>
        <v>34212.475384815669</v>
      </c>
      <c r="E16" s="21">
        <f t="shared" si="1"/>
        <v>429.59926666497074</v>
      </c>
      <c r="F16" s="21">
        <f t="shared" ca="1" si="1"/>
        <v>5384.9125622239808</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0.15324267339200112</v>
      </c>
      <c r="C18" s="25">
        <f ca="1">'EF ele_warmte'!B22</f>
        <v>0.23374825469585611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6621.7214285725804</v>
      </c>
      <c r="C20" s="23">
        <f t="shared" ref="C20:P20" ca="1" si="2">C16*C18</f>
        <v>5.2593357306567627</v>
      </c>
      <c r="D20" s="23">
        <f t="shared" ca="1" si="2"/>
        <v>6910.9200277327654</v>
      </c>
      <c r="E20" s="23">
        <f t="shared" si="2"/>
        <v>97.519033532948356</v>
      </c>
      <c r="F20" s="23">
        <f t="shared" ca="1" si="2"/>
        <v>1437.7716541138029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7341.0167245663197</v>
      </c>
      <c r="C26" s="39">
        <f>IF(ISERROR(B26*3.6/1000000/'E Balans VL '!Z12*100),0,B26*3.6/1000000/'E Balans VL '!Z12*100)</f>
        <v>0.15592683149676573</v>
      </c>
      <c r="D26" s="239" t="s">
        <v>689</v>
      </c>
      <c r="F26" s="6"/>
    </row>
    <row r="27" spans="1:18">
      <c r="A27" s="233" t="s">
        <v>52</v>
      </c>
      <c r="B27" s="33">
        <f>IF(ISERROR(TER_horeca_ele_kWh/1000),0,TER_horeca_ele_kWh/1000)</f>
        <v>4227.9136521641203</v>
      </c>
      <c r="C27" s="39">
        <f>IF(ISERROR(B27*3.6/1000000/'E Balans VL '!Z9*100),0,B27*3.6/1000000/'E Balans VL '!Z9*100)</f>
        <v>0.32874603478092984</v>
      </c>
      <c r="D27" s="239" t="s">
        <v>689</v>
      </c>
      <c r="F27" s="6"/>
    </row>
    <row r="28" spans="1:18">
      <c r="A28" s="173" t="s">
        <v>51</v>
      </c>
      <c r="B28" s="33">
        <f>IF(ISERROR(TER_handel_ele_kWh/1000),0,TER_handel_ele_kWh/1000)</f>
        <v>8312.9293813843105</v>
      </c>
      <c r="C28" s="39">
        <f>IF(ISERROR(B28*3.6/1000000/'E Balans VL '!Z13*100),0,B28*3.6/1000000/'E Balans VL '!Z13*100)</f>
        <v>0.23784269294060989</v>
      </c>
      <c r="D28" s="239" t="s">
        <v>689</v>
      </c>
      <c r="F28" s="6"/>
    </row>
    <row r="29" spans="1:18">
      <c r="A29" s="233" t="s">
        <v>50</v>
      </c>
      <c r="B29" s="33">
        <f>IF(ISERROR(TER_gezond_ele_kWh/1000),0,TER_gezond_ele_kWh/1000)</f>
        <v>705.90741185340494</v>
      </c>
      <c r="C29" s="39">
        <f>IF(ISERROR(B29*3.6/1000000/'E Balans VL '!Z10*100),0,B29*3.6/1000000/'E Balans VL '!Z10*100)</f>
        <v>7.6960311212992377E-2</v>
      </c>
      <c r="D29" s="239" t="s">
        <v>689</v>
      </c>
      <c r="F29" s="6"/>
    </row>
    <row r="30" spans="1:18">
      <c r="A30" s="233" t="s">
        <v>49</v>
      </c>
      <c r="B30" s="33">
        <f>IF(ISERROR(TER_ander_ele_kWh/1000),0,TER_ander_ele_kWh/1000)</f>
        <v>3296.05237361324</v>
      </c>
      <c r="C30" s="39">
        <f>IF(ISERROR(B30*3.6/1000000/'E Balans VL '!Z14*100),0,B30*3.6/1000000/'E Balans VL '!Z14*100)</f>
        <v>0.24119763578345105</v>
      </c>
      <c r="D30" s="239" t="s">
        <v>689</v>
      </c>
      <c r="F30" s="6"/>
    </row>
    <row r="31" spans="1:18">
      <c r="A31" s="233" t="s">
        <v>54</v>
      </c>
      <c r="B31" s="33">
        <f>IF(ISERROR(TER_onderwijs_ele_kWh/1000),0,TER_onderwijs_ele_kWh/1000)</f>
        <v>174.15270681906</v>
      </c>
      <c r="C31" s="39">
        <f>IF(ISERROR(B31*3.6/1000000/'E Balans VL '!Z11*100),0,B31*3.6/1000000/'E Balans VL '!Z11*100)</f>
        <v>3.4978700486842228E-2</v>
      </c>
      <c r="D31" s="239" t="s">
        <v>689</v>
      </c>
    </row>
    <row r="32" spans="1:18">
      <c r="A32" s="233" t="s">
        <v>259</v>
      </c>
      <c r="B32" s="33">
        <f>IF(ISERROR(TER_rest_ele_kWh/1000),0,TER_rest_ele_kWh/1000)</f>
        <v>2228.2162738981401</v>
      </c>
      <c r="C32" s="39">
        <f>IF(ISERROR(B32*3.6/1000000/'E Balans VL '!Z8*100),0,B32*3.6/1000000/'E Balans VL '!Z8*100)</f>
        <v>1.8158610396519222E-2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9494.1810266216271</v>
      </c>
      <c r="C5" s="17">
        <f>IF(ISERROR('Eigen informatie GS &amp; warmtenet'!B59),0,'Eigen informatie GS &amp; warmtenet'!B59)</f>
        <v>0</v>
      </c>
      <c r="D5" s="30">
        <f>SUM(D6:D15)</f>
        <v>21803.169024913856</v>
      </c>
      <c r="E5" s="17">
        <f>SUM(E6:E15)</f>
        <v>1071.7557140997328</v>
      </c>
      <c r="F5" s="17">
        <f>SUM(F6:F15)</f>
        <v>4423.4366350011769</v>
      </c>
      <c r="G5" s="18"/>
      <c r="H5" s="17"/>
      <c r="I5" s="17"/>
      <c r="J5" s="17">
        <f>SUM(J6:J15)</f>
        <v>16.829964068354926</v>
      </c>
      <c r="K5" s="17"/>
      <c r="L5" s="17"/>
      <c r="M5" s="17"/>
      <c r="N5" s="17">
        <f>SUM(N6:N15)</f>
        <v>546.50730733218779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1620.3597113453002</v>
      </c>
      <c r="C8" s="33"/>
      <c r="D8" s="37">
        <f>IF( ISERROR(IND_metaal_Gas_kWH/1000),0,IND_metaal_Gas_kWH/1000)*0.902</f>
        <v>336.55200646584291</v>
      </c>
      <c r="E8" s="33">
        <f>C30*'E Balans VL '!I18/100/3.6*1000000</f>
        <v>46.542812994052092</v>
      </c>
      <c r="F8" s="33">
        <f>C30*'E Balans VL '!L18/100/3.6*1000000+C30*'E Balans VL '!N18/100/3.6*1000000</f>
        <v>415.59110196420238</v>
      </c>
      <c r="G8" s="34"/>
      <c r="H8" s="33"/>
      <c r="I8" s="33"/>
      <c r="J8" s="40">
        <f>C30*'E Balans VL '!D18/100/3.6*1000000+C30*'E Balans VL '!E18/100/3.6*1000000</f>
        <v>0</v>
      </c>
      <c r="K8" s="33"/>
      <c r="L8" s="33"/>
      <c r="M8" s="33"/>
      <c r="N8" s="33">
        <f>C30*'E Balans VL '!Y18/100/3.6*1000000</f>
        <v>43.996073785812214</v>
      </c>
      <c r="O8" s="33"/>
      <c r="P8" s="33"/>
      <c r="R8" s="32"/>
    </row>
    <row r="9" spans="1:18">
      <c r="A9" s="6" t="s">
        <v>32</v>
      </c>
      <c r="B9" s="37">
        <f t="shared" si="0"/>
        <v>3129.82420241307</v>
      </c>
      <c r="C9" s="33"/>
      <c r="D9" s="37">
        <f>IF( ISERROR(IND_andere_gas_kWh/1000),0,IND_andere_gas_kWh/1000)*0.902</f>
        <v>2796.8095985855671</v>
      </c>
      <c r="E9" s="33">
        <f>C31*'E Balans VL '!I19/100/3.6*1000000</f>
        <v>847.16645847896541</v>
      </c>
      <c r="F9" s="33">
        <f>C31*'E Balans VL '!L19/100/3.6*1000000+C31*'E Balans VL '!N19/100/3.6*1000000</f>
        <v>2084.7941233931292</v>
      </c>
      <c r="G9" s="34"/>
      <c r="H9" s="33"/>
      <c r="I9" s="33"/>
      <c r="J9" s="40">
        <f>C31*'E Balans VL '!D19/100/3.6*1000000+C31*'E Balans VL '!E19/100/3.6*1000000</f>
        <v>0</v>
      </c>
      <c r="K9" s="33"/>
      <c r="L9" s="33"/>
      <c r="M9" s="33"/>
      <c r="N9" s="33">
        <f>C31*'E Balans VL '!Y19/100/3.6*1000000</f>
        <v>264.60590359623143</v>
      </c>
      <c r="O9" s="33"/>
      <c r="P9" s="33"/>
      <c r="R9" s="32"/>
    </row>
    <row r="10" spans="1:18">
      <c r="A10" s="6" t="s">
        <v>40</v>
      </c>
      <c r="B10" s="37">
        <f t="shared" si="0"/>
        <v>422.94399775033503</v>
      </c>
      <c r="C10" s="33"/>
      <c r="D10" s="37">
        <f>IF( ISERROR(IND_voed_gas_kWh/1000),0,IND_voed_gas_kWh/1000)*0.902</f>
        <v>876.09885739183596</v>
      </c>
      <c r="E10" s="33">
        <f>C32*'E Balans VL '!I20/100/3.6*1000000</f>
        <v>34.496284145067506</v>
      </c>
      <c r="F10" s="33">
        <f>C32*'E Balans VL '!L20/100/3.6*1000000+C32*'E Balans VL '!N20/100/3.6*1000000</f>
        <v>630.64787348750326</v>
      </c>
      <c r="G10" s="34"/>
      <c r="H10" s="33"/>
      <c r="I10" s="33"/>
      <c r="J10" s="40">
        <f>C32*'E Balans VL '!D20/100/3.6*1000000+C32*'E Balans VL '!E20/100/3.6*1000000</f>
        <v>5.5950357050945938E-3</v>
      </c>
      <c r="K10" s="33"/>
      <c r="L10" s="33"/>
      <c r="M10" s="33"/>
      <c r="N10" s="33">
        <f>C32*'E Balans VL '!Y20/100/3.6*1000000</f>
        <v>124.2460224545999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1993.1583864719801</v>
      </c>
      <c r="C12" s="33"/>
      <c r="D12" s="37">
        <f>IF( ISERROR(IND_min_gas_kWh/1000),0,IND_min_gas_kWh/1000)*0.902</f>
        <v>0</v>
      </c>
      <c r="E12" s="33">
        <f>C34*'E Balans VL '!I22/100/3.6*1000000</f>
        <v>15.526269539890134</v>
      </c>
      <c r="F12" s="33">
        <f>C34*'E Balans VL '!L22/100/3.6*1000000+C34*'E Balans VL '!N22/100/3.6*1000000</f>
        <v>751.69686005346648</v>
      </c>
      <c r="G12" s="34"/>
      <c r="H12" s="33"/>
      <c r="I12" s="33"/>
      <c r="J12" s="40">
        <f>C34*'E Balans VL '!D22/100/3.6*1000000+C34*'E Balans VL '!E22/100/3.6*1000000</f>
        <v>10.962196857923319</v>
      </c>
      <c r="K12" s="33"/>
      <c r="L12" s="33"/>
      <c r="M12" s="33"/>
      <c r="N12" s="33">
        <f>C34*'E Balans VL '!Y22/100/3.6*1000000</f>
        <v>0</v>
      </c>
      <c r="O12" s="33"/>
      <c r="P12" s="33"/>
      <c r="R12" s="32"/>
    </row>
    <row r="13" spans="1:18">
      <c r="A13" s="6" t="s">
        <v>38</v>
      </c>
      <c r="B13" s="37">
        <f t="shared" si="0"/>
        <v>40.720189840323194</v>
      </c>
      <c r="C13" s="33"/>
      <c r="D13" s="37">
        <f>IF( ISERROR(IND_papier_gas_kWh/1000),0,IND_papier_gas_kWh/1000)*0.902</f>
        <v>0</v>
      </c>
      <c r="E13" s="33">
        <f>C35*'E Balans VL '!I23/100/3.6*1000000</f>
        <v>0.42661817170994609</v>
      </c>
      <c r="F13" s="33">
        <f>C35*'E Balans VL '!L23/100/3.6*1000000+C35*'E Balans VL '!N23/100/3.6*1000000</f>
        <v>3.0385477833770289</v>
      </c>
      <c r="G13" s="34"/>
      <c r="H13" s="33"/>
      <c r="I13" s="33"/>
      <c r="J13" s="40">
        <f>C35*'E Balans VL '!D23/100/3.6*1000000+C35*'E Balans VL '!E23/100/3.6*1000000</f>
        <v>0</v>
      </c>
      <c r="K13" s="33"/>
      <c r="L13" s="33"/>
      <c r="M13" s="33"/>
      <c r="N13" s="33">
        <f>C35*'E Balans VL '!Y23/100/3.6*1000000</f>
        <v>7.5119945539898669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2287.1745388006202</v>
      </c>
      <c r="C15" s="33"/>
      <c r="D15" s="37">
        <f>IF( ISERROR(IND_rest_gas_kWh/1000),0,IND_rest_gas_kWh/1000)*0.902</f>
        <v>17793.708562470609</v>
      </c>
      <c r="E15" s="33">
        <f>C37*'E Balans VL '!I15/100/3.6*1000000</f>
        <v>127.59727077004776</v>
      </c>
      <c r="F15" s="33">
        <f>C37*'E Balans VL '!L15/100/3.6*1000000+C37*'E Balans VL '!N15/100/3.6*1000000</f>
        <v>537.66812831949846</v>
      </c>
      <c r="G15" s="34"/>
      <c r="H15" s="33"/>
      <c r="I15" s="33"/>
      <c r="J15" s="40">
        <f>C37*'E Balans VL '!D15/100/3.6*1000000+C37*'E Balans VL '!E15/100/3.6*1000000</f>
        <v>5.8621721747265134</v>
      </c>
      <c r="K15" s="33"/>
      <c r="L15" s="33"/>
      <c r="M15" s="33"/>
      <c r="N15" s="33">
        <f>C37*'E Balans VL '!Y15/100/3.6*1000000</f>
        <v>106.14731294155443</v>
      </c>
      <c r="O15" s="33"/>
      <c r="P15" s="33"/>
      <c r="R15" s="32"/>
    </row>
    <row r="16" spans="1:18">
      <c r="A16" s="16" t="s">
        <v>496</v>
      </c>
      <c r="B16" s="249">
        <f>'lokale energieproductie'!N42+'lokale energieproductie'!N33</f>
        <v>0</v>
      </c>
      <c r="C16" s="249">
        <f>'lokale energieproductie'!O42+'lokale energieproductie'!O33</f>
        <v>0</v>
      </c>
      <c r="D16" s="310">
        <f>('lokale energieproductie'!P33+'lokale energieproductie'!P42)*(-1)</f>
        <v>0</v>
      </c>
      <c r="E16" s="250"/>
      <c r="F16" s="310">
        <f>('lokale energieproductie'!S33+'lokale energieproductie'!S42)*(-1)</f>
        <v>0</v>
      </c>
      <c r="G16" s="251"/>
      <c r="H16" s="250"/>
      <c r="I16" s="250"/>
      <c r="J16" s="250"/>
      <c r="K16" s="250"/>
      <c r="L16" s="310">
        <f>('lokale energieproductie'!T33+'lokale energieproductie'!U33+'lokale energieproductie'!T42+'lokale energieproductie'!U42)*(-1)</f>
        <v>0</v>
      </c>
      <c r="M16" s="250"/>
      <c r="N16" s="310">
        <f>('lokale energieproductie'!Q33+'lokale energieproductie'!R33+'lokale energieproductie'!V33+'lokale energieproductie'!Q42+'lokale energieproductie'!R42+'lokale energieproductie'!V42)*(-1)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9494.1810266216271</v>
      </c>
      <c r="C18" s="21">
        <f>C5+C16</f>
        <v>0</v>
      </c>
      <c r="D18" s="21">
        <f>MAX((D5+D16),0)</f>
        <v>21803.169024913856</v>
      </c>
      <c r="E18" s="21">
        <f>MAX((E5+E16),0)</f>
        <v>1071.7557140997328</v>
      </c>
      <c r="F18" s="21">
        <f>MAX((F5+F16),0)</f>
        <v>4423.4366350011769</v>
      </c>
      <c r="G18" s="21"/>
      <c r="H18" s="21"/>
      <c r="I18" s="21"/>
      <c r="J18" s="21">
        <f>MAX((J5+J16),0)</f>
        <v>16.829964068354926</v>
      </c>
      <c r="K18" s="21"/>
      <c r="L18" s="21">
        <f>MAX((L5+L16),0)</f>
        <v>0</v>
      </c>
      <c r="M18" s="21"/>
      <c r="N18" s="21">
        <f>MAX((N5+N16),0)</f>
        <v>546.50730733218779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0.15324267339200112</v>
      </c>
      <c r="C20" s="25">
        <f ca="1">'EF ele_warmte'!B22</f>
        <v>0.23374825469585611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1454.9136821871118</v>
      </c>
      <c r="C22" s="23">
        <f ca="1">C18*C20</f>
        <v>0</v>
      </c>
      <c r="D22" s="23">
        <f>D18*D20</f>
        <v>4404.240143032599</v>
      </c>
      <c r="E22" s="23">
        <f>E18*E20</f>
        <v>243.28854710063936</v>
      </c>
      <c r="F22" s="23">
        <f>F18*F20</f>
        <v>1181.0575815453144</v>
      </c>
      <c r="G22" s="23"/>
      <c r="H22" s="23"/>
      <c r="I22" s="23"/>
      <c r="J22" s="23">
        <f>J18*J20</f>
        <v>5.9578072801976436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1620.3597113453002</v>
      </c>
      <c r="C30" s="39">
        <f>IF(ISERROR(B30*3.6/1000000/'E Balans VL '!Z18*100),0,B30*3.6/1000000/'E Balans VL '!Z18*100)</f>
        <v>0.15943925925865807</v>
      </c>
      <c r="D30" s="239" t="s">
        <v>689</v>
      </c>
    </row>
    <row r="31" spans="1:18">
      <c r="A31" s="6" t="s">
        <v>32</v>
      </c>
      <c r="B31" s="37">
        <f>IF( ISERROR(IND_ander_ele_kWh/1000),0,IND_ander_ele_kWh/1000)</f>
        <v>3129.82420241307</v>
      </c>
      <c r="C31" s="39">
        <f>IF(ISERROR(B31*3.6/1000000/'E Balans VL '!Z19*100),0,B31*3.6/1000000/'E Balans VL '!Z19*100)</f>
        <v>0.13630134737891644</v>
      </c>
      <c r="D31" s="239" t="s">
        <v>689</v>
      </c>
    </row>
    <row r="32" spans="1:18">
      <c r="A32" s="173" t="s">
        <v>40</v>
      </c>
      <c r="B32" s="37">
        <f>IF( ISERROR(IND_voed_ele_kWh/1000),0,IND_voed_ele_kWh/1000)</f>
        <v>422.94399775033503</v>
      </c>
      <c r="C32" s="39">
        <f>IF(ISERROR(B32*3.6/1000000/'E Balans VL '!Z20*100),0,B32*3.6/1000000/'E Balans VL '!Z20*100)</f>
        <v>8.0247524057130454E-2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1993.1583864719801</v>
      </c>
      <c r="C34" s="39">
        <f>IF(ISERROR(B34*3.6/1000000/'E Balans VL '!Z22*100),0,B34*3.6/1000000/'E Balans VL '!Z22*100)</f>
        <v>0.28025808381062733</v>
      </c>
      <c r="D34" s="239" t="s">
        <v>689</v>
      </c>
    </row>
    <row r="35" spans="1:5">
      <c r="A35" s="173" t="s">
        <v>38</v>
      </c>
      <c r="B35" s="37">
        <f>IF( ISERROR(IND_papier_ele_kWh/1000),0,IND_papier_ele_kWh/1000)</f>
        <v>40.720189840323194</v>
      </c>
      <c r="C35" s="39">
        <f>IF(ISERROR(B35*3.6/1000000/'E Balans VL '!Z22*100),0,B35*3.6/1000000/'E Balans VL '!Z22*100)</f>
        <v>5.7256675909505735E-3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2287.1745388006202</v>
      </c>
      <c r="C37" s="39">
        <f>IF(ISERROR(B37*3.6/1000000/'E Balans VL '!Z15*100),0,B37*3.6/1000000/'E Balans VL '!Z15*100)</f>
        <v>1.7625489050854801E-2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4676.8043397196898</v>
      </c>
      <c r="C5" s="17">
        <f>'Eigen informatie GS &amp; warmtenet'!B60</f>
        <v>0</v>
      </c>
      <c r="D5" s="30">
        <f>IF(ISERROR(SUM(LB_lb_gas_kWh,LB_rest_gas_kWh)/1000),0,SUM(LB_lb_gas_kWh,LB_rest_gas_kWh)/1000)*0.902</f>
        <v>11308.646293452475</v>
      </c>
      <c r="E5" s="17">
        <f>B17*'E Balans VL '!I25/3.6*1000000/100</f>
        <v>58.933759629453732</v>
      </c>
      <c r="F5" s="17">
        <f>B17*('E Balans VL '!L25/3.6*1000000+'E Balans VL '!N25/3.6*1000000)/100</f>
        <v>16136.146581526569</v>
      </c>
      <c r="G5" s="18"/>
      <c r="H5" s="17"/>
      <c r="I5" s="17"/>
      <c r="J5" s="17">
        <f>('E Balans VL '!D25+'E Balans VL '!E25)/3.6*1000000*landbouw!B17/100</f>
        <v>703.33820865844086</v>
      </c>
      <c r="K5" s="17"/>
      <c r="L5" s="17">
        <f>L6*(-1)</f>
        <v>0</v>
      </c>
      <c r="M5" s="17"/>
      <c r="N5" s="17">
        <f>N6*(-1)</f>
        <v>249.42857142857139</v>
      </c>
      <c r="O5" s="17"/>
      <c r="P5" s="17"/>
      <c r="R5" s="32"/>
    </row>
    <row r="6" spans="1:18">
      <c r="A6" s="16" t="s">
        <v>496</v>
      </c>
      <c r="B6" s="17" t="s">
        <v>210</v>
      </c>
      <c r="C6" s="17">
        <f>'lokale energieproductie'!O44+'lokale energieproductie'!O35</f>
        <v>7639.7142857142862</v>
      </c>
      <c r="D6" s="310">
        <f>('lokale energieproductie'!P35+'lokale energieproductie'!P44)*(-1)</f>
        <v>-15030.000000000002</v>
      </c>
      <c r="E6" s="250"/>
      <c r="F6" s="310">
        <f>('lokale energieproductie'!S35+'lokale energieproductie'!S44)*(-1)</f>
        <v>0</v>
      </c>
      <c r="G6" s="251"/>
      <c r="H6" s="250"/>
      <c r="I6" s="250"/>
      <c r="J6" s="250"/>
      <c r="K6" s="250"/>
      <c r="L6" s="310">
        <f>('lokale energieproductie'!T35+'lokale energieproductie'!U35+'lokale energieproductie'!T44+'lokale energieproductie'!U44)*(-1)</f>
        <v>0</v>
      </c>
      <c r="M6" s="250"/>
      <c r="N6" s="1030">
        <f>('lokale energieproductie'!V35+'lokale energieproductie'!R35+'lokale energieproductie'!Q35+'lokale energieproductie'!Q44+'lokale energieproductie'!R44+'lokale energieproductie'!V44)*(-1)</f>
        <v>-249.42857142857139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4676.8043397196898</v>
      </c>
      <c r="C8" s="21">
        <f>C5+C6</f>
        <v>7639.7142857142862</v>
      </c>
      <c r="D8" s="21">
        <f>MAX((D5+D6),0)</f>
        <v>0</v>
      </c>
      <c r="E8" s="21">
        <f>MAX((E5+E6),0)</f>
        <v>58.933759629453732</v>
      </c>
      <c r="F8" s="21">
        <f>MAX((F5+F6),0)</f>
        <v>16136.146581526569</v>
      </c>
      <c r="G8" s="21"/>
      <c r="H8" s="21"/>
      <c r="I8" s="21"/>
      <c r="J8" s="21">
        <f>MAX((J5+J6),0)</f>
        <v>703.33820865844086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0.15324267339200112</v>
      </c>
      <c r="C10" s="31">
        <f ca="1">'EF ele_warmte'!B22</f>
        <v>0.23374825469585611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716.68599994995793</v>
      </c>
      <c r="C12" s="23">
        <f ca="1">C8*C10</f>
        <v>1785.7698806607134</v>
      </c>
      <c r="D12" s="23">
        <f>D8*D10</f>
        <v>0</v>
      </c>
      <c r="E12" s="23">
        <f>E8*E10</f>
        <v>13.377963435885997</v>
      </c>
      <c r="F12" s="23">
        <f>F8*F10</f>
        <v>4308.3511372675939</v>
      </c>
      <c r="G12" s="23"/>
      <c r="H12" s="23"/>
      <c r="I12" s="23"/>
      <c r="J12" s="23">
        <f>J8*J10</f>
        <v>248.98172586508807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0.65226680107438395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1122.9662338509677</v>
      </c>
      <c r="C26" s="249">
        <f>B26*'GWP N2O_CH4'!B5</f>
        <v>23582.290910870321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474.37516775059561</v>
      </c>
      <c r="C27" s="249">
        <f>B27*'GWP N2O_CH4'!B5</f>
        <v>9961.8785227625085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20.237189102651641</v>
      </c>
      <c r="C28" s="249">
        <f>B28*'GWP N2O_CH4'!B4</f>
        <v>6273.528621822009</v>
      </c>
      <c r="D28" s="50"/>
    </row>
    <row r="29" spans="1:4">
      <c r="A29" s="41" t="s">
        <v>276</v>
      </c>
      <c r="B29" s="249">
        <f>B34*'ha_N2O bodem landbouw'!B4</f>
        <v>26.79885207639752</v>
      </c>
      <c r="C29" s="249">
        <f>B29*'GWP N2O_CH4'!B4</f>
        <v>8307.644143683232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6.6914055818726717E-3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4.7509259595277154E-5</v>
      </c>
      <c r="C5" s="444" t="s">
        <v>210</v>
      </c>
      <c r="D5" s="429">
        <f>SUM(D6:D11)</f>
        <v>7.2985356044829084E-5</v>
      </c>
      <c r="E5" s="429">
        <f>SUM(E6:E11)</f>
        <v>2.9538835277376535E-3</v>
      </c>
      <c r="F5" s="442" t="s">
        <v>210</v>
      </c>
      <c r="G5" s="429">
        <f>SUM(G6:G11)</f>
        <v>1.1073103179621873</v>
      </c>
      <c r="H5" s="429">
        <f>SUM(H6:H11)</f>
        <v>0.13742187191536673</v>
      </c>
      <c r="I5" s="444" t="s">
        <v>210</v>
      </c>
      <c r="J5" s="444" t="s">
        <v>210</v>
      </c>
      <c r="K5" s="444" t="s">
        <v>210</v>
      </c>
      <c r="L5" s="444" t="s">
        <v>210</v>
      </c>
      <c r="M5" s="429">
        <f>SUM(M6:M11)</f>
        <v>5.6260352472742935E-2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1.8165493146086849E-5</v>
      </c>
      <c r="C6" s="883"/>
      <c r="D6" s="883">
        <f>vkm_GW_PW*SUMIFS(TableVerdeelsleutelVkm[CNG],TableVerdeelsleutelVkm[Voertuigtype],"Lichte voertuigen")*SUMIFS(TableECFTransport[EnergieConsumptieFactor (PJ per km)],TableECFTransport[Index],CONCATENATE($A6,"_CNG_CNG"))</f>
        <v>2.6920719771953841E-5</v>
      </c>
      <c r="E6" s="883">
        <f>vkm_GW_PW*SUMIFS(TableVerdeelsleutelVkm[LPG],TableVerdeelsleutelVkm[Voertuigtype],"Lichte voertuigen")*SUMIFS(TableECFTransport[EnergieConsumptieFactor (PJ per km)],TableECFTransport[Index],CONCATENATE($A6,"_LPG_LPG"))</f>
        <v>9.6420181289977986E-4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0.19404851543314927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4.9572466891215104E-2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1.1021278615684655E-2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8.8377897980562767E-2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2.0534025940760902E-6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3.99040004029819E-3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2.5657459073437497E-6</v>
      </c>
      <c r="C8" s="883"/>
      <c r="D8" s="432">
        <f>vkm_NGW_PW*SUMIFS(TableVerdeelsleutelVkm[CNG],TableVerdeelsleutelVkm[Voertuigtype],"Lichte voertuigen")*SUMIFS(TableECFTransport[EnergieConsumptieFactor (PJ per km)],TableECFTransport[Index],CONCATENATE($A8,"_CNG_CNG"))</f>
        <v>6.4526988254067286E-6</v>
      </c>
      <c r="E8" s="432">
        <f>vkm_NGW_PW*SUMIFS(TableVerdeelsleutelVkm[LPG],TableVerdeelsleutelVkm[Voertuigtype],"Lichte voertuigen")*SUMIFS(TableECFTransport[EnergieConsumptieFactor (PJ per km)],TableECFTransport[Index],CONCATENATE($A8,"_LPG_LPG"))</f>
        <v>2.1853111864603077E-4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4.1777482279543074E-2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1.1417699101336675E-2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2.4067800142002615E-3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3.3296878248922582E-3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8.9670885934518046E-8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1.5034116358813256E-4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2.6778020541846551E-5</v>
      </c>
      <c r="C10" s="883"/>
      <c r="D10" s="432">
        <f>vkm_SW_PW*SUMIFS(TableVerdeelsleutelVkm[CNG],TableVerdeelsleutelVkm[Voertuigtype],"Lichte voertuigen")*SUMIFS(TableECFTransport[EnergieConsumptieFactor (PJ per km)],TableECFTransport[Index],CONCATENATE($A10,"_CNG_CNG"))</f>
        <v>3.9611937447468519E-5</v>
      </c>
      <c r="E10" s="432">
        <f>vkm_SW_PW*SUMIFS(TableVerdeelsleutelVkm[LPG],TableVerdeelsleutelVkm[Voertuigtype],"Lichte voertuigen")*SUMIFS(TableECFTransport[EnergieConsumptieFactor (PJ per km)],TableECFTransport[Index],CONCATENATE($A10,"_LPG_LPG"))</f>
        <v>1.7711505961918428E-3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0.32313271608201022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7.6418245604982143E-2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1.8073330198060369E-2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0.45664401836202967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1.131724435278563E-5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2.0618222440911327E-2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13.197016554243653</v>
      </c>
      <c r="C14" s="21"/>
      <c r="D14" s="21">
        <f t="shared" ref="D14:M14" si="0">((D5)*10^9/3600)+D12</f>
        <v>20.273710012452522</v>
      </c>
      <c r="E14" s="21">
        <f t="shared" si="0"/>
        <v>820.52320214934821</v>
      </c>
      <c r="F14" s="21"/>
      <c r="G14" s="21">
        <f t="shared" si="0"/>
        <v>307586.19943394093</v>
      </c>
      <c r="H14" s="21">
        <f t="shared" si="0"/>
        <v>38172.742198712986</v>
      </c>
      <c r="I14" s="21"/>
      <c r="J14" s="21"/>
      <c r="K14" s="21"/>
      <c r="L14" s="21"/>
      <c r="M14" s="21">
        <f t="shared" si="0"/>
        <v>15627.875686873038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0.15324267339200112</v>
      </c>
      <c r="C16" s="56">
        <f ca="1">'EF ele_warmte'!B22</f>
        <v>0.23374825469585611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2.0223460975707921</v>
      </c>
      <c r="C18" s="23"/>
      <c r="D18" s="23">
        <f t="shared" ref="D18:M18" si="1">D14*D16</f>
        <v>4.0952894225154095</v>
      </c>
      <c r="E18" s="23">
        <f t="shared" si="1"/>
        <v>186.25876688790206</v>
      </c>
      <c r="F18" s="23"/>
      <c r="G18" s="23">
        <f t="shared" si="1"/>
        <v>82125.515248862226</v>
      </c>
      <c r="H18" s="23">
        <f t="shared" si="1"/>
        <v>9505.0128074795339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1.2486940576777681E-2</v>
      </c>
      <c r="H50" s="321">
        <f t="shared" si="2"/>
        <v>0</v>
      </c>
      <c r="I50" s="321">
        <f t="shared" si="2"/>
        <v>0</v>
      </c>
      <c r="J50" s="321">
        <f t="shared" si="2"/>
        <v>0</v>
      </c>
      <c r="K50" s="321">
        <f t="shared" si="2"/>
        <v>0</v>
      </c>
      <c r="L50" s="321">
        <f t="shared" si="2"/>
        <v>0</v>
      </c>
      <c r="M50" s="321">
        <f t="shared" si="2"/>
        <v>5.5580405542071621E-4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1.2486940576777681E-2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5.5580405542071621E-4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3468.5946046604672</v>
      </c>
      <c r="H54" s="21">
        <f t="shared" si="3"/>
        <v>0</v>
      </c>
      <c r="I54" s="21">
        <f t="shared" si="3"/>
        <v>0</v>
      </c>
      <c r="J54" s="21">
        <f t="shared" si="3"/>
        <v>0</v>
      </c>
      <c r="K54" s="21">
        <f t="shared" si="3"/>
        <v>0</v>
      </c>
      <c r="L54" s="21">
        <f t="shared" si="3"/>
        <v>0</v>
      </c>
      <c r="M54" s="21">
        <f t="shared" si="3"/>
        <v>154.39001539464337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0.15324267339200112</v>
      </c>
      <c r="C56" s="56">
        <f ca="1">'EF ele_warmte'!B22</f>
        <v>0.23374825469585611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926.11475944434483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44951.188524298595</v>
      </c>
      <c r="D10" s="686">
        <f ca="1">tertiair!C16</f>
        <v>22.5</v>
      </c>
      <c r="E10" s="686">
        <f ca="1">tertiair!D16</f>
        <v>34212.475384815669</v>
      </c>
      <c r="F10" s="686">
        <f>tertiair!E16</f>
        <v>429.59926666497074</v>
      </c>
      <c r="G10" s="686">
        <f ca="1">tertiair!F16</f>
        <v>5384.9125622239808</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9.3800000000000008</v>
      </c>
      <c r="Q10" s="687">
        <f>tertiair!P16</f>
        <v>57.2</v>
      </c>
      <c r="R10" s="689">
        <f ca="1">SUM(C10:Q10)</f>
        <v>85067.255738003209</v>
      </c>
      <c r="S10" s="67"/>
    </row>
    <row r="11" spans="1:19" s="454" customFormat="1">
      <c r="A11" s="801" t="s">
        <v>224</v>
      </c>
      <c r="B11" s="806"/>
      <c r="C11" s="686">
        <f>huishoudens!B8</f>
        <v>63030.98878320901</v>
      </c>
      <c r="D11" s="686">
        <f>huishoudens!C8</f>
        <v>0</v>
      </c>
      <c r="E11" s="686">
        <f>huishoudens!D8</f>
        <v>139534.19425634958</v>
      </c>
      <c r="F11" s="686">
        <f>huishoudens!E8</f>
        <v>8276.4695273201196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38822.801996337264</v>
      </c>
      <c r="P11" s="686">
        <f>huishoudens!O8</f>
        <v>276.70999999999998</v>
      </c>
      <c r="Q11" s="687">
        <f>huishoudens!P8</f>
        <v>1506.2666666666667</v>
      </c>
      <c r="R11" s="689">
        <f>SUM(C11:Q11)</f>
        <v>251447.43122988261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9494.1810266216271</v>
      </c>
      <c r="D13" s="686">
        <f>industrie!C18</f>
        <v>0</v>
      </c>
      <c r="E13" s="686">
        <f>industrie!D18</f>
        <v>21803.169024913856</v>
      </c>
      <c r="F13" s="686">
        <f>industrie!E18</f>
        <v>1071.7557140997328</v>
      </c>
      <c r="G13" s="686">
        <f>industrie!F18</f>
        <v>4423.4366350011769</v>
      </c>
      <c r="H13" s="686">
        <f>industrie!G18</f>
        <v>0</v>
      </c>
      <c r="I13" s="686">
        <f>industrie!H18</f>
        <v>0</v>
      </c>
      <c r="J13" s="686">
        <f>industrie!I18</f>
        <v>0</v>
      </c>
      <c r="K13" s="686">
        <f>industrie!J18</f>
        <v>16.829964068354926</v>
      </c>
      <c r="L13" s="686">
        <f>industrie!K18</f>
        <v>0</v>
      </c>
      <c r="M13" s="686">
        <f>industrie!L18</f>
        <v>0</v>
      </c>
      <c r="N13" s="686">
        <f>industrie!M18</f>
        <v>0</v>
      </c>
      <c r="O13" s="686">
        <f>industrie!N18</f>
        <v>546.50730733218779</v>
      </c>
      <c r="P13" s="686">
        <f>industrie!O18</f>
        <v>0</v>
      </c>
      <c r="Q13" s="687">
        <f>industrie!P18</f>
        <v>0</v>
      </c>
      <c r="R13" s="689">
        <f>SUM(C13:Q13)</f>
        <v>37355.879672036936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117476.35833412924</v>
      </c>
      <c r="D16" s="721">
        <f t="shared" ref="D16:R16" ca="1" si="0">SUM(D9:D15)</f>
        <v>22.5</v>
      </c>
      <c r="E16" s="721">
        <f t="shared" ca="1" si="0"/>
        <v>195549.8386660791</v>
      </c>
      <c r="F16" s="721">
        <f t="shared" si="0"/>
        <v>9777.8245080848228</v>
      </c>
      <c r="G16" s="721">
        <f t="shared" ca="1" si="0"/>
        <v>9808.3491972251577</v>
      </c>
      <c r="H16" s="721">
        <f t="shared" si="0"/>
        <v>0</v>
      </c>
      <c r="I16" s="721">
        <f t="shared" si="0"/>
        <v>0</v>
      </c>
      <c r="J16" s="721">
        <f t="shared" si="0"/>
        <v>0</v>
      </c>
      <c r="K16" s="721">
        <f t="shared" si="0"/>
        <v>16.829964068354926</v>
      </c>
      <c r="L16" s="721">
        <f t="shared" si="0"/>
        <v>0</v>
      </c>
      <c r="M16" s="721">
        <f t="shared" ca="1" si="0"/>
        <v>0</v>
      </c>
      <c r="N16" s="721">
        <f t="shared" si="0"/>
        <v>0</v>
      </c>
      <c r="O16" s="721">
        <f t="shared" ca="1" si="0"/>
        <v>39369.309303669455</v>
      </c>
      <c r="P16" s="721">
        <f t="shared" si="0"/>
        <v>286.08999999999997</v>
      </c>
      <c r="Q16" s="721">
        <f t="shared" si="0"/>
        <v>1563.4666666666667</v>
      </c>
      <c r="R16" s="721">
        <f t="shared" ca="1" si="0"/>
        <v>373870.56663992273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3468.5946046604672</v>
      </c>
      <c r="I19" s="686">
        <f>transport!H54</f>
        <v>0</v>
      </c>
      <c r="J19" s="686">
        <f>transport!I54</f>
        <v>0</v>
      </c>
      <c r="K19" s="686">
        <f>transport!J54</f>
        <v>0</v>
      </c>
      <c r="L19" s="686">
        <f>transport!K54</f>
        <v>0</v>
      </c>
      <c r="M19" s="686">
        <f>transport!L54</f>
        <v>0</v>
      </c>
      <c r="N19" s="686">
        <f>transport!M54</f>
        <v>154.39001539464337</v>
      </c>
      <c r="O19" s="686">
        <f>transport!N54</f>
        <v>0</v>
      </c>
      <c r="P19" s="686">
        <f>transport!O54</f>
        <v>0</v>
      </c>
      <c r="Q19" s="687">
        <f>transport!P54</f>
        <v>0</v>
      </c>
      <c r="R19" s="689">
        <f>SUM(C19:Q19)</f>
        <v>3622.9846200551106</v>
      </c>
      <c r="S19" s="67"/>
    </row>
    <row r="20" spans="1:19" s="454" customFormat="1">
      <c r="A20" s="801" t="s">
        <v>306</v>
      </c>
      <c r="B20" s="806"/>
      <c r="C20" s="686">
        <f>transport!B14</f>
        <v>13.197016554243653</v>
      </c>
      <c r="D20" s="686">
        <f>transport!C14</f>
        <v>0</v>
      </c>
      <c r="E20" s="686">
        <f>transport!D14</f>
        <v>20.273710012452522</v>
      </c>
      <c r="F20" s="686">
        <f>transport!E14</f>
        <v>820.52320214934821</v>
      </c>
      <c r="G20" s="686">
        <f>transport!F14</f>
        <v>0</v>
      </c>
      <c r="H20" s="686">
        <f>transport!G14</f>
        <v>307586.19943394093</v>
      </c>
      <c r="I20" s="686">
        <f>transport!H14</f>
        <v>38172.742198712986</v>
      </c>
      <c r="J20" s="686">
        <f>transport!I14</f>
        <v>0</v>
      </c>
      <c r="K20" s="686">
        <f>transport!J14</f>
        <v>0</v>
      </c>
      <c r="L20" s="686">
        <f>transport!K14</f>
        <v>0</v>
      </c>
      <c r="M20" s="686">
        <f>transport!L14</f>
        <v>0</v>
      </c>
      <c r="N20" s="686">
        <f>transport!M14</f>
        <v>15627.875686873038</v>
      </c>
      <c r="O20" s="686">
        <f>transport!N14</f>
        <v>0</v>
      </c>
      <c r="P20" s="686">
        <f>transport!O14</f>
        <v>0</v>
      </c>
      <c r="Q20" s="687">
        <f>transport!P14</f>
        <v>0</v>
      </c>
      <c r="R20" s="689">
        <f>SUM(C20:Q20)</f>
        <v>362240.81124824303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13.197016554243653</v>
      </c>
      <c r="D22" s="804">
        <f t="shared" ref="D22:R22" si="1">SUM(D18:D21)</f>
        <v>0</v>
      </c>
      <c r="E22" s="804">
        <f t="shared" si="1"/>
        <v>20.273710012452522</v>
      </c>
      <c r="F22" s="804">
        <f t="shared" si="1"/>
        <v>820.52320214934821</v>
      </c>
      <c r="G22" s="804">
        <f t="shared" si="1"/>
        <v>0</v>
      </c>
      <c r="H22" s="804">
        <f t="shared" si="1"/>
        <v>311054.79403860139</v>
      </c>
      <c r="I22" s="804">
        <f t="shared" si="1"/>
        <v>38172.742198712986</v>
      </c>
      <c r="J22" s="804">
        <f t="shared" si="1"/>
        <v>0</v>
      </c>
      <c r="K22" s="804">
        <f t="shared" si="1"/>
        <v>0</v>
      </c>
      <c r="L22" s="804">
        <f t="shared" si="1"/>
        <v>0</v>
      </c>
      <c r="M22" s="804">
        <f t="shared" si="1"/>
        <v>0</v>
      </c>
      <c r="N22" s="804">
        <f t="shared" si="1"/>
        <v>15782.265702267681</v>
      </c>
      <c r="O22" s="804">
        <f t="shared" si="1"/>
        <v>0</v>
      </c>
      <c r="P22" s="804">
        <f t="shared" si="1"/>
        <v>0</v>
      </c>
      <c r="Q22" s="804">
        <f t="shared" si="1"/>
        <v>0</v>
      </c>
      <c r="R22" s="804">
        <f t="shared" si="1"/>
        <v>365863.79586829816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4676.8043397196898</v>
      </c>
      <c r="D24" s="686">
        <f>+landbouw!C8</f>
        <v>7639.7142857142862</v>
      </c>
      <c r="E24" s="686">
        <f>+landbouw!D8</f>
        <v>0</v>
      </c>
      <c r="F24" s="686">
        <f>+landbouw!E8</f>
        <v>58.933759629453732</v>
      </c>
      <c r="G24" s="686">
        <f>+landbouw!F8</f>
        <v>16136.146581526569</v>
      </c>
      <c r="H24" s="686">
        <f>+landbouw!G8</f>
        <v>0</v>
      </c>
      <c r="I24" s="686">
        <f>+landbouw!H8</f>
        <v>0</v>
      </c>
      <c r="J24" s="686">
        <f>+landbouw!I8</f>
        <v>0</v>
      </c>
      <c r="K24" s="686">
        <f>+landbouw!J8</f>
        <v>703.33820865844086</v>
      </c>
      <c r="L24" s="686">
        <f>+landbouw!K8</f>
        <v>0</v>
      </c>
      <c r="M24" s="686">
        <f>+landbouw!L8</f>
        <v>0</v>
      </c>
      <c r="N24" s="686">
        <f>+landbouw!M8</f>
        <v>0</v>
      </c>
      <c r="O24" s="686">
        <f>+landbouw!N8</f>
        <v>0</v>
      </c>
      <c r="P24" s="686">
        <f>+landbouw!O8</f>
        <v>0</v>
      </c>
      <c r="Q24" s="687">
        <f>+landbouw!P8</f>
        <v>0</v>
      </c>
      <c r="R24" s="689">
        <f>SUM(C24:Q24)</f>
        <v>29214.93717524844</v>
      </c>
      <c r="S24" s="67"/>
    </row>
    <row r="25" spans="1:19" s="454" customFormat="1" ht="15" thickBot="1">
      <c r="A25" s="823" t="s">
        <v>856</v>
      </c>
      <c r="B25" s="991"/>
      <c r="C25" s="992">
        <f>IF(Onbekend_ele_kWh="---",0,Onbekend_ele_kWh)/1000+IF(REST_rest_ele_kWh="---",0,REST_rest_ele_kWh)/1000</f>
        <v>1363.2951506089901</v>
      </c>
      <c r="D25" s="992"/>
      <c r="E25" s="992">
        <f>IF(onbekend_gas_kWh="---",0,onbekend_gas_kWh)/1000+IF(REST_rest_gas_kWh="---",0,REST_rest_gas_kWh)/1000</f>
        <v>3608.5303095960903</v>
      </c>
      <c r="F25" s="992"/>
      <c r="G25" s="992"/>
      <c r="H25" s="992"/>
      <c r="I25" s="992"/>
      <c r="J25" s="992"/>
      <c r="K25" s="992"/>
      <c r="L25" s="992"/>
      <c r="M25" s="992"/>
      <c r="N25" s="992"/>
      <c r="O25" s="992"/>
      <c r="P25" s="992"/>
      <c r="Q25" s="993"/>
      <c r="R25" s="689">
        <f>SUM(C25:Q25)</f>
        <v>4971.8254602050802</v>
      </c>
      <c r="S25" s="67"/>
    </row>
    <row r="26" spans="1:19" s="454" customFormat="1" ht="15.75" thickBot="1">
      <c r="A26" s="694" t="s">
        <v>857</v>
      </c>
      <c r="B26" s="809"/>
      <c r="C26" s="804">
        <f>SUM(C24:C25)</f>
        <v>6040.0994903286801</v>
      </c>
      <c r="D26" s="804">
        <f t="shared" ref="D26:R26" si="2">SUM(D24:D25)</f>
        <v>7639.7142857142862</v>
      </c>
      <c r="E26" s="804">
        <f t="shared" si="2"/>
        <v>3608.5303095960903</v>
      </c>
      <c r="F26" s="804">
        <f t="shared" si="2"/>
        <v>58.933759629453732</v>
      </c>
      <c r="G26" s="804">
        <f t="shared" si="2"/>
        <v>16136.146581526569</v>
      </c>
      <c r="H26" s="804">
        <f t="shared" si="2"/>
        <v>0</v>
      </c>
      <c r="I26" s="804">
        <f t="shared" si="2"/>
        <v>0</v>
      </c>
      <c r="J26" s="804">
        <f t="shared" si="2"/>
        <v>0</v>
      </c>
      <c r="K26" s="804">
        <f t="shared" si="2"/>
        <v>703.33820865844086</v>
      </c>
      <c r="L26" s="804">
        <f t="shared" si="2"/>
        <v>0</v>
      </c>
      <c r="M26" s="804">
        <f t="shared" si="2"/>
        <v>0</v>
      </c>
      <c r="N26" s="804">
        <f t="shared" si="2"/>
        <v>0</v>
      </c>
      <c r="O26" s="804">
        <f t="shared" si="2"/>
        <v>0</v>
      </c>
      <c r="P26" s="804">
        <f t="shared" si="2"/>
        <v>0</v>
      </c>
      <c r="Q26" s="804">
        <f t="shared" si="2"/>
        <v>0</v>
      </c>
      <c r="R26" s="804">
        <f t="shared" si="2"/>
        <v>34186.762635453517</v>
      </c>
      <c r="S26" s="67"/>
    </row>
    <row r="27" spans="1:19" s="454" customFormat="1" ht="17.25" thickTop="1" thickBot="1">
      <c r="A27" s="695" t="s">
        <v>115</v>
      </c>
      <c r="B27" s="796"/>
      <c r="C27" s="696">
        <f ca="1">C22+C16+C26</f>
        <v>123529.65484101216</v>
      </c>
      <c r="D27" s="696">
        <f t="shared" ref="D27:R27" ca="1" si="3">D22+D16+D26</f>
        <v>7662.2142857142862</v>
      </c>
      <c r="E27" s="696">
        <f t="shared" ca="1" si="3"/>
        <v>199178.64268568766</v>
      </c>
      <c r="F27" s="696">
        <f t="shared" si="3"/>
        <v>10657.281469863625</v>
      </c>
      <c r="G27" s="696">
        <f t="shared" ca="1" si="3"/>
        <v>25944.495778751727</v>
      </c>
      <c r="H27" s="696">
        <f t="shared" si="3"/>
        <v>311054.79403860139</v>
      </c>
      <c r="I27" s="696">
        <f t="shared" si="3"/>
        <v>38172.742198712986</v>
      </c>
      <c r="J27" s="696">
        <f t="shared" si="3"/>
        <v>0</v>
      </c>
      <c r="K27" s="696">
        <f t="shared" si="3"/>
        <v>720.16817272679577</v>
      </c>
      <c r="L27" s="696">
        <f t="shared" si="3"/>
        <v>0</v>
      </c>
      <c r="M27" s="696">
        <f t="shared" ca="1" si="3"/>
        <v>0</v>
      </c>
      <c r="N27" s="696">
        <f t="shared" si="3"/>
        <v>15782.265702267681</v>
      </c>
      <c r="O27" s="696">
        <f t="shared" ca="1" si="3"/>
        <v>39369.309303669455</v>
      </c>
      <c r="P27" s="696">
        <f t="shared" si="3"/>
        <v>286.08999999999997</v>
      </c>
      <c r="Q27" s="696">
        <f t="shared" si="3"/>
        <v>1563.4666666666667</v>
      </c>
      <c r="R27" s="696">
        <f t="shared" ca="1" si="3"/>
        <v>773921.12514367432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6888.4403016113583</v>
      </c>
      <c r="D40" s="686">
        <f ca="1">tertiair!C20</f>
        <v>5.2593357306567627</v>
      </c>
      <c r="E40" s="686">
        <f ca="1">tertiair!D20</f>
        <v>6910.9200277327654</v>
      </c>
      <c r="F40" s="686">
        <f>tertiair!E20</f>
        <v>97.519033532948356</v>
      </c>
      <c r="G40" s="686">
        <f ca="1">tertiair!F20</f>
        <v>1437.7716541138029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15339.910352721532</v>
      </c>
    </row>
    <row r="41" spans="1:18">
      <c r="A41" s="814" t="s">
        <v>224</v>
      </c>
      <c r="B41" s="821"/>
      <c r="C41" s="686">
        <f ca="1">huishoudens!B12</f>
        <v>9659.0372276801845</v>
      </c>
      <c r="D41" s="686">
        <f ca="1">huishoudens!C12</f>
        <v>0</v>
      </c>
      <c r="E41" s="686">
        <f>huishoudens!D12</f>
        <v>28185.907239782617</v>
      </c>
      <c r="F41" s="686">
        <f>huishoudens!E12</f>
        <v>1878.7585827016671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39723.703050164469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1454.9136821871118</v>
      </c>
      <c r="D43" s="686">
        <f ca="1">industrie!C22</f>
        <v>0</v>
      </c>
      <c r="E43" s="686">
        <f>industrie!D22</f>
        <v>4404.240143032599</v>
      </c>
      <c r="F43" s="686">
        <f>industrie!E22</f>
        <v>243.28854710063936</v>
      </c>
      <c r="G43" s="686">
        <f>industrie!F22</f>
        <v>1181.0575815453144</v>
      </c>
      <c r="H43" s="686">
        <f>industrie!G22</f>
        <v>0</v>
      </c>
      <c r="I43" s="686">
        <f>industrie!H22</f>
        <v>0</v>
      </c>
      <c r="J43" s="686">
        <f>industrie!I22</f>
        <v>0</v>
      </c>
      <c r="K43" s="686">
        <f>industrie!J22</f>
        <v>5.9578072801976436</v>
      </c>
      <c r="L43" s="686">
        <f>industrie!K22</f>
        <v>0</v>
      </c>
      <c r="M43" s="686">
        <f>industrie!L22</f>
        <v>0</v>
      </c>
      <c r="N43" s="686">
        <f>industrie!M22</f>
        <v>0</v>
      </c>
      <c r="O43" s="686">
        <f>industrie!N22</f>
        <v>0</v>
      </c>
      <c r="P43" s="686">
        <f>industrie!O22</f>
        <v>0</v>
      </c>
      <c r="Q43" s="763">
        <f>industrie!P22</f>
        <v>0</v>
      </c>
      <c r="R43" s="841">
        <f t="shared" ca="1" si="4"/>
        <v>7289.4577611458626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18002.391211478654</v>
      </c>
      <c r="D46" s="721">
        <f t="shared" ref="D46:Q46" ca="1" si="5">SUM(D39:D45)</f>
        <v>5.2593357306567627</v>
      </c>
      <c r="E46" s="721">
        <f t="shared" ca="1" si="5"/>
        <v>39501.067410547985</v>
      </c>
      <c r="F46" s="721">
        <f t="shared" si="5"/>
        <v>2219.5661633352547</v>
      </c>
      <c r="G46" s="721">
        <f t="shared" ca="1" si="5"/>
        <v>2618.8292356591173</v>
      </c>
      <c r="H46" s="721">
        <f t="shared" si="5"/>
        <v>0</v>
      </c>
      <c r="I46" s="721">
        <f t="shared" si="5"/>
        <v>0</v>
      </c>
      <c r="J46" s="721">
        <f t="shared" si="5"/>
        <v>0</v>
      </c>
      <c r="K46" s="721">
        <f t="shared" si="5"/>
        <v>5.9578072801976436</v>
      </c>
      <c r="L46" s="721">
        <f t="shared" si="5"/>
        <v>0</v>
      </c>
      <c r="M46" s="721">
        <f t="shared" ca="1" si="5"/>
        <v>0</v>
      </c>
      <c r="N46" s="721">
        <f t="shared" si="5"/>
        <v>0</v>
      </c>
      <c r="O46" s="721">
        <f t="shared" ca="1" si="5"/>
        <v>0</v>
      </c>
      <c r="P46" s="721">
        <f t="shared" si="5"/>
        <v>0</v>
      </c>
      <c r="Q46" s="721">
        <f t="shared" si="5"/>
        <v>0</v>
      </c>
      <c r="R46" s="721">
        <f ca="1">SUM(R39:R45)</f>
        <v>62353.071164031862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926.11475944434483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926.11475944434483</v>
      </c>
    </row>
    <row r="50" spans="1:18">
      <c r="A50" s="817" t="s">
        <v>306</v>
      </c>
      <c r="B50" s="827"/>
      <c r="C50" s="692">
        <f ca="1">transport!B18</f>
        <v>2.0223460975707921</v>
      </c>
      <c r="D50" s="692">
        <f>transport!C18</f>
        <v>0</v>
      </c>
      <c r="E50" s="692">
        <f>transport!D18</f>
        <v>4.0952894225154095</v>
      </c>
      <c r="F50" s="692">
        <f>transport!E18</f>
        <v>186.25876688790206</v>
      </c>
      <c r="G50" s="692">
        <f>transport!F18</f>
        <v>0</v>
      </c>
      <c r="H50" s="692">
        <f>transport!G18</f>
        <v>82125.515248862226</v>
      </c>
      <c r="I50" s="692">
        <f>transport!H18</f>
        <v>9505.0128074795339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91822.904458749748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2.0223460975707921</v>
      </c>
      <c r="D52" s="721">
        <f t="shared" ref="D52:Q52" ca="1" si="6">SUM(D48:D51)</f>
        <v>0</v>
      </c>
      <c r="E52" s="721">
        <f t="shared" si="6"/>
        <v>4.0952894225154095</v>
      </c>
      <c r="F52" s="721">
        <f t="shared" si="6"/>
        <v>186.25876688790206</v>
      </c>
      <c r="G52" s="721">
        <f t="shared" si="6"/>
        <v>0</v>
      </c>
      <c r="H52" s="721">
        <f t="shared" si="6"/>
        <v>83051.630008306573</v>
      </c>
      <c r="I52" s="721">
        <f t="shared" si="6"/>
        <v>9505.0128074795339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92749.019218194095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716.68599994995793</v>
      </c>
      <c r="D54" s="692">
        <f ca="1">+landbouw!C12</f>
        <v>1785.7698806607134</v>
      </c>
      <c r="E54" s="692">
        <f>+landbouw!D12</f>
        <v>0</v>
      </c>
      <c r="F54" s="692">
        <f>+landbouw!E12</f>
        <v>13.377963435885997</v>
      </c>
      <c r="G54" s="692">
        <f>+landbouw!F12</f>
        <v>4308.3511372675939</v>
      </c>
      <c r="H54" s="692">
        <f>+landbouw!G12</f>
        <v>0</v>
      </c>
      <c r="I54" s="692">
        <f>+landbouw!H12</f>
        <v>0</v>
      </c>
      <c r="J54" s="692">
        <f>+landbouw!I12</f>
        <v>0</v>
      </c>
      <c r="K54" s="692">
        <f>+landbouw!J12</f>
        <v>248.98172586508807</v>
      </c>
      <c r="L54" s="692">
        <f>+landbouw!K12</f>
        <v>0</v>
      </c>
      <c r="M54" s="692">
        <f>+landbouw!L12</f>
        <v>0</v>
      </c>
      <c r="N54" s="692">
        <f>+landbouw!M12</f>
        <v>0</v>
      </c>
      <c r="O54" s="692">
        <f>+landbouw!N12</f>
        <v>0</v>
      </c>
      <c r="P54" s="692">
        <f>+landbouw!O12</f>
        <v>0</v>
      </c>
      <c r="Q54" s="693">
        <f>+landbouw!P12</f>
        <v>0</v>
      </c>
      <c r="R54" s="720">
        <f ca="1">SUM(C54:Q54)</f>
        <v>7073.1667071792399</v>
      </c>
    </row>
    <row r="55" spans="1:18" ht="15" thickBot="1">
      <c r="A55" s="817" t="s">
        <v>856</v>
      </c>
      <c r="B55" s="827"/>
      <c r="C55" s="692">
        <f ca="1">C25*'EF ele_warmte'!B12</f>
        <v>208.91499350167246</v>
      </c>
      <c r="D55" s="692"/>
      <c r="E55" s="692">
        <f>E25*EF_CO2_aardgas</f>
        <v>728.92312253841033</v>
      </c>
      <c r="F55" s="692"/>
      <c r="G55" s="692"/>
      <c r="H55" s="692"/>
      <c r="I55" s="692"/>
      <c r="J55" s="692"/>
      <c r="K55" s="692"/>
      <c r="L55" s="692"/>
      <c r="M55" s="692"/>
      <c r="N55" s="692"/>
      <c r="O55" s="692"/>
      <c r="P55" s="692"/>
      <c r="Q55" s="693"/>
      <c r="R55" s="720">
        <f ca="1">SUM(C55:Q55)</f>
        <v>937.83811604008281</v>
      </c>
    </row>
    <row r="56" spans="1:18" ht="15.75" thickBot="1">
      <c r="A56" s="815" t="s">
        <v>857</v>
      </c>
      <c r="B56" s="828"/>
      <c r="C56" s="721">
        <f ca="1">SUM(C54:C55)</f>
        <v>925.60099345163042</v>
      </c>
      <c r="D56" s="721">
        <f t="shared" ref="D56:Q56" ca="1" si="7">SUM(D54:D55)</f>
        <v>1785.7698806607134</v>
      </c>
      <c r="E56" s="721">
        <f t="shared" si="7"/>
        <v>728.92312253841033</v>
      </c>
      <c r="F56" s="721">
        <f t="shared" si="7"/>
        <v>13.377963435885997</v>
      </c>
      <c r="G56" s="721">
        <f t="shared" si="7"/>
        <v>4308.3511372675939</v>
      </c>
      <c r="H56" s="721">
        <f t="shared" si="7"/>
        <v>0</v>
      </c>
      <c r="I56" s="721">
        <f t="shared" si="7"/>
        <v>0</v>
      </c>
      <c r="J56" s="721">
        <f t="shared" si="7"/>
        <v>0</v>
      </c>
      <c r="K56" s="721">
        <f t="shared" si="7"/>
        <v>248.98172586508807</v>
      </c>
      <c r="L56" s="721">
        <f t="shared" si="7"/>
        <v>0</v>
      </c>
      <c r="M56" s="721">
        <f t="shared" si="7"/>
        <v>0</v>
      </c>
      <c r="N56" s="721">
        <f t="shared" si="7"/>
        <v>0</v>
      </c>
      <c r="O56" s="721">
        <f t="shared" si="7"/>
        <v>0</v>
      </c>
      <c r="P56" s="721">
        <f t="shared" si="7"/>
        <v>0</v>
      </c>
      <c r="Q56" s="722">
        <f t="shared" si="7"/>
        <v>0</v>
      </c>
      <c r="R56" s="723">
        <f ca="1">SUM(R54:R55)</f>
        <v>8011.004823219323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18930.014551027856</v>
      </c>
      <c r="D61" s="729">
        <f t="shared" ref="D61:Q61" ca="1" si="8">D46+D52+D56</f>
        <v>1791.0292163913703</v>
      </c>
      <c r="E61" s="729">
        <f t="shared" ca="1" si="8"/>
        <v>40234.08582250891</v>
      </c>
      <c r="F61" s="729">
        <f t="shared" si="8"/>
        <v>2419.2028936590427</v>
      </c>
      <c r="G61" s="729">
        <f t="shared" ca="1" si="8"/>
        <v>6927.1803729267112</v>
      </c>
      <c r="H61" s="729">
        <f t="shared" si="8"/>
        <v>83051.630008306573</v>
      </c>
      <c r="I61" s="729">
        <f t="shared" si="8"/>
        <v>9505.0128074795339</v>
      </c>
      <c r="J61" s="729">
        <f t="shared" si="8"/>
        <v>0</v>
      </c>
      <c r="K61" s="729">
        <f t="shared" si="8"/>
        <v>254.93953314528571</v>
      </c>
      <c r="L61" s="729">
        <f t="shared" si="8"/>
        <v>0</v>
      </c>
      <c r="M61" s="729">
        <f t="shared" ca="1" si="8"/>
        <v>0</v>
      </c>
      <c r="N61" s="729">
        <f t="shared" si="8"/>
        <v>0</v>
      </c>
      <c r="O61" s="729">
        <f t="shared" ca="1" si="8"/>
        <v>0</v>
      </c>
      <c r="P61" s="729">
        <f t="shared" si="8"/>
        <v>0</v>
      </c>
      <c r="Q61" s="729">
        <f t="shared" si="8"/>
        <v>0</v>
      </c>
      <c r="R61" s="729">
        <f ca="1">R46+R52+R56</f>
        <v>163113.09520544528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0.15324267339200112</v>
      </c>
      <c r="D63" s="772">
        <f t="shared" ca="1" si="9"/>
        <v>0.23374825469585611</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11040.927320000001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10221.2973516944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87.202245115055121</v>
      </c>
      <c r="C76" s="739">
        <f>'lokale energieproductie'!B8*IFERROR(SUM(D76:H76)/SUM(D76:O76),0)</f>
        <v>5265.0977548849442</v>
      </c>
      <c r="D76" s="1008">
        <f>'lokale energieproductie'!C8</f>
        <v>6193.5187307357937</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102.57905239864061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1251.0907836086303</v>
      </c>
      <c r="R76" s="844">
        <v>0</v>
      </c>
    </row>
    <row r="77" spans="1:18" ht="30.75" thickBot="1">
      <c r="A77" s="742" t="s">
        <v>352</v>
      </c>
      <c r="B77" s="739">
        <f>'lokale energieproductie'!B9*IFERROR(SUM(I77:O77)/SUM(D77:O77),0)</f>
        <v>16920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48342.857142857152</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38269.426916809454</v>
      </c>
      <c r="C78" s="744">
        <f>SUM(C72:C77)</f>
        <v>5265.0977548849442</v>
      </c>
      <c r="D78" s="745">
        <f t="shared" ref="D78:H78" si="10">SUM(D76:D77)</f>
        <v>6193.5187307357937</v>
      </c>
      <c r="E78" s="745">
        <f t="shared" si="10"/>
        <v>0</v>
      </c>
      <c r="F78" s="745">
        <f t="shared" si="10"/>
        <v>0</v>
      </c>
      <c r="G78" s="745">
        <f t="shared" si="10"/>
        <v>0</v>
      </c>
      <c r="H78" s="745">
        <f t="shared" si="10"/>
        <v>0</v>
      </c>
      <c r="I78" s="745">
        <f>SUM(I76:I77)</f>
        <v>0</v>
      </c>
      <c r="J78" s="745">
        <f>SUM(J76:J77)</f>
        <v>48445.436195255796</v>
      </c>
      <c r="K78" s="745">
        <f t="shared" ref="K78:L78" si="11">SUM(K76:K77)</f>
        <v>0</v>
      </c>
      <c r="L78" s="745">
        <f t="shared" si="11"/>
        <v>0</v>
      </c>
      <c r="M78" s="745">
        <f>SUM(M76:M77)</f>
        <v>0</v>
      </c>
      <c r="N78" s="745">
        <f>SUM(N76:N77)</f>
        <v>0</v>
      </c>
      <c r="O78" s="852">
        <f>SUM(O76:O77)</f>
        <v>0</v>
      </c>
      <c r="P78" s="746">
        <v>0</v>
      </c>
      <c r="Q78" s="746">
        <f>SUM(Q76:Q77)</f>
        <v>1251.0907836086303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124.83647932046674</v>
      </c>
      <c r="C87" s="755">
        <f>'lokale energieproductie'!B17*IFERROR(SUM(D87:H87)/SUM(D87:O87),0)</f>
        <v>7537.3778063938189</v>
      </c>
      <c r="D87" s="766">
        <f>'lokale energieproductie'!C17</f>
        <v>8866.4812692642081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146.84951902993078</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1791.0292163913703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124.83647932046674</v>
      </c>
      <c r="C90" s="744">
        <f>SUM(C87:C89)</f>
        <v>7537.3778063938189</v>
      </c>
      <c r="D90" s="744">
        <f t="shared" ref="D90:H90" si="12">SUM(D87:D89)</f>
        <v>8866.4812692642081</v>
      </c>
      <c r="E90" s="744">
        <f t="shared" si="12"/>
        <v>0</v>
      </c>
      <c r="F90" s="744">
        <f t="shared" si="12"/>
        <v>0</v>
      </c>
      <c r="G90" s="744">
        <f t="shared" si="12"/>
        <v>0</v>
      </c>
      <c r="H90" s="744">
        <f t="shared" si="12"/>
        <v>0</v>
      </c>
      <c r="I90" s="744">
        <f>SUM(I87:I89)</f>
        <v>0</v>
      </c>
      <c r="J90" s="744">
        <f>SUM(J87:J89)</f>
        <v>146.84951902993078</v>
      </c>
      <c r="K90" s="744">
        <f t="shared" ref="K90:L90" si="13">SUM(K87:K89)</f>
        <v>0</v>
      </c>
      <c r="L90" s="744">
        <f t="shared" si="13"/>
        <v>0</v>
      </c>
      <c r="M90" s="744">
        <f>SUM(M87:M89)</f>
        <v>0</v>
      </c>
      <c r="N90" s="744">
        <f>SUM(N87:N89)</f>
        <v>0</v>
      </c>
      <c r="O90" s="744">
        <f>SUM(O87:O89)</f>
        <v>0</v>
      </c>
      <c r="P90" s="744">
        <v>0</v>
      </c>
      <c r="Q90" s="744">
        <f>SUM(Q87:Q89)</f>
        <v>1791.0292163913703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11040.927320000001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10221.2973516944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5352.2999999999993</v>
      </c>
      <c r="C8" s="556">
        <f>B53</f>
        <v>6193.5187307357937</v>
      </c>
      <c r="D8" s="1015"/>
      <c r="E8" s="1015">
        <f>E53</f>
        <v>0</v>
      </c>
      <c r="F8" s="1016"/>
      <c r="G8" s="557"/>
      <c r="H8" s="1015">
        <f>I53</f>
        <v>0</v>
      </c>
      <c r="I8" s="1015">
        <f>G53+F53</f>
        <v>0</v>
      </c>
      <c r="J8" s="1015">
        <f>H53+D53+C53</f>
        <v>102.57905239864061</v>
      </c>
      <c r="K8" s="1015"/>
      <c r="L8" s="1015"/>
      <c r="M8" s="1015"/>
      <c r="N8" s="558"/>
      <c r="O8" s="559">
        <f>C8*$C$12+D8*$D$12+E8*$E$12+F8*$F$12+G8*$G$12+H8*$H$12+I8*$I$12+J8*$J$12</f>
        <v>1251.0907836086303</v>
      </c>
      <c r="P8" s="1254"/>
      <c r="Q8" s="1255"/>
      <c r="S8" s="1027"/>
      <c r="T8" s="1275"/>
      <c r="U8" s="1275"/>
    </row>
    <row r="9" spans="1:21" s="544" customFormat="1" ht="17.45" customHeight="1" thickBot="1">
      <c r="A9" s="560" t="s">
        <v>247</v>
      </c>
      <c r="B9" s="561">
        <f>N41+'Eigen informatie GS &amp; warmtenet'!B12</f>
        <v>16920</v>
      </c>
      <c r="C9" s="562">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43534.524671694395</v>
      </c>
      <c r="C10" s="569">
        <f t="shared" ref="C10:L10" si="0">SUM(C8:C9)</f>
        <v>6193.5187307357937</v>
      </c>
      <c r="D10" s="569">
        <f t="shared" si="0"/>
        <v>0</v>
      </c>
      <c r="E10" s="569">
        <f t="shared" si="0"/>
        <v>0</v>
      </c>
      <c r="F10" s="569">
        <f t="shared" si="0"/>
        <v>0</v>
      </c>
      <c r="G10" s="569">
        <f t="shared" si="0"/>
        <v>0</v>
      </c>
      <c r="H10" s="569">
        <f t="shared" si="0"/>
        <v>0</v>
      </c>
      <c r="I10" s="569">
        <f t="shared" si="0"/>
        <v>0</v>
      </c>
      <c r="J10" s="569">
        <f t="shared" si="0"/>
        <v>48445.436195255796</v>
      </c>
      <c r="K10" s="569">
        <f t="shared" si="0"/>
        <v>0</v>
      </c>
      <c r="L10" s="569">
        <f t="shared" si="0"/>
        <v>0</v>
      </c>
      <c r="M10" s="1018"/>
      <c r="N10" s="1018"/>
      <c r="O10" s="570">
        <f>SUM(O4:O9)</f>
        <v>1251.0907836086303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7662.2142857142862</v>
      </c>
      <c r="C17" s="581">
        <f>B54</f>
        <v>8866.4812692642081</v>
      </c>
      <c r="D17" s="582"/>
      <c r="E17" s="582">
        <f>E54</f>
        <v>0</v>
      </c>
      <c r="F17" s="1021"/>
      <c r="G17" s="583"/>
      <c r="H17" s="581">
        <f>I54</f>
        <v>0</v>
      </c>
      <c r="I17" s="582">
        <f>G54+F54</f>
        <v>0</v>
      </c>
      <c r="J17" s="582">
        <f>H54+D54+C54</f>
        <v>146.84951902993078</v>
      </c>
      <c r="K17" s="582"/>
      <c r="L17" s="582"/>
      <c r="M17" s="582"/>
      <c r="N17" s="1022"/>
      <c r="O17" s="584">
        <f>C17*$C$22+E17*$E$22+H17*$H$22+I17*$I$22+J17*$J$22+D17*$D$22+F17*$F$22+G17*$G$22+K17*$K$22+L17*$L$22</f>
        <v>1791.0292163913703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7662.2142857142862</v>
      </c>
      <c r="C20" s="568">
        <f>SUM(C17:C19)</f>
        <v>8866.4812692642081</v>
      </c>
      <c r="D20" s="568">
        <f t="shared" ref="D20:L20" si="1">SUM(D17:D19)</f>
        <v>0</v>
      </c>
      <c r="E20" s="568">
        <f t="shared" si="1"/>
        <v>0</v>
      </c>
      <c r="F20" s="568">
        <f t="shared" si="1"/>
        <v>0</v>
      </c>
      <c r="G20" s="568">
        <f t="shared" si="1"/>
        <v>0</v>
      </c>
      <c r="H20" s="568">
        <f t="shared" si="1"/>
        <v>0</v>
      </c>
      <c r="I20" s="568">
        <f t="shared" si="1"/>
        <v>0</v>
      </c>
      <c r="J20" s="568">
        <f t="shared" si="1"/>
        <v>146.84951902993078</v>
      </c>
      <c r="K20" s="568">
        <f t="shared" si="1"/>
        <v>0</v>
      </c>
      <c r="L20" s="568">
        <f t="shared" si="1"/>
        <v>0</v>
      </c>
      <c r="M20" s="568"/>
      <c r="N20" s="568"/>
      <c r="O20" s="588">
        <f>SUM(O17:O19)</f>
        <v>1791.0292163913703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11009</v>
      </c>
      <c r="C28" s="787">
        <v>2960</v>
      </c>
      <c r="D28" s="640" t="s">
        <v>920</v>
      </c>
      <c r="E28" s="639" t="s">
        <v>921</v>
      </c>
      <c r="F28" s="639" t="s">
        <v>922</v>
      </c>
      <c r="G28" s="639" t="s">
        <v>923</v>
      </c>
      <c r="H28" s="639" t="s">
        <v>924</v>
      </c>
      <c r="I28" s="639" t="s">
        <v>921</v>
      </c>
      <c r="J28" s="786">
        <v>39737</v>
      </c>
      <c r="K28" s="786">
        <v>39737</v>
      </c>
      <c r="L28" s="639" t="s">
        <v>925</v>
      </c>
      <c r="M28" s="639">
        <v>1169</v>
      </c>
      <c r="N28" s="639">
        <v>5260.5</v>
      </c>
      <c r="O28" s="639">
        <v>7515</v>
      </c>
      <c r="P28" s="639">
        <v>15030.000000000002</v>
      </c>
      <c r="Q28" s="639">
        <v>0</v>
      </c>
      <c r="R28" s="639">
        <v>0</v>
      </c>
      <c r="S28" s="639">
        <v>0</v>
      </c>
      <c r="T28" s="639">
        <v>0</v>
      </c>
      <c r="U28" s="639">
        <v>0</v>
      </c>
      <c r="V28" s="639">
        <v>0</v>
      </c>
      <c r="W28" s="639">
        <v>0</v>
      </c>
      <c r="X28" s="639">
        <v>10</v>
      </c>
      <c r="Y28" s="639" t="s">
        <v>111</v>
      </c>
      <c r="Z28" s="641" t="s">
        <v>111</v>
      </c>
    </row>
    <row r="29" spans="1:26" s="593" customFormat="1" ht="63.75">
      <c r="A29" s="592"/>
      <c r="B29" s="787">
        <v>11009</v>
      </c>
      <c r="C29" s="787">
        <v>2960</v>
      </c>
      <c r="D29" s="640" t="s">
        <v>926</v>
      </c>
      <c r="E29" s="639" t="s">
        <v>927</v>
      </c>
      <c r="F29" s="639" t="s">
        <v>928</v>
      </c>
      <c r="G29" s="639" t="s">
        <v>929</v>
      </c>
      <c r="H29" s="639" t="s">
        <v>929</v>
      </c>
      <c r="I29" s="639" t="s">
        <v>927</v>
      </c>
      <c r="J29" s="786">
        <v>40775</v>
      </c>
      <c r="K29" s="786">
        <v>40817</v>
      </c>
      <c r="L29" s="639" t="s">
        <v>925</v>
      </c>
      <c r="M29" s="639">
        <v>1</v>
      </c>
      <c r="N29" s="639">
        <v>4.5</v>
      </c>
      <c r="O29" s="639">
        <v>22.5</v>
      </c>
      <c r="P29" s="639">
        <v>30</v>
      </c>
      <c r="Q29" s="639">
        <v>0</v>
      </c>
      <c r="R29" s="639">
        <v>0</v>
      </c>
      <c r="S29" s="639">
        <v>0</v>
      </c>
      <c r="T29" s="639">
        <v>0</v>
      </c>
      <c r="U29" s="639">
        <v>0</v>
      </c>
      <c r="V29" s="639">
        <v>0</v>
      </c>
      <c r="W29" s="639">
        <v>0</v>
      </c>
      <c r="X29" s="639">
        <v>1600</v>
      </c>
      <c r="Y29" s="639" t="s">
        <v>49</v>
      </c>
      <c r="Z29" s="641" t="s">
        <v>155</v>
      </c>
    </row>
    <row r="30" spans="1:26" s="593" customFormat="1" ht="25.5">
      <c r="A30" s="592"/>
      <c r="B30" s="787">
        <v>11009</v>
      </c>
      <c r="C30" s="787">
        <v>2960</v>
      </c>
      <c r="D30" s="640" t="s">
        <v>930</v>
      </c>
      <c r="E30" s="639" t="s">
        <v>931</v>
      </c>
      <c r="F30" s="639" t="s">
        <v>932</v>
      </c>
      <c r="G30" s="639" t="s">
        <v>923</v>
      </c>
      <c r="H30" s="639" t="s">
        <v>924</v>
      </c>
      <c r="I30" s="639" t="s">
        <v>933</v>
      </c>
      <c r="J30" s="786">
        <v>41086</v>
      </c>
      <c r="K30" s="786">
        <v>41244</v>
      </c>
      <c r="L30" s="639" t="s">
        <v>925</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93" customFormat="1" ht="25.5">
      <c r="A31" s="592"/>
      <c r="B31" s="787">
        <v>11009</v>
      </c>
      <c r="C31" s="787">
        <v>2960</v>
      </c>
      <c r="D31" s="640" t="s">
        <v>934</v>
      </c>
      <c r="E31" s="639" t="s">
        <v>935</v>
      </c>
      <c r="F31" s="639" t="s">
        <v>936</v>
      </c>
      <c r="G31" s="639" t="s">
        <v>923</v>
      </c>
      <c r="H31" s="639" t="s">
        <v>924</v>
      </c>
      <c r="I31" s="639" t="s">
        <v>935</v>
      </c>
      <c r="J31" s="786">
        <v>41086</v>
      </c>
      <c r="K31" s="786">
        <v>41214</v>
      </c>
      <c r="L31" s="639" t="s">
        <v>925</v>
      </c>
      <c r="M31" s="639">
        <v>9.6999999999999993</v>
      </c>
      <c r="N31" s="639">
        <v>43.649999999999991</v>
      </c>
      <c r="O31" s="639">
        <v>62.357142857142847</v>
      </c>
      <c r="P31" s="639">
        <v>0</v>
      </c>
      <c r="Q31" s="639">
        <v>124.71428571428569</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1189.4000000000001</v>
      </c>
      <c r="N32" s="597">
        <f>SUM(N28:N31)</f>
        <v>5352.2999999999993</v>
      </c>
      <c r="O32" s="597">
        <f>SUM(O28:O31)</f>
        <v>7662.2142857142862</v>
      </c>
      <c r="P32" s="597">
        <f>SUM(P28:P31)</f>
        <v>15060.000000000002</v>
      </c>
      <c r="Q32" s="597">
        <f>SUM(Q28:Q31)</f>
        <v>249.42857142857139</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1</v>
      </c>
      <c r="N34" s="597">
        <f ca="1">SUMIF($Z$28:AD31,"tertiair",N28:N31)</f>
        <v>4.5</v>
      </c>
      <c r="O34" s="597">
        <f ca="1">SUMIF($Z$28:AE31,"tertiair",O28:O31)</f>
        <v>22.5</v>
      </c>
      <c r="P34" s="597">
        <f ca="1">SUMIF($Z$28:AF31,"tertiair",P28:P31)</f>
        <v>30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1188.4000000000001</v>
      </c>
      <c r="N35" s="602">
        <f>SUMIF($Z$28:$Z$31,"landbouw",N28:N31)</f>
        <v>5347.7999999999993</v>
      </c>
      <c r="O35" s="602">
        <f>SUMIF($Z$28:$Z$31,"landbouw",O28:O31)</f>
        <v>7639.7142857142862</v>
      </c>
      <c r="P35" s="602">
        <f>SUMIF($Z$28:$Z$31,"landbouw",P28:P31)</f>
        <v>15030.000000000002</v>
      </c>
      <c r="Q35" s="602">
        <f>SUMIF($Z$28:$Z$31,"landbouw",Q28:Q31)</f>
        <v>249.42857142857139</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63.75">
      <c r="A38" s="594"/>
      <c r="B38" s="787">
        <v>11009</v>
      </c>
      <c r="C38" s="787">
        <v>2960</v>
      </c>
      <c r="D38" s="642" t="s">
        <v>937</v>
      </c>
      <c r="E38" s="642" t="s">
        <v>938</v>
      </c>
      <c r="F38" s="642" t="s">
        <v>939</v>
      </c>
      <c r="G38" s="642" t="s">
        <v>940</v>
      </c>
      <c r="H38" s="642" t="s">
        <v>941</v>
      </c>
      <c r="I38" s="642" t="s">
        <v>942</v>
      </c>
      <c r="J38" s="786">
        <v>40365</v>
      </c>
      <c r="K38" s="786">
        <v>40704</v>
      </c>
      <c r="L38" s="642" t="s">
        <v>943</v>
      </c>
      <c r="M38" s="642">
        <v>2353</v>
      </c>
      <c r="N38" s="642">
        <v>10588.500000000002</v>
      </c>
      <c r="O38" s="642">
        <v>0</v>
      </c>
      <c r="P38" s="642">
        <v>0</v>
      </c>
      <c r="Q38" s="642">
        <v>30252.857142857149</v>
      </c>
      <c r="R38" s="642">
        <v>0</v>
      </c>
      <c r="S38" s="642">
        <v>0</v>
      </c>
      <c r="T38" s="642">
        <v>0</v>
      </c>
      <c r="U38" s="642">
        <v>0</v>
      </c>
      <c r="V38" s="642">
        <v>0</v>
      </c>
      <c r="W38" s="642">
        <v>0</v>
      </c>
      <c r="X38" s="642">
        <v>1600</v>
      </c>
      <c r="Y38" s="642" t="s">
        <v>49</v>
      </c>
      <c r="Z38" s="643" t="s">
        <v>155</v>
      </c>
    </row>
    <row r="39" spans="1:27" s="608" customFormat="1" ht="63.75">
      <c r="A39" s="594"/>
      <c r="B39" s="787">
        <v>11009</v>
      </c>
      <c r="C39" s="787">
        <v>2960</v>
      </c>
      <c r="D39" s="642" t="s">
        <v>944</v>
      </c>
      <c r="E39" s="642" t="s">
        <v>945</v>
      </c>
      <c r="F39" s="642" t="s">
        <v>946</v>
      </c>
      <c r="G39" s="642" t="s">
        <v>947</v>
      </c>
      <c r="H39" s="642" t="s">
        <v>941</v>
      </c>
      <c r="I39" s="642" t="s">
        <v>948</v>
      </c>
      <c r="J39" s="786">
        <v>38117</v>
      </c>
      <c r="K39" s="786">
        <v>38200</v>
      </c>
      <c r="L39" s="642" t="s">
        <v>943</v>
      </c>
      <c r="M39" s="642">
        <v>1095</v>
      </c>
      <c r="N39" s="642">
        <v>4927.5</v>
      </c>
      <c r="O39" s="642">
        <v>0</v>
      </c>
      <c r="P39" s="642">
        <v>0</v>
      </c>
      <c r="Q39" s="642">
        <v>14078.571428571429</v>
      </c>
      <c r="R39" s="642">
        <v>0</v>
      </c>
      <c r="S39" s="642">
        <v>0</v>
      </c>
      <c r="T39" s="642">
        <v>0</v>
      </c>
      <c r="U39" s="642">
        <v>0</v>
      </c>
      <c r="V39" s="642">
        <v>0</v>
      </c>
      <c r="W39" s="642">
        <v>0</v>
      </c>
      <c r="X39" s="642">
        <v>1600</v>
      </c>
      <c r="Y39" s="642" t="s">
        <v>49</v>
      </c>
      <c r="Z39" s="643" t="s">
        <v>155</v>
      </c>
    </row>
    <row r="40" spans="1:27" s="608" customFormat="1" ht="63.75">
      <c r="A40" s="594"/>
      <c r="B40" s="787">
        <v>11009</v>
      </c>
      <c r="C40" s="787">
        <v>2960</v>
      </c>
      <c r="D40" s="642" t="s">
        <v>943</v>
      </c>
      <c r="E40" s="642" t="s">
        <v>949</v>
      </c>
      <c r="F40" s="642" t="s">
        <v>950</v>
      </c>
      <c r="G40" s="642" t="s">
        <v>951</v>
      </c>
      <c r="H40" s="642" t="s">
        <v>941</v>
      </c>
      <c r="I40" s="642" t="s">
        <v>952</v>
      </c>
      <c r="J40" s="786">
        <v>35323</v>
      </c>
      <c r="K40" s="786">
        <v>37653</v>
      </c>
      <c r="L40" s="642" t="s">
        <v>943</v>
      </c>
      <c r="M40" s="642">
        <v>312</v>
      </c>
      <c r="N40" s="642">
        <v>1404</v>
      </c>
      <c r="O40" s="642">
        <v>0</v>
      </c>
      <c r="P40" s="642">
        <v>0</v>
      </c>
      <c r="Q40" s="642">
        <v>0</v>
      </c>
      <c r="R40" s="642">
        <v>4011.4285714285716</v>
      </c>
      <c r="S40" s="642">
        <v>0</v>
      </c>
      <c r="T40" s="642">
        <v>0</v>
      </c>
      <c r="U40" s="642">
        <v>0</v>
      </c>
      <c r="V40" s="642">
        <v>0</v>
      </c>
      <c r="W40" s="642">
        <v>0</v>
      </c>
      <c r="X40" s="642">
        <v>1600</v>
      </c>
      <c r="Y40" s="642" t="s">
        <v>49</v>
      </c>
      <c r="Z40" s="643" t="s">
        <v>155</v>
      </c>
    </row>
    <row r="41" spans="1:27" s="576" customFormat="1">
      <c r="A41" s="595" t="s">
        <v>279</v>
      </c>
      <c r="B41" s="596"/>
      <c r="C41" s="596"/>
      <c r="D41" s="596"/>
      <c r="E41" s="596"/>
      <c r="F41" s="596"/>
      <c r="G41" s="596"/>
      <c r="H41" s="596"/>
      <c r="I41" s="596"/>
      <c r="J41" s="596"/>
      <c r="K41" s="596"/>
      <c r="L41" s="597"/>
      <c r="M41" s="597">
        <f>SUM(M38:M40)</f>
        <v>3760</v>
      </c>
      <c r="N41" s="597">
        <f>SUM(N38:N40)</f>
        <v>16920</v>
      </c>
      <c r="O41" s="597">
        <f>SUM(O38:O40)</f>
        <v>0</v>
      </c>
      <c r="P41" s="597">
        <f>SUM(P38:P40)</f>
        <v>0</v>
      </c>
      <c r="Q41" s="597">
        <f>SUM(Q38:Q40)</f>
        <v>44331.42857142858</v>
      </c>
      <c r="R41" s="597">
        <f>SUM(R38:R40)</f>
        <v>4011.4285714285716</v>
      </c>
      <c r="S41" s="597">
        <f>SUM(S38:S40)</f>
        <v>0</v>
      </c>
      <c r="T41" s="597">
        <f>SUM(T38:T40)</f>
        <v>0</v>
      </c>
      <c r="U41" s="597">
        <f>SUM(U38:U40)</f>
        <v>0</v>
      </c>
      <c r="V41" s="597">
        <f>SUM(V38:V40)</f>
        <v>0</v>
      </c>
      <c r="W41" s="597">
        <f>SUM(W38:W40)</f>
        <v>0</v>
      </c>
      <c r="X41" s="598"/>
      <c r="Y41" s="598"/>
      <c r="Z41" s="599"/>
    </row>
    <row r="42" spans="1:27" s="576" customFormat="1">
      <c r="A42" s="595" t="s">
        <v>286</v>
      </c>
      <c r="B42" s="596"/>
      <c r="C42" s="596"/>
      <c r="D42" s="596"/>
      <c r="E42" s="596"/>
      <c r="F42" s="596"/>
      <c r="G42" s="596"/>
      <c r="H42" s="596"/>
      <c r="I42" s="596"/>
      <c r="J42" s="596"/>
      <c r="K42" s="596"/>
      <c r="L42" s="597"/>
      <c r="M42" s="597">
        <f>SUMIF($Z$38:$Z$40,"industrie",M38:M40)</f>
        <v>0</v>
      </c>
      <c r="N42" s="597">
        <f>SUMIF($Z$38:$Z$40,"industrie",N38:N40)</f>
        <v>0</v>
      </c>
      <c r="O42" s="597">
        <f>SUMIF($Z$38:$Z$40,"industrie",O38:O40)</f>
        <v>0</v>
      </c>
      <c r="P42" s="597">
        <f>SUMIF($Z$38:$Z$40,"industrie",P38:P40)</f>
        <v>0</v>
      </c>
      <c r="Q42" s="597">
        <f>SUMIF($Z$38:$Z$40,"industrie",Q38:Q40)</f>
        <v>0</v>
      </c>
      <c r="R42" s="597">
        <f>SUMIF($Z$38:$Z$40,"industrie",R38:R40)</f>
        <v>0</v>
      </c>
      <c r="S42" s="597">
        <f>SUMIF($Z$38:$Z$40,"industrie",S38:S40)</f>
        <v>0</v>
      </c>
      <c r="T42" s="597">
        <f>SUMIF($Z$38:$Z$40,"industrie",T38:T40)</f>
        <v>0</v>
      </c>
      <c r="U42" s="597">
        <f>SUMIF($Z$38:$Z$40,"industrie",U38:U40)</f>
        <v>0</v>
      </c>
      <c r="V42" s="597">
        <f>SUMIF($Z$38:$Z$40,"industrie",V38:V40)</f>
        <v>0</v>
      </c>
      <c r="W42" s="597">
        <f>SUMIF($Z$38:$Z$40,"industrie",W38:W40)</f>
        <v>0</v>
      </c>
      <c r="X42" s="598"/>
      <c r="Y42" s="598"/>
      <c r="Z42" s="599"/>
    </row>
    <row r="43" spans="1:27" s="576" customFormat="1">
      <c r="A43" s="595" t="s">
        <v>287</v>
      </c>
      <c r="B43" s="596"/>
      <c r="C43" s="596"/>
      <c r="D43" s="596"/>
      <c r="E43" s="596"/>
      <c r="F43" s="596"/>
      <c r="G43" s="596"/>
      <c r="H43" s="596"/>
      <c r="I43" s="596"/>
      <c r="J43" s="596"/>
      <c r="K43" s="596"/>
      <c r="L43" s="597"/>
      <c r="M43" s="597">
        <f>SUMIF($Z$38:$Z$41,"tertiair",M38:M41)</f>
        <v>3760</v>
      </c>
      <c r="N43" s="597">
        <f>SUMIF($Z$38:$Z$41,"tertiair",N38:N41)</f>
        <v>16920</v>
      </c>
      <c r="O43" s="597">
        <f>SUMIF($Z$38:$Z$41,"tertiair",O38:O41)</f>
        <v>0</v>
      </c>
      <c r="P43" s="597">
        <f>SUMIF($Z$38:$Z$41,"tertiair",P38:P41)</f>
        <v>0</v>
      </c>
      <c r="Q43" s="597">
        <f>SUMIF($Z$38:$Z$41,"tertiair",Q38:Q41)</f>
        <v>44331.42857142858</v>
      </c>
      <c r="R43" s="597">
        <f>SUMIF($Z$38:$Z$41,"tertiair",R38:R41)</f>
        <v>4011.4285714285716</v>
      </c>
      <c r="S43" s="597">
        <f>SUMIF($Z$38:$Z$41,"tertiair",S38:S41)</f>
        <v>0</v>
      </c>
      <c r="T43" s="597">
        <f>SUMIF($Z$38:$Z$41,"tertiair",T38:T41)</f>
        <v>0</v>
      </c>
      <c r="U43" s="597">
        <f>SUMIF($Z$38:$Z$41,"tertiair",U38:U41)</f>
        <v>0</v>
      </c>
      <c r="V43" s="597">
        <f>SUMIF($Z$38:$Z$41,"tertiair",V38:V41)</f>
        <v>0</v>
      </c>
      <c r="W43" s="597">
        <f>SUMIF($Z$38:$Z$41,"tertiair",W38:W41)</f>
        <v>0</v>
      </c>
      <c r="X43" s="598"/>
      <c r="Y43" s="598"/>
      <c r="Z43" s="599"/>
    </row>
    <row r="44" spans="1:27" s="576" customFormat="1" ht="15.75" thickBot="1">
      <c r="A44" s="600" t="s">
        <v>288</v>
      </c>
      <c r="B44" s="601"/>
      <c r="C44" s="601"/>
      <c r="D44" s="601"/>
      <c r="E44" s="601"/>
      <c r="F44" s="601"/>
      <c r="G44" s="601"/>
      <c r="H44" s="601"/>
      <c r="I44" s="601"/>
      <c r="J44" s="601"/>
      <c r="K44" s="601"/>
      <c r="L44" s="602"/>
      <c r="M44" s="602">
        <f>SUMIF($Z$38:$Z$42,"landbouw",M38:M42)</f>
        <v>0</v>
      </c>
      <c r="N44" s="602">
        <f>SUMIF($Z$38:$Z$42,"landbouw",N38:N42)</f>
        <v>0</v>
      </c>
      <c r="O44" s="602">
        <f>SUMIF($Z$38:$Z$42,"landbouw",O38:O42)</f>
        <v>0</v>
      </c>
      <c r="P44" s="602">
        <f>SUMIF($Z$38:$Z$42,"landbouw",P38:P42)</f>
        <v>0</v>
      </c>
      <c r="Q44" s="602">
        <f>SUMIF($Z$38:$Z$42,"landbouw",Q38:Q42)</f>
        <v>0</v>
      </c>
      <c r="R44" s="602">
        <f>SUMIF($Z$38:$Z$42,"landbouw",R38:R42)</f>
        <v>0</v>
      </c>
      <c r="S44" s="602">
        <f>SUMIF($Z$38:$Z$42,"landbouw",S38:S42)</f>
        <v>0</v>
      </c>
      <c r="T44" s="602">
        <f>SUMIF($Z$38:$Z$42,"landbouw",T38:T42)</f>
        <v>0</v>
      </c>
      <c r="U44" s="602">
        <f>SUMIF($Z$38:$Z$42,"landbouw",U38:U42)</f>
        <v>0</v>
      </c>
      <c r="V44" s="602">
        <f>SUMIF($Z$38:$Z$42,"landbouw",V38:V42)</f>
        <v>0</v>
      </c>
      <c r="W44" s="602">
        <f>SUMIF($Z$38:$Z$42,"landbouw",W38:W42)</f>
        <v>0</v>
      </c>
      <c r="X44" s="603"/>
      <c r="Y44" s="603"/>
      <c r="Z44" s="604"/>
    </row>
    <row r="45" spans="1:27" s="609" customForma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row>
    <row r="46" spans="1:27" s="609" customFormat="1" ht="15.75" thickBo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row>
    <row r="47" spans="1:27">
      <c r="A47" s="610" t="s">
        <v>281</v>
      </c>
      <c r="B47" s="611"/>
      <c r="C47" s="611"/>
      <c r="D47" s="611"/>
      <c r="E47" s="611"/>
      <c r="F47" s="611"/>
      <c r="G47" s="611"/>
      <c r="H47" s="611"/>
      <c r="I47" s="612"/>
      <c r="J47" s="613"/>
      <c r="K47" s="613"/>
      <c r="L47" s="614"/>
      <c r="M47" s="614"/>
      <c r="N47" s="614"/>
      <c r="O47" s="614"/>
      <c r="P47" s="614"/>
    </row>
    <row r="48" spans="1:27">
      <c r="A48" s="616"/>
      <c r="B48" s="606"/>
      <c r="C48" s="606"/>
      <c r="D48" s="606"/>
      <c r="E48" s="606"/>
      <c r="F48" s="606"/>
      <c r="G48" s="606"/>
      <c r="H48" s="606"/>
      <c r="I48" s="617"/>
      <c r="J48" s="606"/>
      <c r="K48" s="606"/>
      <c r="L48" s="614"/>
      <c r="M48" s="614"/>
      <c r="N48" s="614"/>
      <c r="O48" s="614"/>
      <c r="P48" s="614"/>
    </row>
    <row r="49" spans="1:16">
      <c r="A49" s="618"/>
      <c r="B49" s="619" t="s">
        <v>282</v>
      </c>
      <c r="C49" s="619" t="s">
        <v>283</v>
      </c>
      <c r="D49" s="619"/>
      <c r="E49" s="619"/>
      <c r="F49" s="619"/>
      <c r="G49" s="619"/>
      <c r="H49" s="619"/>
      <c r="I49" s="620"/>
      <c r="J49" s="619"/>
      <c r="K49" s="619"/>
      <c r="L49" s="619"/>
      <c r="M49" s="619"/>
      <c r="N49" s="619"/>
      <c r="O49" s="619"/>
      <c r="P49" s="614"/>
    </row>
    <row r="50" spans="1:16">
      <c r="A50" s="616" t="s">
        <v>279</v>
      </c>
      <c r="B50" s="621">
        <f>IF(ISERROR(O32/(O32+N32)),0,O32/(O32+N32))</f>
        <v>0.58874377617956219</v>
      </c>
      <c r="C50" s="622">
        <f>IF(ISERROR(N32/(O32+N32)),0,N32/(N32+O32))</f>
        <v>0.41125622382043781</v>
      </c>
      <c r="D50" s="589"/>
      <c r="E50" s="589"/>
      <c r="F50" s="589"/>
      <c r="G50" s="589"/>
      <c r="H50" s="589"/>
      <c r="I50" s="623"/>
      <c r="J50" s="589"/>
      <c r="K50" s="589"/>
      <c r="L50" s="624"/>
      <c r="M50" s="624"/>
      <c r="N50" s="624"/>
      <c r="O50" s="624"/>
      <c r="P50" s="614"/>
    </row>
    <row r="51" spans="1:16">
      <c r="A51" s="616"/>
      <c r="B51" s="625"/>
      <c r="C51" s="625"/>
      <c r="D51" s="625"/>
      <c r="E51" s="625"/>
      <c r="F51" s="625"/>
      <c r="G51" s="625"/>
      <c r="H51" s="625"/>
      <c r="I51" s="626"/>
      <c r="J51" s="625"/>
      <c r="K51" s="625"/>
      <c r="L51" s="627"/>
      <c r="M51" s="627"/>
      <c r="N51" s="627"/>
      <c r="O51" s="627"/>
      <c r="P51" s="614"/>
    </row>
    <row r="52" spans="1:16" ht="30">
      <c r="A52" s="628"/>
      <c r="B52" s="629" t="s">
        <v>546</v>
      </c>
      <c r="C52" s="629" t="s">
        <v>102</v>
      </c>
      <c r="D52" s="629" t="s">
        <v>103</v>
      </c>
      <c r="E52" s="629" t="s">
        <v>104</v>
      </c>
      <c r="F52" s="629" t="s">
        <v>105</v>
      </c>
      <c r="G52" s="629" t="s">
        <v>106</v>
      </c>
      <c r="H52" s="629" t="s">
        <v>107</v>
      </c>
      <c r="I52" s="630" t="s">
        <v>108</v>
      </c>
      <c r="J52" s="619"/>
      <c r="K52" s="619"/>
      <c r="L52" s="627"/>
      <c r="M52" s="627"/>
      <c r="N52" s="627"/>
      <c r="O52" s="614"/>
      <c r="P52" s="614"/>
    </row>
    <row r="53" spans="1:16">
      <c r="A53" s="618" t="s">
        <v>284</v>
      </c>
      <c r="B53" s="631">
        <f t="shared" ref="B53:I53" si="2">$C$50*P32</f>
        <v>6193.5187307357937</v>
      </c>
      <c r="C53" s="631">
        <f t="shared" si="2"/>
        <v>102.57905239864061</v>
      </c>
      <c r="D53" s="631">
        <f t="shared" si="2"/>
        <v>0</v>
      </c>
      <c r="E53" s="631">
        <f t="shared" si="2"/>
        <v>0</v>
      </c>
      <c r="F53" s="631">
        <f t="shared" si="2"/>
        <v>0</v>
      </c>
      <c r="G53" s="631">
        <f t="shared" si="2"/>
        <v>0</v>
      </c>
      <c r="H53" s="631">
        <f t="shared" si="2"/>
        <v>0</v>
      </c>
      <c r="I53" s="632">
        <f t="shared" si="2"/>
        <v>0</v>
      </c>
      <c r="J53" s="589"/>
      <c r="K53" s="589"/>
      <c r="L53" s="627"/>
      <c r="M53" s="627"/>
      <c r="N53" s="627"/>
      <c r="O53" s="614"/>
      <c r="P53" s="614"/>
    </row>
    <row r="54" spans="1:16" ht="15.75" thickBot="1">
      <c r="A54" s="633" t="s">
        <v>285</v>
      </c>
      <c r="B54" s="634">
        <f t="shared" ref="B54:I54" si="3">$B$50*P32</f>
        <v>8866.4812692642081</v>
      </c>
      <c r="C54" s="634">
        <f t="shared" si="3"/>
        <v>146.84951902993078</v>
      </c>
      <c r="D54" s="634">
        <f t="shared" si="3"/>
        <v>0</v>
      </c>
      <c r="E54" s="634">
        <f t="shared" si="3"/>
        <v>0</v>
      </c>
      <c r="F54" s="634">
        <f t="shared" si="3"/>
        <v>0</v>
      </c>
      <c r="G54" s="634">
        <f t="shared" si="3"/>
        <v>0</v>
      </c>
      <c r="H54" s="634">
        <f t="shared" si="3"/>
        <v>0</v>
      </c>
      <c r="I54" s="635">
        <f t="shared" si="3"/>
        <v>0</v>
      </c>
      <c r="J54" s="589"/>
      <c r="K54" s="589"/>
      <c r="L54" s="627"/>
      <c r="M54" s="627"/>
      <c r="N54" s="627"/>
      <c r="O54" s="614"/>
      <c r="P54" s="614"/>
    </row>
    <row r="55" spans="1:16">
      <c r="J55" s="574"/>
      <c r="K55" s="574"/>
      <c r="L55" s="574"/>
      <c r="M55" s="574"/>
      <c r="N55" s="574"/>
    </row>
    <row r="56" spans="1:16">
      <c r="J56" s="574"/>
      <c r="K56" s="574"/>
      <c r="L56" s="574"/>
      <c r="M56" s="574"/>
      <c r="N56"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63030.98878320901</v>
      </c>
      <c r="C4" s="458">
        <f>huishoudens!C8</f>
        <v>0</v>
      </c>
      <c r="D4" s="458">
        <f>huishoudens!D8</f>
        <v>139534.19425634958</v>
      </c>
      <c r="E4" s="458">
        <f>huishoudens!E8</f>
        <v>8276.4695273201196</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38822.801996337264</v>
      </c>
      <c r="O4" s="458">
        <f>huishoudens!O8</f>
        <v>276.70999999999998</v>
      </c>
      <c r="P4" s="459">
        <f>huishoudens!P8</f>
        <v>1506.2666666666667</v>
      </c>
      <c r="Q4" s="460">
        <f>SUM(B4:P4)</f>
        <v>251447.43122988261</v>
      </c>
    </row>
    <row r="5" spans="1:17">
      <c r="A5" s="457" t="s">
        <v>155</v>
      </c>
      <c r="B5" s="458">
        <f ca="1">tertiair!B16</f>
        <v>43210.688524298595</v>
      </c>
      <c r="C5" s="458">
        <f ca="1">tertiair!C16</f>
        <v>22.5</v>
      </c>
      <c r="D5" s="458">
        <f ca="1">tertiair!D16</f>
        <v>34212.475384815669</v>
      </c>
      <c r="E5" s="458">
        <f>tertiair!E16</f>
        <v>429.59926666497074</v>
      </c>
      <c r="F5" s="458">
        <f ca="1">tertiair!F16</f>
        <v>5384.9125622239808</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9.3800000000000008</v>
      </c>
      <c r="P5" s="459">
        <f>tertiair!P16</f>
        <v>57.2</v>
      </c>
      <c r="Q5" s="457">
        <f t="shared" ref="Q5:Q14" ca="1" si="0">SUM(B5:P5)</f>
        <v>83326.755738003209</v>
      </c>
    </row>
    <row r="6" spans="1:17">
      <c r="A6" s="457" t="s">
        <v>193</v>
      </c>
      <c r="B6" s="458">
        <f>'openbare verlichting'!B8</f>
        <v>1740.5</v>
      </c>
      <c r="C6" s="458"/>
      <c r="D6" s="458"/>
      <c r="E6" s="458"/>
      <c r="F6" s="458"/>
      <c r="G6" s="458"/>
      <c r="H6" s="458"/>
      <c r="I6" s="458"/>
      <c r="J6" s="458"/>
      <c r="K6" s="458"/>
      <c r="L6" s="458"/>
      <c r="M6" s="458"/>
      <c r="N6" s="458"/>
      <c r="O6" s="458"/>
      <c r="P6" s="459"/>
      <c r="Q6" s="457">
        <f t="shared" si="0"/>
        <v>1740.5</v>
      </c>
    </row>
    <row r="7" spans="1:17">
      <c r="A7" s="457" t="s">
        <v>111</v>
      </c>
      <c r="B7" s="458">
        <f>landbouw!B8</f>
        <v>4676.8043397196898</v>
      </c>
      <c r="C7" s="458">
        <f>landbouw!C8</f>
        <v>7639.7142857142862</v>
      </c>
      <c r="D7" s="458">
        <f>landbouw!D8</f>
        <v>0</v>
      </c>
      <c r="E7" s="458">
        <f>landbouw!E8</f>
        <v>58.933759629453732</v>
      </c>
      <c r="F7" s="458">
        <f>landbouw!F8</f>
        <v>16136.146581526569</v>
      </c>
      <c r="G7" s="458">
        <f>landbouw!G8</f>
        <v>0</v>
      </c>
      <c r="H7" s="458">
        <f>landbouw!H8</f>
        <v>0</v>
      </c>
      <c r="I7" s="458">
        <f>landbouw!I8</f>
        <v>0</v>
      </c>
      <c r="J7" s="458">
        <f>landbouw!J8</f>
        <v>703.33820865844086</v>
      </c>
      <c r="K7" s="458">
        <f>landbouw!K8</f>
        <v>0</v>
      </c>
      <c r="L7" s="458">
        <f>landbouw!L8</f>
        <v>0</v>
      </c>
      <c r="M7" s="458">
        <f>landbouw!M8</f>
        <v>0</v>
      </c>
      <c r="N7" s="458">
        <f>landbouw!N8</f>
        <v>0</v>
      </c>
      <c r="O7" s="458">
        <f>landbouw!O8</f>
        <v>0</v>
      </c>
      <c r="P7" s="459">
        <f>landbouw!P8</f>
        <v>0</v>
      </c>
      <c r="Q7" s="457">
        <f t="shared" si="0"/>
        <v>29214.93717524844</v>
      </c>
    </row>
    <row r="8" spans="1:17">
      <c r="A8" s="457" t="s">
        <v>655</v>
      </c>
      <c r="B8" s="458">
        <f>industrie!B18</f>
        <v>9494.1810266216271</v>
      </c>
      <c r="C8" s="458">
        <f>industrie!C18</f>
        <v>0</v>
      </c>
      <c r="D8" s="458">
        <f>industrie!D18</f>
        <v>21803.169024913856</v>
      </c>
      <c r="E8" s="458">
        <f>industrie!E18</f>
        <v>1071.7557140997328</v>
      </c>
      <c r="F8" s="458">
        <f>industrie!F18</f>
        <v>4423.4366350011769</v>
      </c>
      <c r="G8" s="458">
        <f>industrie!G18</f>
        <v>0</v>
      </c>
      <c r="H8" s="458">
        <f>industrie!H18</f>
        <v>0</v>
      </c>
      <c r="I8" s="458">
        <f>industrie!I18</f>
        <v>0</v>
      </c>
      <c r="J8" s="458">
        <f>industrie!J18</f>
        <v>16.829964068354926</v>
      </c>
      <c r="K8" s="458">
        <f>industrie!K18</f>
        <v>0</v>
      </c>
      <c r="L8" s="458">
        <f>industrie!L18</f>
        <v>0</v>
      </c>
      <c r="M8" s="458">
        <f>industrie!M18</f>
        <v>0</v>
      </c>
      <c r="N8" s="458">
        <f>industrie!N18</f>
        <v>546.50730733218779</v>
      </c>
      <c r="O8" s="458">
        <f>industrie!O18</f>
        <v>0</v>
      </c>
      <c r="P8" s="459">
        <f>industrie!P18</f>
        <v>0</v>
      </c>
      <c r="Q8" s="457">
        <f t="shared" si="0"/>
        <v>37355.879672036936</v>
      </c>
    </row>
    <row r="9" spans="1:17" s="463" customFormat="1">
      <c r="A9" s="461" t="s">
        <v>573</v>
      </c>
      <c r="B9" s="462">
        <f>transport!B14</f>
        <v>13.197016554243653</v>
      </c>
      <c r="C9" s="462">
        <f>transport!C14</f>
        <v>0</v>
      </c>
      <c r="D9" s="462">
        <f>transport!D14</f>
        <v>20.273710012452522</v>
      </c>
      <c r="E9" s="462">
        <f>transport!E14</f>
        <v>820.52320214934821</v>
      </c>
      <c r="F9" s="462">
        <f>transport!F14</f>
        <v>0</v>
      </c>
      <c r="G9" s="462">
        <f>transport!G14</f>
        <v>307586.19943394093</v>
      </c>
      <c r="H9" s="462">
        <f>transport!H14</f>
        <v>38172.742198712986</v>
      </c>
      <c r="I9" s="462">
        <f>transport!I14</f>
        <v>0</v>
      </c>
      <c r="J9" s="462">
        <f>transport!J14</f>
        <v>0</v>
      </c>
      <c r="K9" s="462">
        <f>transport!K14</f>
        <v>0</v>
      </c>
      <c r="L9" s="462">
        <f>transport!L14</f>
        <v>0</v>
      </c>
      <c r="M9" s="462">
        <f>transport!M14</f>
        <v>15627.875686873038</v>
      </c>
      <c r="N9" s="462">
        <f>transport!N14</f>
        <v>0</v>
      </c>
      <c r="O9" s="462">
        <f>transport!O14</f>
        <v>0</v>
      </c>
      <c r="P9" s="462">
        <f>transport!P14</f>
        <v>0</v>
      </c>
      <c r="Q9" s="461">
        <f>SUM(B9:P9)</f>
        <v>362240.81124824303</v>
      </c>
    </row>
    <row r="10" spans="1:17">
      <c r="A10" s="457" t="s">
        <v>563</v>
      </c>
      <c r="B10" s="458">
        <f>transport!B54</f>
        <v>0</v>
      </c>
      <c r="C10" s="458">
        <f>transport!C54</f>
        <v>0</v>
      </c>
      <c r="D10" s="458">
        <f>transport!D54</f>
        <v>0</v>
      </c>
      <c r="E10" s="458">
        <f>transport!E54</f>
        <v>0</v>
      </c>
      <c r="F10" s="458">
        <f>transport!F54</f>
        <v>0</v>
      </c>
      <c r="G10" s="458">
        <f>transport!G54</f>
        <v>3468.5946046604672</v>
      </c>
      <c r="H10" s="458">
        <f>transport!H54</f>
        <v>0</v>
      </c>
      <c r="I10" s="458">
        <f>transport!I54</f>
        <v>0</v>
      </c>
      <c r="J10" s="458">
        <f>transport!J54</f>
        <v>0</v>
      </c>
      <c r="K10" s="458">
        <f>transport!K54</f>
        <v>0</v>
      </c>
      <c r="L10" s="458">
        <f>transport!L54</f>
        <v>0</v>
      </c>
      <c r="M10" s="458">
        <f>transport!M54</f>
        <v>154.39001539464337</v>
      </c>
      <c r="N10" s="458">
        <f>transport!N54</f>
        <v>0</v>
      </c>
      <c r="O10" s="458">
        <f>transport!O54</f>
        <v>0</v>
      </c>
      <c r="P10" s="459">
        <f>transport!P54</f>
        <v>0</v>
      </c>
      <c r="Q10" s="457">
        <f t="shared" si="0"/>
        <v>3622.9846200551106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1363.2951506089901</v>
      </c>
      <c r="C14" s="465"/>
      <c r="D14" s="465">
        <f>'SEAP template'!E25</f>
        <v>3608.5303095960903</v>
      </c>
      <c r="E14" s="465"/>
      <c r="F14" s="465"/>
      <c r="G14" s="465"/>
      <c r="H14" s="465"/>
      <c r="I14" s="465"/>
      <c r="J14" s="465"/>
      <c r="K14" s="465"/>
      <c r="L14" s="465"/>
      <c r="M14" s="465"/>
      <c r="N14" s="465"/>
      <c r="O14" s="465"/>
      <c r="P14" s="466"/>
      <c r="Q14" s="457">
        <f t="shared" si="0"/>
        <v>4971.8254602050802</v>
      </c>
    </row>
    <row r="15" spans="1:17" s="470" customFormat="1">
      <c r="A15" s="467" t="s">
        <v>567</v>
      </c>
      <c r="B15" s="468">
        <f ca="1">SUM(B4:B14)</f>
        <v>123529.65484101215</v>
      </c>
      <c r="C15" s="468">
        <f t="shared" ref="C15:Q15" ca="1" si="1">SUM(C4:C14)</f>
        <v>7662.2142857142862</v>
      </c>
      <c r="D15" s="468">
        <f t="shared" ca="1" si="1"/>
        <v>199178.64268568766</v>
      </c>
      <c r="E15" s="468">
        <f t="shared" si="1"/>
        <v>10657.281469863625</v>
      </c>
      <c r="F15" s="468">
        <f t="shared" ca="1" si="1"/>
        <v>25944.495778751727</v>
      </c>
      <c r="G15" s="468">
        <f t="shared" si="1"/>
        <v>311054.79403860139</v>
      </c>
      <c r="H15" s="468">
        <f t="shared" si="1"/>
        <v>38172.742198712986</v>
      </c>
      <c r="I15" s="468">
        <f t="shared" si="1"/>
        <v>0</v>
      </c>
      <c r="J15" s="468">
        <f t="shared" si="1"/>
        <v>720.16817272679577</v>
      </c>
      <c r="K15" s="468">
        <f t="shared" si="1"/>
        <v>0</v>
      </c>
      <c r="L15" s="468">
        <f t="shared" ca="1" si="1"/>
        <v>0</v>
      </c>
      <c r="M15" s="468">
        <f t="shared" si="1"/>
        <v>15782.265702267681</v>
      </c>
      <c r="N15" s="468">
        <f t="shared" ca="1" si="1"/>
        <v>39369.309303669455</v>
      </c>
      <c r="O15" s="468">
        <f t="shared" si="1"/>
        <v>286.08999999999997</v>
      </c>
      <c r="P15" s="468">
        <f t="shared" si="1"/>
        <v>1563.4666666666667</v>
      </c>
      <c r="Q15" s="468">
        <f t="shared" ca="1" si="1"/>
        <v>773921.12514367432</v>
      </c>
    </row>
    <row r="17" spans="1:17">
      <c r="A17" s="471" t="s">
        <v>568</v>
      </c>
      <c r="B17" s="777">
        <f ca="1">huishoudens!B10</f>
        <v>0.15324267339200112</v>
      </c>
      <c r="C17" s="777">
        <f ca="1">huishoudens!C10</f>
        <v>0.23374825469585611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9659.0372276801845</v>
      </c>
      <c r="C22" s="458">
        <f t="shared" ref="C22:C32" ca="1" si="3">C4*$C$17</f>
        <v>0</v>
      </c>
      <c r="D22" s="458">
        <f t="shared" ref="D22:D32" si="4">D4*$D$17</f>
        <v>28185.907239782617</v>
      </c>
      <c r="E22" s="458">
        <f t="shared" ref="E22:E32" si="5">E4*$E$17</f>
        <v>1878.7585827016671</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39723.703050164469</v>
      </c>
    </row>
    <row r="23" spans="1:17">
      <c r="A23" s="457" t="s">
        <v>155</v>
      </c>
      <c r="B23" s="458">
        <f t="shared" ca="1" si="2"/>
        <v>6621.7214285725804</v>
      </c>
      <c r="C23" s="458">
        <f t="shared" ca="1" si="3"/>
        <v>5.2593357306567627</v>
      </c>
      <c r="D23" s="458">
        <f t="shared" ca="1" si="4"/>
        <v>6910.9200277327654</v>
      </c>
      <c r="E23" s="458">
        <f t="shared" si="5"/>
        <v>97.519033532948356</v>
      </c>
      <c r="F23" s="458">
        <f t="shared" ca="1" si="6"/>
        <v>1437.7716541138029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15073.191479682753</v>
      </c>
    </row>
    <row r="24" spans="1:17">
      <c r="A24" s="457" t="s">
        <v>193</v>
      </c>
      <c r="B24" s="458">
        <f t="shared" ca="1" si="2"/>
        <v>266.71887303877793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266.71887303877793</v>
      </c>
    </row>
    <row r="25" spans="1:17">
      <c r="A25" s="457" t="s">
        <v>111</v>
      </c>
      <c r="B25" s="458">
        <f t="shared" ca="1" si="2"/>
        <v>716.68599994995793</v>
      </c>
      <c r="C25" s="458">
        <f t="shared" ca="1" si="3"/>
        <v>1785.7698806607134</v>
      </c>
      <c r="D25" s="458">
        <f t="shared" si="4"/>
        <v>0</v>
      </c>
      <c r="E25" s="458">
        <f t="shared" si="5"/>
        <v>13.377963435885997</v>
      </c>
      <c r="F25" s="458">
        <f t="shared" si="6"/>
        <v>4308.3511372675939</v>
      </c>
      <c r="G25" s="458">
        <f t="shared" si="7"/>
        <v>0</v>
      </c>
      <c r="H25" s="458">
        <f t="shared" si="8"/>
        <v>0</v>
      </c>
      <c r="I25" s="458">
        <f t="shared" si="9"/>
        <v>0</v>
      </c>
      <c r="J25" s="458">
        <f t="shared" si="10"/>
        <v>248.98172586508807</v>
      </c>
      <c r="K25" s="458">
        <f t="shared" si="11"/>
        <v>0</v>
      </c>
      <c r="L25" s="458">
        <f t="shared" si="12"/>
        <v>0</v>
      </c>
      <c r="M25" s="458">
        <f t="shared" si="13"/>
        <v>0</v>
      </c>
      <c r="N25" s="458">
        <f t="shared" si="14"/>
        <v>0</v>
      </c>
      <c r="O25" s="458">
        <f t="shared" si="15"/>
        <v>0</v>
      </c>
      <c r="P25" s="459">
        <f t="shared" si="16"/>
        <v>0</v>
      </c>
      <c r="Q25" s="457">
        <f t="shared" ca="1" si="17"/>
        <v>7073.1667071792399</v>
      </c>
    </row>
    <row r="26" spans="1:17">
      <c r="A26" s="457" t="s">
        <v>655</v>
      </c>
      <c r="B26" s="458">
        <f t="shared" ca="1" si="2"/>
        <v>1454.9136821871118</v>
      </c>
      <c r="C26" s="458">
        <f t="shared" ca="1" si="3"/>
        <v>0</v>
      </c>
      <c r="D26" s="458">
        <f t="shared" si="4"/>
        <v>4404.240143032599</v>
      </c>
      <c r="E26" s="458">
        <f t="shared" si="5"/>
        <v>243.28854710063936</v>
      </c>
      <c r="F26" s="458">
        <f t="shared" si="6"/>
        <v>1181.0575815453144</v>
      </c>
      <c r="G26" s="458">
        <f t="shared" si="7"/>
        <v>0</v>
      </c>
      <c r="H26" s="458">
        <f t="shared" si="8"/>
        <v>0</v>
      </c>
      <c r="I26" s="458">
        <f t="shared" si="9"/>
        <v>0</v>
      </c>
      <c r="J26" s="458">
        <f t="shared" si="10"/>
        <v>5.9578072801976436</v>
      </c>
      <c r="K26" s="458">
        <f t="shared" si="11"/>
        <v>0</v>
      </c>
      <c r="L26" s="458">
        <f t="shared" si="12"/>
        <v>0</v>
      </c>
      <c r="M26" s="458">
        <f t="shared" si="13"/>
        <v>0</v>
      </c>
      <c r="N26" s="458">
        <f t="shared" si="14"/>
        <v>0</v>
      </c>
      <c r="O26" s="458">
        <f t="shared" si="15"/>
        <v>0</v>
      </c>
      <c r="P26" s="459">
        <f t="shared" si="16"/>
        <v>0</v>
      </c>
      <c r="Q26" s="457">
        <f t="shared" ca="1" si="17"/>
        <v>7289.4577611458626</v>
      </c>
    </row>
    <row r="27" spans="1:17" s="463" customFormat="1">
      <c r="A27" s="461" t="s">
        <v>573</v>
      </c>
      <c r="B27" s="771">
        <f t="shared" ca="1" si="2"/>
        <v>2.0223460975707921</v>
      </c>
      <c r="C27" s="462">
        <f t="shared" ca="1" si="3"/>
        <v>0</v>
      </c>
      <c r="D27" s="462">
        <f t="shared" si="4"/>
        <v>4.0952894225154095</v>
      </c>
      <c r="E27" s="462">
        <f t="shared" si="5"/>
        <v>186.25876688790206</v>
      </c>
      <c r="F27" s="462">
        <f t="shared" si="6"/>
        <v>0</v>
      </c>
      <c r="G27" s="462">
        <f t="shared" si="7"/>
        <v>82125.515248862226</v>
      </c>
      <c r="H27" s="462">
        <f t="shared" si="8"/>
        <v>9505.0128074795339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91822.904458749748</v>
      </c>
    </row>
    <row r="28" spans="1:17">
      <c r="A28" s="457" t="s">
        <v>563</v>
      </c>
      <c r="B28" s="458">
        <f t="shared" ca="1" si="2"/>
        <v>0</v>
      </c>
      <c r="C28" s="458">
        <f t="shared" ca="1" si="3"/>
        <v>0</v>
      </c>
      <c r="D28" s="458">
        <f t="shared" si="4"/>
        <v>0</v>
      </c>
      <c r="E28" s="458">
        <f t="shared" si="5"/>
        <v>0</v>
      </c>
      <c r="F28" s="458">
        <f t="shared" si="6"/>
        <v>0</v>
      </c>
      <c r="G28" s="458">
        <f t="shared" si="7"/>
        <v>926.11475944434483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926.11475944434483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208.91499350167246</v>
      </c>
      <c r="C32" s="458">
        <f t="shared" ca="1" si="3"/>
        <v>0</v>
      </c>
      <c r="D32" s="458">
        <f t="shared" si="4"/>
        <v>728.92312253841033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937.83811604008281</v>
      </c>
    </row>
    <row r="33" spans="1:17" s="470" customFormat="1">
      <c r="A33" s="467" t="s">
        <v>567</v>
      </c>
      <c r="B33" s="468">
        <f ca="1">SUM(B22:B32)</f>
        <v>18930.014551027856</v>
      </c>
      <c r="C33" s="468">
        <f t="shared" ref="C33:Q33" ca="1" si="18">SUM(C22:C32)</f>
        <v>1791.0292163913703</v>
      </c>
      <c r="D33" s="468">
        <f t="shared" ca="1" si="18"/>
        <v>40234.08582250891</v>
      </c>
      <c r="E33" s="468">
        <f t="shared" si="18"/>
        <v>2419.2028936590427</v>
      </c>
      <c r="F33" s="468">
        <f t="shared" ca="1" si="18"/>
        <v>6927.1803729267103</v>
      </c>
      <c r="G33" s="468">
        <f t="shared" si="18"/>
        <v>83051.630008306573</v>
      </c>
      <c r="H33" s="468">
        <f t="shared" si="18"/>
        <v>9505.0128074795339</v>
      </c>
      <c r="I33" s="468">
        <f t="shared" si="18"/>
        <v>0</v>
      </c>
      <c r="J33" s="468">
        <f t="shared" si="18"/>
        <v>254.93953314528571</v>
      </c>
      <c r="K33" s="468">
        <f t="shared" si="18"/>
        <v>0</v>
      </c>
      <c r="L33" s="468">
        <f t="shared" ca="1" si="18"/>
        <v>0</v>
      </c>
      <c r="M33" s="468">
        <f t="shared" si="18"/>
        <v>0</v>
      </c>
      <c r="N33" s="468">
        <f t="shared" ca="1" si="18"/>
        <v>0</v>
      </c>
      <c r="O33" s="468">
        <f t="shared" si="18"/>
        <v>0</v>
      </c>
      <c r="P33" s="468">
        <f t="shared" si="18"/>
        <v>0</v>
      </c>
      <c r="Q33" s="468">
        <f t="shared" ca="1" si="18"/>
        <v>163113.09520544528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11040.927320000001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10221.2973516944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87.202245115055121</v>
      </c>
      <c r="C8" s="1034">
        <f>'SEAP template'!C76</f>
        <v>5265.0977548849442</v>
      </c>
      <c r="D8" s="1034">
        <f>'SEAP template'!D76</f>
        <v>6193.5187307357937</v>
      </c>
      <c r="E8" s="1034">
        <f>'SEAP template'!E76</f>
        <v>0</v>
      </c>
      <c r="F8" s="1034">
        <f>'SEAP template'!F76</f>
        <v>0</v>
      </c>
      <c r="G8" s="1034">
        <f>'SEAP template'!G76</f>
        <v>0</v>
      </c>
      <c r="H8" s="1034">
        <f>'SEAP template'!H76</f>
        <v>0</v>
      </c>
      <c r="I8" s="1034">
        <f>'SEAP template'!I76</f>
        <v>0</v>
      </c>
      <c r="J8" s="1034">
        <f>'SEAP template'!J76</f>
        <v>102.57905239864061</v>
      </c>
      <c r="K8" s="1034">
        <f>'SEAP template'!K76</f>
        <v>0</v>
      </c>
      <c r="L8" s="1034">
        <f>'SEAP template'!L76</f>
        <v>0</v>
      </c>
      <c r="M8" s="1034">
        <f>'SEAP template'!M76</f>
        <v>0</v>
      </c>
      <c r="N8" s="1034">
        <f>'SEAP template'!N76</f>
        <v>0</v>
      </c>
      <c r="O8" s="1034">
        <f>'SEAP template'!O76</f>
        <v>0</v>
      </c>
      <c r="P8" s="1035">
        <f>'SEAP template'!Q76</f>
        <v>1251.0907836086303</v>
      </c>
    </row>
    <row r="9" spans="1:16">
      <c r="A9" s="1037" t="s">
        <v>871</v>
      </c>
      <c r="B9" s="1034">
        <f>'SEAP template'!B77</f>
        <v>16920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48342.857142857152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38269.426916809454</v>
      </c>
      <c r="C10" s="1038">
        <f>SUM(C4:C9)</f>
        <v>5265.0977548849442</v>
      </c>
      <c r="D10" s="1038">
        <f t="shared" ref="D10:H10" si="0">SUM(D8:D9)</f>
        <v>6193.5187307357937</v>
      </c>
      <c r="E10" s="1038">
        <f t="shared" si="0"/>
        <v>0</v>
      </c>
      <c r="F10" s="1038">
        <f t="shared" si="0"/>
        <v>0</v>
      </c>
      <c r="G10" s="1038">
        <f t="shared" si="0"/>
        <v>0</v>
      </c>
      <c r="H10" s="1038">
        <f t="shared" si="0"/>
        <v>0</v>
      </c>
      <c r="I10" s="1038">
        <f>SUM(I8:I9)</f>
        <v>0</v>
      </c>
      <c r="J10" s="1038">
        <f>SUM(J8:J9)</f>
        <v>48445.436195255796</v>
      </c>
      <c r="K10" s="1038">
        <f t="shared" ref="K10:L10" si="1">SUM(K8:K9)</f>
        <v>0</v>
      </c>
      <c r="L10" s="1038">
        <f t="shared" si="1"/>
        <v>0</v>
      </c>
      <c r="M10" s="1038">
        <f>SUM(M8:M9)</f>
        <v>0</v>
      </c>
      <c r="N10" s="1038">
        <f>SUM(N8:N9)</f>
        <v>0</v>
      </c>
      <c r="O10" s="1038">
        <f>SUM(O8:O9)</f>
        <v>0</v>
      </c>
      <c r="P10" s="1038">
        <f>SUM(P8:P9)</f>
        <v>1251.0907836086303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0.15324267339200112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124.83647932046674</v>
      </c>
      <c r="C17" s="1040">
        <f>'SEAP template'!C87</f>
        <v>7537.3778063938189</v>
      </c>
      <c r="D17" s="1035">
        <f>'SEAP template'!D87</f>
        <v>8866.4812692642081</v>
      </c>
      <c r="E17" s="1035">
        <f>'SEAP template'!E87</f>
        <v>0</v>
      </c>
      <c r="F17" s="1035">
        <f>'SEAP template'!F87</f>
        <v>0</v>
      </c>
      <c r="G17" s="1035">
        <f>'SEAP template'!G87</f>
        <v>0</v>
      </c>
      <c r="H17" s="1035">
        <f>'SEAP template'!H87</f>
        <v>0</v>
      </c>
      <c r="I17" s="1035">
        <f>'SEAP template'!I87</f>
        <v>0</v>
      </c>
      <c r="J17" s="1035">
        <f>'SEAP template'!J87</f>
        <v>146.84951902993078</v>
      </c>
      <c r="K17" s="1035">
        <f>'SEAP template'!K87</f>
        <v>0</v>
      </c>
      <c r="L17" s="1035">
        <f>'SEAP template'!L87</f>
        <v>0</v>
      </c>
      <c r="M17" s="1035">
        <f>'SEAP template'!M87</f>
        <v>0</v>
      </c>
      <c r="N17" s="1035">
        <f>'SEAP template'!N87</f>
        <v>0</v>
      </c>
      <c r="O17" s="1035">
        <f>'SEAP template'!O87</f>
        <v>0</v>
      </c>
      <c r="P17" s="1035">
        <f>'SEAP template'!Q87</f>
        <v>1791.0292163913703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124.83647932046674</v>
      </c>
      <c r="C20" s="1038">
        <f>SUM(C17:C19)</f>
        <v>7537.3778063938189</v>
      </c>
      <c r="D20" s="1038">
        <f t="shared" ref="D20:H20" si="2">SUM(D17:D19)</f>
        <v>8866.4812692642081</v>
      </c>
      <c r="E20" s="1038">
        <f t="shared" si="2"/>
        <v>0</v>
      </c>
      <c r="F20" s="1038">
        <f t="shared" si="2"/>
        <v>0</v>
      </c>
      <c r="G20" s="1038">
        <f t="shared" si="2"/>
        <v>0</v>
      </c>
      <c r="H20" s="1038">
        <f t="shared" si="2"/>
        <v>0</v>
      </c>
      <c r="I20" s="1038">
        <f>SUM(I17:I19)</f>
        <v>0</v>
      </c>
      <c r="J20" s="1038">
        <f>SUM(J17:J19)</f>
        <v>146.84951902993078</v>
      </c>
      <c r="K20" s="1038">
        <f t="shared" ref="K20:L20" si="3">SUM(K17:K19)</f>
        <v>0</v>
      </c>
      <c r="L20" s="1038">
        <f t="shared" si="3"/>
        <v>0</v>
      </c>
      <c r="M20" s="1038">
        <f>SUM(M17:M19)</f>
        <v>0</v>
      </c>
      <c r="N20" s="1038">
        <f>SUM(N17:N19)</f>
        <v>0</v>
      </c>
      <c r="O20" s="1038">
        <f>SUM(O17:O19)</f>
        <v>0</v>
      </c>
      <c r="P20" s="1038">
        <f>SUM(P17:P19)</f>
        <v>1791.0292163913703</v>
      </c>
    </row>
    <row r="22" spans="1:16">
      <c r="A22" s="471" t="s">
        <v>879</v>
      </c>
      <c r="B22" s="777" t="s">
        <v>873</v>
      </c>
      <c r="C22" s="777">
        <f ca="1">'EF ele_warmte'!B22</f>
        <v>0.23374825469585611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0.15324267339200112</v>
      </c>
      <c r="C17" s="508">
        <f ca="1">'EF ele_warmte'!B22</f>
        <v>0.23374825469585611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2020-06-20T16:13:18Z</dcterms:modified>
</cp:coreProperties>
</file>