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V38" i="18"/>
  <c r="J9" i="18" s="1"/>
  <c r="U38" i="18"/>
  <c r="T38" i="18"/>
  <c r="I9" i="18" s="1"/>
  <c r="S38" i="18"/>
  <c r="E9" i="18" s="1"/>
  <c r="R38" i="18"/>
  <c r="Q38" i="18"/>
  <c r="P38" i="18"/>
  <c r="C9" i="18" s="1"/>
  <c r="O38" i="18"/>
  <c r="N38" i="18"/>
  <c r="B9" i="18" s="1"/>
  <c r="M38" i="18"/>
  <c r="W34" i="18"/>
  <c r="V34" i="18"/>
  <c r="U34" i="18"/>
  <c r="T34" i="18"/>
  <c r="S34" i="18"/>
  <c r="R34" i="18"/>
  <c r="Q34" i="18"/>
  <c r="P34" i="18"/>
  <c r="O34" i="18"/>
  <c r="N34" i="18"/>
  <c r="M34" i="18"/>
  <c r="W33" i="18"/>
  <c r="V33" i="18"/>
  <c r="U33" i="18"/>
  <c r="T33" i="18"/>
  <c r="S33" i="18"/>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B47" i="18" s="1"/>
  <c r="N31" i="18"/>
  <c r="C47" i="18" s="1"/>
  <c r="M31" i="18"/>
  <c r="G22" i="18"/>
  <c r="F22" i="18"/>
  <c r="E22" i="18"/>
  <c r="D22" i="18"/>
  <c r="C22" i="18"/>
  <c r="L20" i="18"/>
  <c r="D20" i="18"/>
  <c r="B17" i="18"/>
  <c r="G12" i="18"/>
  <c r="F12" i="18"/>
  <c r="E12" i="18"/>
  <c r="D12" i="18"/>
  <c r="C12" i="18"/>
  <c r="L10" i="18"/>
  <c r="K10" i="18"/>
  <c r="G10" i="18"/>
  <c r="D10" i="18"/>
  <c r="B8" i="18"/>
  <c r="B6" i="18"/>
  <c r="B5" i="18"/>
  <c r="B4" i="18"/>
  <c r="I51" i="18" l="1"/>
  <c r="H17" i="18" s="1"/>
  <c r="G51" i="18"/>
  <c r="F51" i="18"/>
  <c r="C51" i="18"/>
  <c r="B51" i="18"/>
  <c r="C17" i="18" s="1"/>
  <c r="C20" i="18" s="1"/>
  <c r="I50" i="18"/>
  <c r="H8" i="18" s="1"/>
  <c r="H10" i="18" s="1"/>
  <c r="G50" i="18"/>
  <c r="F50" i="18"/>
  <c r="D50" i="18"/>
  <c r="C50" i="18"/>
  <c r="B50" i="18"/>
  <c r="C8" i="18" s="1"/>
  <c r="C10" i="18" s="1"/>
  <c r="H50" i="18"/>
  <c r="J8" i="18" s="1"/>
  <c r="J10" i="18" s="1"/>
  <c r="B20" i="18"/>
  <c r="F20" i="18"/>
  <c r="O18" i="18"/>
  <c r="H20" i="18"/>
  <c r="G20" i="18"/>
  <c r="K20" i="18"/>
  <c r="B10" i="18"/>
  <c r="O19" i="18"/>
  <c r="O9" i="18"/>
  <c r="D51" i="18"/>
  <c r="H51" i="18"/>
  <c r="E50" i="18"/>
  <c r="E8" i="18" s="1"/>
  <c r="E10" i="18" s="1"/>
  <c r="E51" i="18"/>
  <c r="E17" i="18" s="1"/>
  <c r="E20" i="18" s="1"/>
  <c r="N6" i="17"/>
  <c r="I8" i="18" l="1"/>
  <c r="I10" i="18" s="1"/>
  <c r="I17" i="18"/>
  <c r="I2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D14" i="48"/>
  <c r="D32" i="48" s="1"/>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L20" i="59" l="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24" i="14" l="1"/>
  <c r="C26" i="14" s="1"/>
  <c r="B7" i="48"/>
  <c r="O4" i="48"/>
  <c r="O22" i="48" s="1"/>
  <c r="P11" i="14"/>
  <c r="P4" i="48"/>
  <c r="P22" i="48" s="1"/>
  <c r="Q11" i="14"/>
  <c r="D4" i="48"/>
  <c r="D22" i="48" s="1"/>
  <c r="E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O8" i="48"/>
  <c r="O26" i="48" s="1"/>
  <c r="P13" i="14"/>
  <c r="P16" i="14" s="1"/>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P63" i="14" l="1"/>
  <c r="K10" i="14"/>
  <c r="J5" i="48"/>
  <c r="J23" i="48" s="1"/>
  <c r="E20" i="15"/>
  <c r="F40" i="14" s="1"/>
  <c r="F10" i="14"/>
  <c r="E5" i="48"/>
  <c r="Q5" i="48" s="1"/>
  <c r="J20" i="15"/>
  <c r="K40" i="14" s="1"/>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8" i="48" l="1"/>
  <c r="E26" i="48" s="1"/>
  <c r="F13" i="14"/>
  <c r="F16" i="14" s="1"/>
  <c r="F27" i="14" s="1"/>
  <c r="E22" i="16"/>
  <c r="F43" i="14" s="1"/>
  <c r="F46" i="14" s="1"/>
  <c r="F61" i="14" s="1"/>
  <c r="H63" i="14"/>
  <c r="J22" i="16"/>
  <c r="K43" i="14" s="1"/>
  <c r="K46" i="14" s="1"/>
  <c r="K61" i="14" s="1"/>
  <c r="K63" i="14" s="1"/>
  <c r="K13" i="14"/>
  <c r="K16" i="14" s="1"/>
  <c r="K27" i="14" s="1"/>
  <c r="J8" i="48"/>
  <c r="E23" i="48"/>
  <c r="E33" i="48" s="1"/>
  <c r="E15" i="48"/>
  <c r="E63" i="14"/>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26" i="48" l="1"/>
  <c r="J33" i="48" s="1"/>
  <c r="J15" i="48"/>
  <c r="F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<sst xmlns="http://schemas.openxmlformats.org/spreadsheetml/2006/main" count="2474" uniqueCount="933">
  <si>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</si>
  <si>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</si>
  <si>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</si>
  <si>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</si>
  <si>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</si>
  <si>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</si>
  <si>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</si>
  <si>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</si>
  <si>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</si>
  <si>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</si>
  <si>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</si>
  <si>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</si>
  <si>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</si>
  <si>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</si>
  <si>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</si>
  <si>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</si>
  <si>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</si>
  <si>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</si>
  <si>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</si>
  <si>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</si>
  <si>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</si>
  <si>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</si>
  <si>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</si>
  <si>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</si>
  <si>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</si>
  <si>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</si>
  <si>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</si>
  <si>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</si>
  <si>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</si>
  <si>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</si>
  <si>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</si>
  <si>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</si>
  <si>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</si>
  <si>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</si>
  <si>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</si>
  <si>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</si>
  <si>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</si>
  <si>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</si>
  <si>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</si>
  <si>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</si>
  <si>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</si>
  <si>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</si>
  <si>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</si>
  <si>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</si>
  <si>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</si>
  <si>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</si>
  <si>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</si>
  <si>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</si>
  <si>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</si>
  <si>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</si>
  <si>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</si>
  <si>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</si>
  <si>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</si>
  <si>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</si>
  <si>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</si>
  <si>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</si>
  <si>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</si>
  <si>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</si>
  <si>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</si>
  <si>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</si>
  <si>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</si>
  <si>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</si>
  <si>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</si>
  <si>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</si>
  <si>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</si>
  <si>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</si>
  <si>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</si>
  <si>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</si>
  <si>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</si>
  <si>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</si>
  <si>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</si>
  <si>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</si>
  <si>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</si>
  <si>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</si>
  <si>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</si>
  <si>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</si>
  <si>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</si>
  <si>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</si>
  <si>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</si>
  <si>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</si>
  <si>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</si>
  <si>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</si>
  <si>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</si>
  <si>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</si>
  <si>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</si>
  <si>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</si>
  <si>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</si>
  <si>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</si>
  <si>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</si>
  <si>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</si>
  <si>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</si>
  <si>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</si>
  <si>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</si>
  <si>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</si>
  <si>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</si>
  <si>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</si>
  <si>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</si>
  <si>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</si>
  <si>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</si>
  <si>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</si>
  <si>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</si>
  <si>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</si>
  <si>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</si>
  <si>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</si>
  <si>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</si>
  <si>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</si>
  <si>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</si>
  <si>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</si>
  <si>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</si>
  <si>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</si>
  <si>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</si>
  <si>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</si>
  <si>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</si>
  <si>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</si>
  <si>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</si>
  <si>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</si>
  <si>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</si>
  <si>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</si>
  <si>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</si>
  <si>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</si>
  <si>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</si>
  <si>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</si>
  <si>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</si>
  <si>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</si>
  <si>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</si>
  <si>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</si>
  <si>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</si>
  <si>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</si>
  <si>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</si>
  <si>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</si>
  <si>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</si>
  <si>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</si>
  <si>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</si>
  <si>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</si>
  <si>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</si>
  <si>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</si>
  <si>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</si>
  <si>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</si>
  <si>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</si>
  <si>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</si>
  <si>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</si>
  <si>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</si>
  <si>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</si>
  <si>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</si>
  <si>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</si>
  <si>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</si>
  <si>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</si>
  <si>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</si>
  <si>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</si>
  <si>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</si>
  <si>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</si>
  <si>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</si>
  <si>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</si>
  <si>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</si>
  <si>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</si>
  <si>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</si>
  <si>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</si>
  <si>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</si>
  <si>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</si>
  <si>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</si>
  <si>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</si>
  <si>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</si>
  <si>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</si>
  <si>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</si>
  <si>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</si>
  <si>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</si>
  <si>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</si>
  <si>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</si>
  <si>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</si>
  <si>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</si>
  <si>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</si>
  <si>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</si>
  <si>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</si>
  <si>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</si>
  <si>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</si>
  <si>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</si>
  <si>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</si>
  <si>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</si>
  <si>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</si>
  <si>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</si>
  <si>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</si>
  <si>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</si>
  <si>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</si>
  <si>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</si>
  <si>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</si>
  <si>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</si>
  <si>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</si>
  <si>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</si>
  <si>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</si>
  <si>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</si>
  <si>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</si>
  <si>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</si>
  <si>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</si>
  <si>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</si>
  <si>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</si>
  <si>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</si>
  <si>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</si>
  <si>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</si>
  <si>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</si>
  <si>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</si>
  <si>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</si>
  <si>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</si>
  <si>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</si>
  <si>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</si>
  <si>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</si>
  <si>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</si>
  <si>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</si>
  <si>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</si>
  <si>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</si>
  <si>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</si>
  <si>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</si>
  <si>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</si>
  <si>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</si>
  <si>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</si>
  <si>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</si>
  <si>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</si>
  <si>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</si>
  <si>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</si>
  <si>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</si>
  <si>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</si>
  <si>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</si>
  <si>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</si>
  <si>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</si>
  <si>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</si>
  <si>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</si>
  <si>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</si>
  <si>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</si>
  <si>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</si>
  <si>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</si>
  <si>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</si>
  <si>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</si>
  <si>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</si>
  <si>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</si>
  <si>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</si>
  <si>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</si>
  <si>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</si>
  <si>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</si>
  <si>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</si>
  <si>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</si>
  <si>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</si>
  <si>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</si>
  <si>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</si>
  <si>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</si>
  <si>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</si>
  <si>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</si>
  <si>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</si>
  <si>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</si>
  <si>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</si>
  <si>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</si>
  <si>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</si>
  <si>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</si>
  <si>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</si>
  <si>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</si>
  <si>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</si>
  <si>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</si>
  <si>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</si>
  <si>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</si>
  <si>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</si>
  <si>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</si>
  <si>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</si>
  <si>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</si>
  <si>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</si>
  <si>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</si>
  <si>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</si>
  <si>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</si>
  <si>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</si>
  <si>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</si>
  <si>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</si>
  <si>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</si>
  <si>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</si>
  <si>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</si>
  <si>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</si>
  <si>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</si>
  <si>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</si>
  <si>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</si>
  <si>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</si>
  <si>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</si>
  <si>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</si>
  <si>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</si>
  <si>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</si>
  <si>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</si>
  <si>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</si>
  <si>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</si>
  <si>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</si>
  <si>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</si>
  <si>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</si>
  <si>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</si>
  <si>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</si>
  <si>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</si>
  <si>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</si>
  <si>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</si>
  <si>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</si>
  <si>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</si>
  <si>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</si>
  <si>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</si>
  <si>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</si>
  <si>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</si>
  <si>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</si>
  <si>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</si>
  <si>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</si>
  <si>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</si>
  <si>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</si>
  <si>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</si>
  <si>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</si>
  <si>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</si>
  <si>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</si>
  <si>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</si>
  <si>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</si>
  <si>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</si>
  <si>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</si>
  <si>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</si>
  <si>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</si>
  <si>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</si>
  <si>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</si>
  <si>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</si>
  <si>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</si>
  <si>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</si>
  <si>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</si>
  <si>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</si>
  <si>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</si>
  <si>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</si>
  <si>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</si>
  <si>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</si>
  <si>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</si>
  <si>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</si>
  <si>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</si>
  <si>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</si>
  <si>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</si>
  <si>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</si>
  <si>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</si>
  <si>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</si>
  <si>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</si>
  <si>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</si>
  <si>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</si>
  <si>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</si>
  <si>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</si>
  <si>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</si>
  <si>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</si>
  <si>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</si>
  <si>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</si>
  <si>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</si>
  <si>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</si>
  <si>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</si>
  <si>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</si>
  <si>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</si>
  <si>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</si>
  <si>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</si>
  <si>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</si>
  <si>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</si>
  <si>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</si>
  <si>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</si>
  <si>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</si>
  <si>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</si>
  <si>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</si>
  <si>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</si>
  <si>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</si>
  <si>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</si>
  <si>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</si>
  <si>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</si>
  <si>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</si>
  <si>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</si>
  <si>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</si>
  <si>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</si>
  <si>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</si>
  <si>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</si>
  <si>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</si>
  <si>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</si>
  <si>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</si>
  <si>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</si>
  <si>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</si>
  <si>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</si>
  <si>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</si>
  <si>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</si>
  <si>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</si>
  <si>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</si>
  <si>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</si>
  <si>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</si>
  <si>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</si>
  <si>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</si>
  <si>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</si>
  <si>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</si>
  <si>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</si>
  <si>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</si>
  <si>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</si>
  <si>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</si>
  <si>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</si>
  <si>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</si>
  <si>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</si>
  <si>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</si>
  <si>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</si>
  <si>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</si>
  <si>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</si>
  <si>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</si>
  <si>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</si>
  <si>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</si>
  <si>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</si>
  <si>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</si>
  <si>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</si>
  <si>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</si>
  <si>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</si>
  <si>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</si>
  <si>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</si>
  <si>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</si>
  <si>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</si>
  <si>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</si>
  <si>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</si>
  <si>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</si>
  <si>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</si>
  <si>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</si>
  <si>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</si>
  <si>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</si>
  <si>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</si>
  <si>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</si>
  <si>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</si>
  <si>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</si>
  <si>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</si>
  <si>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</si>
  <si>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</si>
  <si>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</si>
  <si>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</si>
  <si>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</si>
  <si>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</si>
  <si>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</si>
  <si>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</si>
  <si>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</si>
  <si>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</si>
  <si>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</si>
  <si>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</si>
  <si>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</si>
  <si>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</si>
  <si>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</si>
  <si>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</si>
  <si>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</si>
  <si>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</si>
  <si>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</si>
  <si>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</si>
  <si>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</si>
  <si>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</si>
  <si>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</si>
  <si>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</si>
  <si>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</si>
  <si>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</si>
  <si>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</si>
  <si>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</si>
  <si>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</si>
  <si>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</si>
  <si>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</si>
  <si>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</si>
  <si>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</si>
  <si>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</si>
  <si>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</si>
  <si>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</si>
  <si>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</si>
  <si>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</si>
  <si>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</si>
  <si>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</si>
  <si>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</si>
  <si>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</si>
  <si>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</si>
  <si>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</si>
  <si>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</si>
  <si>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</si>
  <si>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</si>
  <si>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</si>
  <si>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</si>
  <si>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</si>
  <si>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</si>
  <si>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</si>
  <si>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</si>
  <si>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</si>
  <si>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</si>
  <si>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</si>
  <si>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</si>
  <si>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</si>
  <si>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</si>
  <si>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</si>
  <si>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</si>
  <si>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</si>
  <si>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</si>
  <si>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</si>
  <si>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</si>
  <si>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</si>
  <si>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</si>
  <si>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</si>
  <si>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</si>
  <si>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</si>
  <si>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</si>
  <si>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</si>
  <si>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</si>
  <si>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</si>
  <si>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</si>
  <si>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</si>
  <si>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</si>
  <si>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</si>
  <si>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</si>
  <si>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</si>
  <si>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</si>
  <si>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</si>
  <si>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</si>
  <si>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</si>
  <si>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</si>
  <si>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</si>
  <si>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</si>
  <si>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</si>
  <si>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</si>
  <si>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</si>
  <si>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</si>
  <si>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</si>
  <si>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</si>
  <si>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</si>
  <si>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</si>
  <si>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</si>
  <si>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</si>
  <si>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</si>
  <si>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</si>
  <si>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</si>
  <si>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</si>
  <si>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</si>
  <si>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</si>
  <si>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</si>
  <si>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</si>
  <si>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</si>
  <si>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</si>
  <si>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</si>
  <si>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</si>
  <si>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</si>
  <si>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</si>
  <si>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</si>
  <si>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</si>
  <si>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</si>
  <si>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</si>
  <si>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</si>
  <si>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</si>
  <si>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</si>
  <si>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</si>
  <si>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</si>
  <si>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</si>
  <si>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</si>
  <si>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</si>
  <si>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</si>
  <si>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</si>
  <si>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</si>
  <si>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</si>
  <si>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</si>
  <si>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</si>
  <si>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</si>
  <si>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</si>
  <si>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</si>
  <si>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</si>
  <si>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</si>
  <si>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</si>
  <si>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</si>
  <si>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</si>
  <si>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</si>
  <si>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</si>
  <si>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</si>
  <si>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</si>
  <si>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</si>
  <si>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</si>
  <si>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</si>
  <si>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</si>
  <si>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</si>
  <si>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</si>
  <si>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</si>
  <si>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</si>
  <si>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</si>
  <si>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</si>
  <si>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</si>
  <si>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</si>
  <si>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</si>
  <si>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</si>
  <si>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</si>
  <si>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</si>
  <si>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</si>
  <si>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</si>
  <si>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</si>
  <si>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</si>
  <si>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</si>
  <si>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</si>
  <si>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</si>
  <si>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</si>
  <si>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</si>
  <si>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</si>
  <si>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</si>
  <si>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</si>
  <si>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</si>
  <si>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</si>
  <si>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</si>
  <si>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</si>
  <si>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</si>
  <si>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</si>
  <si>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</si>
  <si>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</si>
  <si>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</si>
  <si>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</si>
  <si>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</si>
  <si>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</si>
  <si>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</si>
  <si>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</si>
  <si>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</si>
  <si>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</si>
  <si>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</si>
  <si>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</si>
  <si>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</si>
  <si>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</si>
  <si>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</si>
  <si>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</si>
  <si>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</si>
  <si>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</si>
  <si>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</si>
  <si>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</si>
  <si>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</si>
  <si>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</si>
  <si>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</si>
  <si>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</si>
  <si>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</si>
  <si>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</si>
  <si>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</si>
  <si>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</si>
  <si>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</si>
  <si>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</si>
  <si>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</si>
  <si>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</si>
  <si>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</si>
  <si>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</si>
  <si>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</si>
  <si>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</si>
  <si>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</si>
  <si>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</si>
  <si>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</si>
  <si>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</si>
  <si>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</si>
  <si>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</si>
  <si>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</si>
  <si>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</si>
  <si>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</si>
  <si>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</si>
  <si>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</si>
  <si>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</si>
  <si>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</si>
  <si>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</si>
  <si>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</si>
  <si>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</si>
  <si>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</si>
  <si>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</si>
  <si>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</si>
  <si>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</si>
  <si>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</si>
  <si>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</si>
  <si>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</si>
  <si>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</si>
  <si>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</si>
  <si>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</si>
  <si>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</si>
  <si>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</si>
  <si>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</si>
  <si>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</si>
  <si>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</si>
  <si>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</si>
  <si>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</si>
  <si>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</si>
  <si>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</si>
  <si>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</si>
  <si>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</si>
  <si>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</si>
  <si>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</si>
  <si>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</si>
  <si>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</si>
  <si>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</si>
  <si>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</si>
  <si>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</si>
  <si>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</si>
  <si>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</si>
  <si>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</si>
  <si>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</si>
  <si>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</si>
  <si>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</si>
  <si>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</si>
  <si>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</si>
  <si>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</si>
  <si>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</si>
  <si>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</si>
  <si>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</si>
  <si>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</si>
  <si>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</si>
  <si>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</si>
  <si>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</si>
  <si>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</si>
  <si>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</si>
  <si>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</si>
  <si>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</si>
  <si>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</si>
  <si>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</si>
  <si>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</si>
  <si>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</si>
  <si>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</si>
  <si>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</si>
  <si>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</si>
  <si>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</si>
  <si>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</si>
  <si>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</si>
  <si>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</si>
  <si>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</si>
  <si>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</si>
  <si>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</si>
  <si>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</si>
  <si>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</si>
  <si>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</si>
  <si>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</si>
  <si>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</si>
  <si>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</si>
  <si>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</si>
  <si>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</si>
  <si>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</si>
  <si>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</si>
  <si>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</si>
  <si>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</si>
  <si>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</si>
  <si>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</si>
  <si>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</si>
  <si>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</si>
  <si>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</si>
  <si>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</si>
  <si>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</si>
  <si>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</si>
  <si>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</si>
  <si>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</si>
  <si>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</si>
  <si>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</si>
  <si>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</si>
  <si>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</si>
  <si>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</si>
  <si>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</si>
  <si>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</si>
  <si>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</si>
  <si>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</si>
  <si>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</si>
  <si>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</si>
  <si>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</si>
  <si>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</si>
  <si>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</si>
  <si>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</si>
  <si>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</si>
  <si>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</si>
  <si>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</si>
  <si>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</si>
  <si>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</si>
  <si>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</si>
  <si>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</si>
  <si>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</si>
  <si>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</si>
  <si>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</si>
  <si>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</si>
  <si>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</si>
  <si>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</si>
  <si>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</si>
  <si>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</si>
  <si>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</si>
  <si>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</si>
  <si>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</si>
  <si>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</si>
  <si>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</si>
  <si>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</si>
  <si>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</si>
  <si>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</si>
  <si>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</si>
  <si>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</si>
  <si>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</si>
  <si>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</si>
  <si>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</si>
  <si>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</si>
  <si>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</si>
  <si>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</si>
  <si>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</si>
  <si>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</si>
  <si>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</si>
  <si>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</si>
  <si>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</si>
  <si>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</si>
  <si>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</si>
  <si>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</si>
  <si>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</si>
  <si>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</si>
  <si>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</si>
  <si>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</si>
  <si>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</si>
  <si>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</si>
  <si>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</si>
  <si>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</si>
  <si>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</si>
  <si>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</si>
  <si>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</si>
  <si>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</si>
  <si>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</si>
  <si>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</si>
  <si>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</si>
  <si>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</si>
  <si>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</si>
  <si>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</si>
  <si>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</si>
  <si>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</si>
  <si>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</si>
  <si>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</si>
  <si>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</si>
  <si>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</si>
  <si>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</si>
  <si>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</si>
  <si>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</si>
  <si>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</si>
  <si>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</si>
  <si>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</si>
  <si>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</si>
  <si>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</si>
  <si>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</si>
  <si>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</si>
  <si>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</si>
  <si>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</si>
  <si>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</si>
  <si>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</si>
  <si>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</si>
  <si>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</si>
  <si>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</si>
  <si>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</si>
  <si>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</si>
  <si>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</si>
  <si>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</si>
  <si>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</si>
  <si>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</si>
  <si>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</si>
  <si>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</si>
  <si>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</si>
  <si>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</si>
  <si>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</si>
  <si>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</si>
  <si>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</si>
  <si>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</si>
  <si>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</si>
  <si>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</si>
  <si>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</si>
  <si>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</si>
  <si>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</si>
  <si>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</si>
  <si>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</si>
  <si>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</si>
  <si>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</si>
  <si>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</si>
  <si>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</si>
  <si>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</si>
  <si>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</si>
  <si>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</si>
  <si>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</si>
  <si>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</si>
  <si>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</si>
  <si>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</si>
  <si>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</si>
  <si>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</si>
  <si>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</si>
  <si>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</si>
  <si>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</si>
  <si>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</si>
  <si>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</si>
  <si>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</si>
  <si>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</si>
  <si>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</si>
  <si>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</si>
  <si>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</si>
  <si>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</si>
  <si>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</si>
  <si>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</si>
  <si>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</si>
  <si>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</si>
  <si>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</si>
  <si>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</si>
  <si>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</si>
  <si>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</si>
  <si>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</si>
  <si>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</si>
  <si>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</si>
  <si>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</si>
  <si>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</si>
  <si>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</si>
  <si>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</si>
  <si>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</si>
  <si>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</si>
  <si>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</si>
  <si>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</si>
  <si>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</si>
  <si>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</si>
  <si>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</si>
  <si>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</si>
  <si>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</si>
  <si>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</si>
  <si>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</si>
  <si>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</si>
  <si>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</si>
  <si>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</si>
  <si>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</si>
  <si>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</si>
  <si>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</si>
  <si>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</si>
  <si>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</si>
  <si>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</si>
  <si>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</si>
  <si>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</si>
  <si>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</si>
  <si>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</si>
  <si>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</si>
  <si>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</si>
  <si>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</si>
  <si>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</si>
  <si>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</si>
  <si>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</si>
  <si>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</si>
  <si>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11008</t>
  </si>
  <si>
    <t>BRASSCHAAT</t>
  </si>
  <si>
    <t>Cultuurgrond (ha)</t>
  </si>
  <si>
    <t>Paarden&amp;pony's 200 - 600 kg</t>
  </si>
  <si>
    <t>Paarden&amp;pony's &lt; 200 kg</t>
  </si>
  <si>
    <t>Fluvius</t>
  </si>
  <si>
    <t>referentietaak LNE (2017); Jaarverslag De Lijn</t>
  </si>
  <si>
    <t>Eneas nv in faling</t>
  </si>
  <si>
    <t>Rue Des Anglais 7 , 4430 Ans</t>
  </si>
  <si>
    <t>WKK-0248 Eneas Brasschaat</t>
  </si>
  <si>
    <t>interne verbrandingsmotor</t>
  </si>
  <si>
    <t>WKK interne verbrandinsgmotor (gas)</t>
  </si>
  <si>
    <t>Bredabaan 940 , 2930 Brasschaat</t>
  </si>
  <si>
    <t>IMEA</t>
  </si>
  <si>
    <t>Sportoase Elshout nv</t>
  </si>
  <si>
    <t>Elshoutbaan 17, 2930 Brasschaat</t>
  </si>
  <si>
    <t>WKK-0107 Sportoase Elshout</t>
  </si>
  <si>
    <t>AZ Klina</t>
  </si>
  <si>
    <t>Augustijnslei 100, 2930 Brasschaat</t>
  </si>
  <si>
    <t>WKK-0125 AZ Klina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</si>
</sst>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374846.28148335044</c:v>
                </c:pt>
                <c:pt idx="1">
                  <c:v>159342.22990265011</c:v>
                </c:pt>
                <c:pt idx="2">
                  <c:v>1920.386</c:v>
                </c:pt>
                <c:pt idx="3">
                  <c:v>664.26457295343425</c:v>
                </c:pt>
                <c:pt idx="4">
                  <c:v>12644.957661688843</c:v>
                </c:pt>
                <c:pt idx="5">
                  <c:v>174977.81811503199</c:v>
                </c:pt>
                <c:pt idx="6">
                  <c:v>3901.2790372648974</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374846.28148335044</c:v>
                </c:pt>
                <c:pt idx="1">
                  <c:v>159342.22990265011</c:v>
                </c:pt>
                <c:pt idx="2">
                  <c:v>1920.386</c:v>
                </c:pt>
                <c:pt idx="3">
                  <c:v>664.26457295343425</c:v>
                </c:pt>
                <c:pt idx="4">
                  <c:v>12644.957661688843</c:v>
                </c:pt>
                <c:pt idx="5">
                  <c:v>174977.81811503199</c:v>
                </c:pt>
                <c:pt idx="6">
                  <c:v>3901.2790372648974</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72183.749683701535</c:v>
                </c:pt>
                <c:pt idx="2">
                  <c:v>32701.312597808104</c:v>
                </c:pt>
                <c:pt idx="3">
                  <c:v>412.17767999471062</c:v>
                </c:pt>
                <c:pt idx="4">
                  <c:v>155.79203525945729</c:v>
                </c:pt>
                <c:pt idx="5">
                  <c:v>2728.6470212828704</c:v>
                </c:pt>
                <c:pt idx="6">
                  <c:v>44193.989635128688</c:v>
                </c:pt>
                <c:pt idx="7">
                  <c:v>997.25294916291591</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72183.749683701535</c:v>
                </c:pt>
                <c:pt idx="2">
                  <c:v>32701.312597808104</c:v>
                </c:pt>
                <c:pt idx="3">
                  <c:v>412.17767999471062</c:v>
                </c:pt>
                <c:pt idx="4">
                  <c:v>155.79203525945729</c:v>
                </c:pt>
                <c:pt idx="5">
                  <c:v>2728.6470212828704</c:v>
                </c:pt>
                <c:pt idx="6">
                  <c:v>44193.989635128688</c:v>
                </c:pt>
                <c:pt idx="7">
                  <c:v>997.25294916291591</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11008</v>
      </c>
      <c r="B6" s="395"/>
      <c r="C6" s="396"/>
    </row>
    <row r="7" spans="1:7" s="393" customFormat="1" ht="15.75" customHeight="1">
      <c r="A7" s="397" t="str">
        <f>txtMunicipality</f>
        <v>BRASSCHAAT</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0.21463272487651475</v>
      </c>
      <c r="C17" s="508">
        <f ca="1">'EF ele_warmte'!B22</f>
        <v>0.23764705882352943</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0.21463272487651475</v>
      </c>
      <c r="C29" s="509">
        <f ca="1">'EF ele_warmte'!B22</f>
        <v>0.23764705882352943</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15701</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282</v>
      </c>
      <c r="C14" s="332"/>
      <c r="D14" s="332"/>
      <c r="E14" s="332"/>
      <c r="F14" s="332"/>
    </row>
    <row r="15" spans="1:6">
      <c r="A15" s="1306" t="s">
        <v>183</v>
      </c>
      <c r="B15" s="1307">
        <v>0</v>
      </c>
      <c r="C15" s="332"/>
      <c r="D15" s="332"/>
      <c r="E15" s="332"/>
      <c r="F15" s="332"/>
    </row>
    <row r="16" spans="1:6">
      <c r="A16" s="1306" t="s">
        <v>6</v>
      </c>
      <c r="B16" s="1307">
        <v>2</v>
      </c>
      <c r="C16" s="332"/>
      <c r="D16" s="332"/>
      <c r="E16" s="332"/>
      <c r="F16" s="332"/>
    </row>
    <row r="17" spans="1:6">
      <c r="A17" s="1306" t="s">
        <v>7</v>
      </c>
      <c r="B17" s="1307">
        <v>0</v>
      </c>
      <c r="C17" s="332"/>
      <c r="D17" s="332"/>
      <c r="E17" s="332"/>
      <c r="F17" s="332"/>
    </row>
    <row r="18" spans="1:6">
      <c r="A18" s="1306" t="s">
        <v>8</v>
      </c>
      <c r="B18" s="1307">
        <v>2</v>
      </c>
      <c r="C18" s="332"/>
      <c r="D18" s="332"/>
      <c r="E18" s="332"/>
      <c r="F18" s="332"/>
    </row>
    <row r="19" spans="1:6">
      <c r="A19" s="1306" t="s">
        <v>9</v>
      </c>
      <c r="B19" s="1307">
        <v>1</v>
      </c>
      <c r="C19" s="332"/>
      <c r="D19" s="332"/>
      <c r="E19" s="332"/>
      <c r="F19" s="332"/>
    </row>
    <row r="20" spans="1:6">
      <c r="A20" s="1306" t="s">
        <v>10</v>
      </c>
      <c r="B20" s="1307">
        <v>1</v>
      </c>
      <c r="C20" s="332"/>
      <c r="D20" s="332"/>
      <c r="E20" s="332"/>
      <c r="F20" s="332"/>
    </row>
    <row r="21" spans="1:6">
      <c r="A21" s="1306" t="s">
        <v>11</v>
      </c>
      <c r="B21" s="1307">
        <v>0</v>
      </c>
      <c r="C21" s="332"/>
      <c r="D21" s="332"/>
      <c r="E21" s="332"/>
      <c r="F21" s="332"/>
    </row>
    <row r="22" spans="1:6">
      <c r="A22" s="1306" t="s">
        <v>12</v>
      </c>
      <c r="B22" s="1307">
        <v>2</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1</v>
      </c>
      <c r="C25" s="332"/>
      <c r="D25" s="332"/>
      <c r="E25" s="332"/>
      <c r="F25" s="332"/>
    </row>
    <row r="26" spans="1:6">
      <c r="A26" s="1306" t="s">
        <v>16</v>
      </c>
      <c r="B26" s="1307">
        <v>24</v>
      </c>
      <c r="C26" s="332"/>
      <c r="D26" s="332"/>
      <c r="E26" s="332"/>
      <c r="F26" s="332"/>
    </row>
    <row r="27" spans="1:6">
      <c r="A27" s="1306" t="s">
        <v>17</v>
      </c>
      <c r="B27" s="1307">
        <v>11</v>
      </c>
      <c r="C27" s="332"/>
      <c r="D27" s="332"/>
      <c r="E27" s="332"/>
      <c r="F27" s="332"/>
    </row>
    <row r="28" spans="1:6" s="43" customFormat="1">
      <c r="A28" s="1308" t="s">
        <v>18</v>
      </c>
      <c r="B28" s="1309">
        <v>20</v>
      </c>
      <c r="C28" s="338"/>
      <c r="D28" s="338"/>
      <c r="E28" s="338"/>
      <c r="F28" s="338"/>
    </row>
    <row r="29" spans="1:6">
      <c r="A29" s="1308" t="s">
        <v>916</v>
      </c>
      <c r="B29" s="1309">
        <v>74</v>
      </c>
      <c r="C29" s="338"/>
      <c r="D29" s="338"/>
      <c r="E29" s="338"/>
      <c r="F29" s="338"/>
    </row>
    <row r="30" spans="1:6">
      <c r="A30" s="1301" t="s">
        <v>917</v>
      </c>
      <c r="B30" s="1310">
        <v>31</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4</v>
      </c>
      <c r="D36" s="1307">
        <v>63387.234628316</v>
      </c>
      <c r="E36" s="1307">
        <v>6</v>
      </c>
      <c r="F36" s="1307">
        <v>13247.0217675326</v>
      </c>
    </row>
    <row r="37" spans="1:6">
      <c r="A37" s="1306" t="s">
        <v>24</v>
      </c>
      <c r="B37" s="1306" t="s">
        <v>27</v>
      </c>
      <c r="C37" s="1307">
        <v>0</v>
      </c>
      <c r="D37" s="1307">
        <v>0</v>
      </c>
      <c r="E37" s="1307">
        <v>0</v>
      </c>
      <c r="F37" s="1307">
        <v>0</v>
      </c>
    </row>
    <row r="38" spans="1:6">
      <c r="A38" s="1306" t="s">
        <v>24</v>
      </c>
      <c r="B38" s="1306" t="s">
        <v>28</v>
      </c>
      <c r="C38" s="1307">
        <v>0</v>
      </c>
      <c r="D38" s="1307">
        <v>0</v>
      </c>
      <c r="E38" s="1307">
        <v>3</v>
      </c>
      <c r="F38" s="1307">
        <v>42073</v>
      </c>
    </row>
    <row r="39" spans="1:6">
      <c r="A39" s="1306" t="s">
        <v>29</v>
      </c>
      <c r="B39" s="1306" t="s">
        <v>30</v>
      </c>
      <c r="C39" s="1307">
        <v>13180</v>
      </c>
      <c r="D39" s="1307">
        <v>306555824.606498</v>
      </c>
      <c r="E39" s="1307">
        <v>15661</v>
      </c>
      <c r="F39" s="1307">
        <v>70926423.275961593</v>
      </c>
    </row>
    <row r="40" spans="1:6">
      <c r="A40" s="1306" t="s">
        <v>29</v>
      </c>
      <c r="B40" s="1306" t="s">
        <v>28</v>
      </c>
      <c r="C40" s="1307">
        <v>1</v>
      </c>
      <c r="D40" s="1307">
        <v>340832.70239369298</v>
      </c>
      <c r="E40" s="1307">
        <v>1</v>
      </c>
      <c r="F40" s="1307">
        <v>44773</v>
      </c>
    </row>
    <row r="41" spans="1:6">
      <c r="A41" s="1306" t="s">
        <v>31</v>
      </c>
      <c r="B41" s="1306" t="s">
        <v>32</v>
      </c>
      <c r="C41" s="1307">
        <v>120</v>
      </c>
      <c r="D41" s="1307">
        <v>3434794.1238528402</v>
      </c>
      <c r="E41" s="1307">
        <v>230</v>
      </c>
      <c r="F41" s="1307">
        <v>1900926.8325836901</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9</v>
      </c>
      <c r="F44" s="1307">
        <v>141689.99871769</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6</v>
      </c>
      <c r="D47" s="1307">
        <v>240588.13563236099</v>
      </c>
      <c r="E47" s="1307">
        <v>8</v>
      </c>
      <c r="F47" s="1307">
        <v>292761.987513792</v>
      </c>
    </row>
    <row r="48" spans="1:6">
      <c r="A48" s="1306" t="s">
        <v>31</v>
      </c>
      <c r="B48" s="1306" t="s">
        <v>28</v>
      </c>
      <c r="C48" s="1307">
        <v>19</v>
      </c>
      <c r="D48" s="1307">
        <v>809906.65968698403</v>
      </c>
      <c r="E48" s="1307">
        <v>27</v>
      </c>
      <c r="F48" s="1307">
        <v>411306.00698787702</v>
      </c>
    </row>
    <row r="49" spans="1:6">
      <c r="A49" s="1306" t="s">
        <v>31</v>
      </c>
      <c r="B49" s="1306" t="s">
        <v>39</v>
      </c>
      <c r="C49" s="1307">
        <v>0</v>
      </c>
      <c r="D49" s="1307">
        <v>0</v>
      </c>
      <c r="E49" s="1307">
        <v>0</v>
      </c>
      <c r="F49" s="1307">
        <v>0</v>
      </c>
    </row>
    <row r="50" spans="1:6">
      <c r="A50" s="1306" t="s">
        <v>31</v>
      </c>
      <c r="B50" s="1306" t="s">
        <v>40</v>
      </c>
      <c r="C50" s="1307">
        <v>9</v>
      </c>
      <c r="D50" s="1307">
        <v>1404805.30247501</v>
      </c>
      <c r="E50" s="1307">
        <v>11</v>
      </c>
      <c r="F50" s="1307">
        <v>910507.953313448</v>
      </c>
    </row>
    <row r="51" spans="1:6">
      <c r="A51" s="1306" t="s">
        <v>41</v>
      </c>
      <c r="B51" s="1306" t="s">
        <v>42</v>
      </c>
      <c r="C51" s="1307">
        <v>4</v>
      </c>
      <c r="D51" s="1307">
        <v>219946.92591404999</v>
      </c>
      <c r="E51" s="1307">
        <v>3</v>
      </c>
      <c r="F51" s="1307">
        <v>27241.6657621669</v>
      </c>
    </row>
    <row r="52" spans="1:6">
      <c r="A52" s="1306" t="s">
        <v>41</v>
      </c>
      <c r="B52" s="1306" t="s">
        <v>28</v>
      </c>
      <c r="C52" s="1307">
        <v>3</v>
      </c>
      <c r="D52" s="1307">
        <v>91506.088284342797</v>
      </c>
      <c r="E52" s="1307">
        <v>8</v>
      </c>
      <c r="F52" s="1307">
        <v>55852.627608208299</v>
      </c>
    </row>
    <row r="53" spans="1:6">
      <c r="A53" s="1306" t="s">
        <v>43</v>
      </c>
      <c r="B53" s="1306" t="s">
        <v>44</v>
      </c>
      <c r="C53" s="1307">
        <v>357</v>
      </c>
      <c r="D53" s="1307">
        <v>13462456.402237499</v>
      </c>
      <c r="E53" s="1307">
        <v>620</v>
      </c>
      <c r="F53" s="1307">
        <v>5222650.7371442895</v>
      </c>
    </row>
    <row r="54" spans="1:6">
      <c r="A54" s="1306" t="s">
        <v>45</v>
      </c>
      <c r="B54" s="1306" t="s">
        <v>46</v>
      </c>
      <c r="C54" s="1307">
        <v>0</v>
      </c>
      <c r="D54" s="1307">
        <v>0</v>
      </c>
      <c r="E54" s="1307">
        <v>1</v>
      </c>
      <c r="F54" s="1307">
        <v>1920386</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105</v>
      </c>
      <c r="D57" s="1307">
        <v>8224671.9274639999</v>
      </c>
      <c r="E57" s="1307">
        <v>134</v>
      </c>
      <c r="F57" s="1307">
        <v>5345573.2945892001</v>
      </c>
    </row>
    <row r="58" spans="1:6">
      <c r="A58" s="1306" t="s">
        <v>48</v>
      </c>
      <c r="B58" s="1306" t="s">
        <v>50</v>
      </c>
      <c r="C58" s="1307">
        <v>100</v>
      </c>
      <c r="D58" s="1307">
        <v>16459834.625992101</v>
      </c>
      <c r="E58" s="1307">
        <v>112</v>
      </c>
      <c r="F58" s="1307">
        <v>8249528.9671854498</v>
      </c>
    </row>
    <row r="59" spans="1:6">
      <c r="A59" s="1306" t="s">
        <v>48</v>
      </c>
      <c r="B59" s="1306" t="s">
        <v>51</v>
      </c>
      <c r="C59" s="1307">
        <v>321</v>
      </c>
      <c r="D59" s="1307">
        <v>11981389.8557937</v>
      </c>
      <c r="E59" s="1307">
        <v>478</v>
      </c>
      <c r="F59" s="1307">
        <v>11690638.8692923</v>
      </c>
    </row>
    <row r="60" spans="1:6">
      <c r="A60" s="1306" t="s">
        <v>48</v>
      </c>
      <c r="B60" s="1306" t="s">
        <v>52</v>
      </c>
      <c r="C60" s="1307">
        <v>117</v>
      </c>
      <c r="D60" s="1307">
        <v>10399188.031297101</v>
      </c>
      <c r="E60" s="1307">
        <v>132</v>
      </c>
      <c r="F60" s="1307">
        <v>4729669.4596207896</v>
      </c>
    </row>
    <row r="61" spans="1:6">
      <c r="A61" s="1306" t="s">
        <v>48</v>
      </c>
      <c r="B61" s="1306" t="s">
        <v>53</v>
      </c>
      <c r="C61" s="1307">
        <v>577</v>
      </c>
      <c r="D61" s="1307">
        <v>40940011.611443602</v>
      </c>
      <c r="E61" s="1307">
        <v>1025</v>
      </c>
      <c r="F61" s="1307">
        <v>14978337.409645399</v>
      </c>
    </row>
    <row r="62" spans="1:6">
      <c r="A62" s="1306" t="s">
        <v>48</v>
      </c>
      <c r="B62" s="1306" t="s">
        <v>54</v>
      </c>
      <c r="C62" s="1307">
        <v>45</v>
      </c>
      <c r="D62" s="1307">
        <v>9904658.8639438301</v>
      </c>
      <c r="E62" s="1307">
        <v>60</v>
      </c>
      <c r="F62" s="1307">
        <v>2383927.3800556702</v>
      </c>
    </row>
    <row r="63" spans="1:6">
      <c r="A63" s="1306" t="s">
        <v>48</v>
      </c>
      <c r="B63" s="1306" t="s">
        <v>28</v>
      </c>
      <c r="C63" s="1307">
        <v>71</v>
      </c>
      <c r="D63" s="1307">
        <v>6239681.5068956995</v>
      </c>
      <c r="E63" s="1307">
        <v>87</v>
      </c>
      <c r="F63" s="1307">
        <v>3423936.2001524102</v>
      </c>
    </row>
    <row r="64" spans="1:6">
      <c r="A64" s="1306" t="s">
        <v>55</v>
      </c>
      <c r="B64" s="1306" t="s">
        <v>56</v>
      </c>
      <c r="C64" s="1307">
        <v>0</v>
      </c>
      <c r="D64" s="1307">
        <v>0</v>
      </c>
      <c r="E64" s="1307">
        <v>0</v>
      </c>
      <c r="F64" s="1307">
        <v>0</v>
      </c>
    </row>
    <row r="65" spans="1:6">
      <c r="A65" s="1306" t="s">
        <v>55</v>
      </c>
      <c r="B65" s="1306" t="s">
        <v>28</v>
      </c>
      <c r="C65" s="1307">
        <v>7</v>
      </c>
      <c r="D65" s="1307">
        <v>334978.70190609799</v>
      </c>
      <c r="E65" s="1307">
        <v>8</v>
      </c>
      <c r="F65" s="1307">
        <v>93546.225545998503</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4</v>
      </c>
      <c r="D68" s="1310">
        <v>114597.07478431299</v>
      </c>
      <c r="E68" s="1310">
        <v>5</v>
      </c>
      <c r="F68" s="1310">
        <v>22282.4515879965</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117999462</v>
      </c>
      <c r="E73" s="456"/>
      <c r="F73" s="332"/>
    </row>
    <row r="74" spans="1:6">
      <c r="A74" s="1306" t="s">
        <v>63</v>
      </c>
      <c r="B74" s="1306" t="s">
        <v>724</v>
      </c>
      <c r="C74" s="1320" t="s">
        <v>725</v>
      </c>
      <c r="D74" s="1321">
        <v>6393723.5378375389</v>
      </c>
      <c r="E74" s="456"/>
      <c r="F74" s="332"/>
    </row>
    <row r="75" spans="1:6">
      <c r="A75" s="1306" t="s">
        <v>64</v>
      </c>
      <c r="B75" s="1306" t="s">
        <v>722</v>
      </c>
      <c r="C75" s="1320" t="s">
        <v>726</v>
      </c>
      <c r="D75" s="1321">
        <v>51390673</v>
      </c>
      <c r="E75" s="456"/>
      <c r="F75" s="332"/>
    </row>
    <row r="76" spans="1:6">
      <c r="A76" s="1306" t="s">
        <v>64</v>
      </c>
      <c r="B76" s="1306" t="s">
        <v>724</v>
      </c>
      <c r="C76" s="1320" t="s">
        <v>727</v>
      </c>
      <c r="D76" s="1321">
        <v>375181.53783753916</v>
      </c>
      <c r="E76" s="456"/>
      <c r="F76" s="332"/>
    </row>
    <row r="77" spans="1:6">
      <c r="A77" s="1306" t="s">
        <v>65</v>
      </c>
      <c r="B77" s="1306" t="s">
        <v>722</v>
      </c>
      <c r="C77" s="1320" t="s">
        <v>728</v>
      </c>
      <c r="D77" s="1321">
        <v>26814277</v>
      </c>
      <c r="E77" s="456"/>
      <c r="F77" s="332"/>
    </row>
    <row r="78" spans="1:6">
      <c r="A78" s="1301" t="s">
        <v>65</v>
      </c>
      <c r="B78" s="1301" t="s">
        <v>724</v>
      </c>
      <c r="C78" s="1301" t="s">
        <v>729</v>
      </c>
      <c r="D78" s="1322">
        <v>6850025</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1032304.9243249217</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2910.7120855490843</v>
      </c>
      <c r="C91" s="332"/>
      <c r="D91" s="332"/>
      <c r="E91" s="332"/>
      <c r="F91" s="332"/>
    </row>
    <row r="92" spans="1:6">
      <c r="A92" s="1301" t="s">
        <v>68</v>
      </c>
      <c r="B92" s="1302">
        <v>1116.606738899826</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10619</v>
      </c>
      <c r="C97" s="332"/>
      <c r="D97" s="332"/>
      <c r="E97" s="332"/>
      <c r="F97" s="332"/>
    </row>
    <row r="98" spans="1:6">
      <c r="A98" s="1306" t="s">
        <v>71</v>
      </c>
      <c r="B98" s="1307">
        <v>10</v>
      </c>
      <c r="C98" s="332"/>
      <c r="D98" s="332"/>
      <c r="E98" s="332"/>
      <c r="F98" s="332"/>
    </row>
    <row r="99" spans="1:6">
      <c r="A99" s="1306" t="s">
        <v>72</v>
      </c>
      <c r="B99" s="1307">
        <v>37</v>
      </c>
      <c r="C99" s="332"/>
      <c r="D99" s="332"/>
      <c r="E99" s="332"/>
      <c r="F99" s="332"/>
    </row>
    <row r="100" spans="1:6">
      <c r="A100" s="1306" t="s">
        <v>73</v>
      </c>
      <c r="B100" s="1307">
        <v>1008</v>
      </c>
      <c r="C100" s="332"/>
      <c r="D100" s="332"/>
      <c r="E100" s="332"/>
      <c r="F100" s="332"/>
    </row>
    <row r="101" spans="1:6">
      <c r="A101" s="1306" t="s">
        <v>74</v>
      </c>
      <c r="B101" s="1307">
        <v>130</v>
      </c>
      <c r="C101" s="332"/>
      <c r="D101" s="332"/>
      <c r="E101" s="332"/>
      <c r="F101" s="332"/>
    </row>
    <row r="102" spans="1:6">
      <c r="A102" s="1306" t="s">
        <v>75</v>
      </c>
      <c r="B102" s="1307">
        <v>172</v>
      </c>
      <c r="C102" s="332"/>
      <c r="D102" s="332"/>
      <c r="E102" s="332"/>
      <c r="F102" s="332"/>
    </row>
    <row r="103" spans="1:6">
      <c r="A103" s="1306" t="s">
        <v>76</v>
      </c>
      <c r="B103" s="1307">
        <v>162</v>
      </c>
      <c r="C103" s="332"/>
      <c r="D103" s="332"/>
      <c r="E103" s="332"/>
      <c r="F103" s="332"/>
    </row>
    <row r="104" spans="1:6">
      <c r="A104" s="1306" t="s">
        <v>77</v>
      </c>
      <c r="B104" s="1307">
        <v>2355</v>
      </c>
      <c r="C104" s="332"/>
      <c r="D104" s="332"/>
      <c r="E104" s="332"/>
      <c r="F104" s="332"/>
    </row>
    <row r="105" spans="1:6">
      <c r="A105" s="1301" t="s">
        <v>78</v>
      </c>
      <c r="B105" s="1310">
        <v>8</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15</v>
      </c>
      <c r="C123" s="1307">
        <v>9</v>
      </c>
      <c r="D123" s="332"/>
      <c r="E123" s="332"/>
      <c r="F123" s="332"/>
    </row>
    <row r="124" spans="1:6" s="43" customFormat="1">
      <c r="A124" s="1308" t="s">
        <v>88</v>
      </c>
      <c r="B124" s="1329">
        <v>4</v>
      </c>
      <c r="C124" s="1329">
        <v>1</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98</v>
      </c>
      <c r="C129" s="332"/>
      <c r="D129" s="332"/>
      <c r="E129" s="332"/>
      <c r="F129" s="332"/>
    </row>
    <row r="130" spans="1:6">
      <c r="A130" s="1306" t="s">
        <v>294</v>
      </c>
      <c r="B130" s="1307">
        <v>1</v>
      </c>
      <c r="C130" s="332"/>
      <c r="D130" s="332"/>
      <c r="E130" s="332"/>
      <c r="F130" s="332"/>
    </row>
    <row r="131" spans="1:6">
      <c r="A131" s="1306" t="s">
        <v>295</v>
      </c>
      <c r="B131" s="1307">
        <v>2</v>
      </c>
      <c r="C131" s="332"/>
      <c r="D131" s="332"/>
      <c r="E131" s="332"/>
      <c r="F131" s="332"/>
    </row>
    <row r="132" spans="1:6">
      <c r="A132" s="1301" t="s">
        <v>296</v>
      </c>
      <c r="B132" s="1302">
        <v>9</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136739.46386617344</v>
      </c>
      <c r="C3" s="43" t="s">
        <v>169</v>
      </c>
      <c r="D3" s="43"/>
      <c r="E3" s="156"/>
      <c r="F3" s="43"/>
      <c r="G3" s="43"/>
      <c r="H3" s="43"/>
      <c r="I3" s="43"/>
      <c r="J3" s="43"/>
      <c r="K3" s="96"/>
    </row>
    <row r="4" spans="1:11">
      <c r="A4" s="363" t="s">
        <v>170</v>
      </c>
      <c r="B4" s="49">
        <f>IF(ISERROR('SEAP template'!B78+'SEAP template'!C78),0,'SEAP template'!B78+'SEAP template'!C78)</f>
        <v>5191.4688244489098</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276.65682352941184</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0.21463272487651475</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395.2240336134455</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1663.0714285714289</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0.23764705882352943</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1920.386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1920.386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0.21463272487651475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412.17767999471062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70971.1962759616</v>
      </c>
      <c r="C5" s="17">
        <f>IF(ISERROR('Eigen informatie GS &amp; warmtenet'!B57),0,'Eigen informatie GS &amp; warmtenet'!B57)</f>
        <v>0</v>
      </c>
      <c r="D5" s="30">
        <f>(SUM(HH_hh_gas_kWh,HH_rest_gas_kWh)/1000)*0.902</f>
        <v>276820.78489262034</v>
      </c>
      <c r="E5" s="17">
        <f>B46*B57</f>
        <v>1799.4529721772021</v>
      </c>
      <c r="F5" s="17">
        <f>B51*B62</f>
        <v>0</v>
      </c>
      <c r="G5" s="18"/>
      <c r="H5" s="17"/>
      <c r="I5" s="17"/>
      <c r="J5" s="17">
        <f>B50*B61+C50*C61</f>
        <v>0</v>
      </c>
      <c r="K5" s="17"/>
      <c r="L5" s="17"/>
      <c r="M5" s="17"/>
      <c r="N5" s="17">
        <f>B48*B59+C48*C59</f>
        <v>21641.428590375603</v>
      </c>
      <c r="O5" s="17">
        <f>B69*B70*B71</f>
        <v>168.84</v>
      </c>
      <c r="P5" s="17">
        <f>B77*B78*B79/1000-B77*B78*B79/1000/B80</f>
        <v>533.86666666666667</v>
      </c>
    </row>
    <row r="6" spans="1:16">
      <c r="A6" s="16" t="s">
        <v>633</v>
      </c>
      <c r="B6" s="779">
        <f>kWh_PV_kleiner_dan_10kW</f>
        <v>2910.7120855490843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73881.908361510679</v>
      </c>
      <c r="C8" s="21">
        <f>C5</f>
        <v>0</v>
      </c>
      <c r="D8" s="21">
        <f>D5</f>
        <v>276820.78489262034</v>
      </c>
      <c r="E8" s="21">
        <f>E5</f>
        <v>1799.4529721772021</v>
      </c>
      <c r="F8" s="21">
        <f>F5</f>
        <v>0</v>
      </c>
      <c r="G8" s="21"/>
      <c r="H8" s="21"/>
      <c r="I8" s="21"/>
      <c r="J8" s="21">
        <f>J5</f>
        <v>0</v>
      </c>
      <c r="K8" s="21"/>
      <c r="L8" s="21">
        <f>L5</f>
        <v>0</v>
      </c>
      <c r="M8" s="21">
        <f>M5</f>
        <v>0</v>
      </c>
      <c r="N8" s="21">
        <f>N5</f>
        <v>21641.428590375603</v>
      </c>
      <c r="O8" s="21">
        <f>O5</f>
        <v>168.84</v>
      </c>
      <c r="P8" s="21">
        <f>P5</f>
        <v>533.86666666666667</v>
      </c>
    </row>
    <row r="9" spans="1:16">
      <c r="B9" s="19"/>
      <c r="C9" s="19"/>
      <c r="D9" s="261"/>
      <c r="E9" s="19"/>
      <c r="F9" s="19"/>
      <c r="G9" s="19"/>
      <c r="H9" s="19"/>
      <c r="I9" s="19"/>
      <c r="J9" s="19"/>
      <c r="K9" s="19"/>
      <c r="L9" s="19"/>
      <c r="M9" s="19"/>
      <c r="N9" s="19"/>
      <c r="O9" s="19"/>
      <c r="P9" s="19"/>
    </row>
    <row r="10" spans="1:16">
      <c r="A10" s="24" t="s">
        <v>213</v>
      </c>
      <c r="B10" s="25">
        <f ca="1">'EF ele_warmte'!B12</f>
        <v>0.21463272487651475</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15857.475310707996</v>
      </c>
      <c r="C12" s="23">
        <f ca="1">C10*C8</f>
        <v>0</v>
      </c>
      <c r="D12" s="23">
        <f>D8*D10</f>
        <v>55917.798548309314</v>
      </c>
      <c r="E12" s="23">
        <f>E10*E8</f>
        <v>408.4758246842249</v>
      </c>
      <c r="F12" s="23">
        <f>F10*F8</f>
        <v>0</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10619</v>
      </c>
      <c r="C18" s="168" t="s">
        <v>110</v>
      </c>
      <c r="D18" s="230"/>
      <c r="E18" s="15"/>
    </row>
    <row r="19" spans="1:7">
      <c r="A19" s="173" t="s">
        <v>71</v>
      </c>
      <c r="B19" s="37">
        <f>aantalw2001_ander</f>
        <v>10</v>
      </c>
      <c r="C19" s="168" t="s">
        <v>110</v>
      </c>
      <c r="D19" s="231"/>
      <c r="E19" s="15"/>
    </row>
    <row r="20" spans="1:7">
      <c r="A20" s="173" t="s">
        <v>72</v>
      </c>
      <c r="B20" s="37">
        <f>aantalw2001_propaan</f>
        <v>37</v>
      </c>
      <c r="C20" s="169">
        <f>IF(ISERROR(B20/SUM($B$20,$B$21,$B$22)*100),0,B20/SUM($B$20,$B$21,$B$22)*100)</f>
        <v>3.1489361702127661</v>
      </c>
      <c r="D20" s="231"/>
      <c r="E20" s="15"/>
    </row>
    <row r="21" spans="1:7">
      <c r="A21" s="173" t="s">
        <v>73</v>
      </c>
      <c r="B21" s="37">
        <f>aantalw2001_elektriciteit</f>
        <v>1008</v>
      </c>
      <c r="C21" s="169">
        <f>IF(ISERROR(B21/SUM($B$20,$B$21,$B$22)*100),0,B21/SUM($B$20,$B$21,$B$22)*100)</f>
        <v>85.787234042553195</v>
      </c>
      <c r="D21" s="231"/>
      <c r="E21" s="15"/>
    </row>
    <row r="22" spans="1:7">
      <c r="A22" s="173" t="s">
        <v>74</v>
      </c>
      <c r="B22" s="37">
        <f>aantalw2001_hout</f>
        <v>130</v>
      </c>
      <c r="C22" s="169">
        <f>IF(ISERROR(B22/SUM($B$20,$B$21,$B$22)*100),0,B22/SUM($B$20,$B$21,$B$22)*100)</f>
        <v>11.063829787234042</v>
      </c>
      <c r="D22" s="231"/>
      <c r="E22" s="15"/>
    </row>
    <row r="23" spans="1:7">
      <c r="A23" s="173" t="s">
        <v>75</v>
      </c>
      <c r="B23" s="37">
        <f>aantalw2001_niet_gespec</f>
        <v>172</v>
      </c>
      <c r="C23" s="168" t="s">
        <v>110</v>
      </c>
      <c r="D23" s="230"/>
      <c r="E23" s="15"/>
    </row>
    <row r="24" spans="1:7">
      <c r="A24" s="173" t="s">
        <v>76</v>
      </c>
      <c r="B24" s="37">
        <f>aantalw2001_steenkool</f>
        <v>162</v>
      </c>
      <c r="C24" s="168" t="s">
        <v>110</v>
      </c>
      <c r="D24" s="231"/>
      <c r="E24" s="15"/>
    </row>
    <row r="25" spans="1:7">
      <c r="A25" s="173" t="s">
        <v>77</v>
      </c>
      <c r="B25" s="37">
        <f>aantalw2001_stookolie</f>
        <v>2355</v>
      </c>
      <c r="C25" s="168" t="s">
        <v>110</v>
      </c>
      <c r="D25" s="230"/>
      <c r="E25" s="52"/>
    </row>
    <row r="26" spans="1:7">
      <c r="A26" s="173" t="s">
        <v>78</v>
      </c>
      <c r="B26" s="37">
        <f>aantalw2001_WP</f>
        <v>8</v>
      </c>
      <c r="C26" s="168" t="s">
        <v>110</v>
      </c>
      <c r="D26" s="230"/>
      <c r="E26" s="15"/>
    </row>
    <row r="27" spans="1:7" s="15" customFormat="1">
      <c r="A27" s="173"/>
      <c r="B27" s="29"/>
      <c r="C27" s="36"/>
      <c r="D27" s="230"/>
    </row>
    <row r="28" spans="1:7" s="15" customFormat="1">
      <c r="A28" s="232" t="s">
        <v>742</v>
      </c>
      <c r="B28" s="37">
        <f>aantalHuishoudens</f>
        <v>15701</v>
      </c>
      <c r="C28" s="36"/>
      <c r="D28" s="230"/>
    </row>
    <row r="29" spans="1:7" s="15" customFormat="1">
      <c r="A29" s="232" t="s">
        <v>743</v>
      </c>
      <c r="B29" s="37">
        <f>SUM(HH_hh_gas_aantal,HH_rest_gas_aantal)</f>
        <v>13181</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13181</v>
      </c>
      <c r="C32" s="169">
        <f>IF(ISERROR(B32/SUM($B$32,$B$34,$B$35,$B$36,$B$38,$B$39)*100),0,B32/SUM($B$32,$B$34,$B$35,$B$36,$B$38,$B$39)*100)</f>
        <v>84.100044662795895</v>
      </c>
      <c r="D32" s="235"/>
      <c r="G32" s="15"/>
    </row>
    <row r="33" spans="1:7">
      <c r="A33" s="173" t="s">
        <v>71</v>
      </c>
      <c r="B33" s="34" t="s">
        <v>110</v>
      </c>
      <c r="C33" s="169"/>
      <c r="D33" s="235"/>
      <c r="G33" s="15"/>
    </row>
    <row r="34" spans="1:7">
      <c r="A34" s="173" t="s">
        <v>72</v>
      </c>
      <c r="B34" s="33">
        <f>IF((($B$28-$B$32-$B$39-$B$77-$B$38)*C20/100)&lt;0,0,($B$28-$B$32-$B$39-$B$77-$B$38)*C20/100)</f>
        <v>78.47148936170214</v>
      </c>
      <c r="C34" s="169">
        <f>IF(ISERROR(B34/SUM($B$32,$B$34,$B$35,$B$36,$B$38,$B$39)*100),0,B34/SUM($B$32,$B$34,$B$35,$B$36,$B$38,$B$39)*100)</f>
        <v>0.50067944466089542</v>
      </c>
      <c r="D34" s="235"/>
      <c r="G34" s="15"/>
    </row>
    <row r="35" spans="1:7">
      <c r="A35" s="173" t="s">
        <v>73</v>
      </c>
      <c r="B35" s="33">
        <f>IF((($B$28-$B$32-$B$39-$B$77-$B$38)*C21/100)&lt;0,0,($B$28-$B$32-$B$39-$B$77-$B$38)*C21/100)</f>
        <v>2137.8178723404258</v>
      </c>
      <c r="C35" s="169">
        <f>IF(ISERROR(B35/SUM($B$32,$B$34,$B$35,$B$36,$B$38,$B$39)*100),0,B35/SUM($B$32,$B$34,$B$35,$B$36,$B$38,$B$39)*100)</f>
        <v>13.640131897788718</v>
      </c>
      <c r="D35" s="235"/>
      <c r="G35" s="15"/>
    </row>
    <row r="36" spans="1:7">
      <c r="A36" s="173" t="s">
        <v>74</v>
      </c>
      <c r="B36" s="33">
        <f>IF((($B$28-$B$32-$B$39-$B$77-$B$38)*C22/100)&lt;0,0,($B$28-$B$32-$B$39-$B$77-$B$38)*C22/100)</f>
        <v>275.71063829787232</v>
      </c>
      <c r="C36" s="169">
        <f>IF(ISERROR(B36/SUM($B$32,$B$34,$B$35,$B$36,$B$38,$B$39)*100),0,B36/SUM($B$32,$B$34,$B$35,$B$36,$B$38,$B$39)*100)</f>
        <v>1.7591439947544969</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0</v>
      </c>
      <c r="C39" s="169">
        <f>IF(ISERROR(B39/SUM($B$32,$B$34,$B$35,$B$36,$B$38,$B$39)*100),0,B39/SUM($B$32,$B$34,$B$35,$B$36,$B$38,$B$39)*100)</f>
        <v>0</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13181</v>
      </c>
      <c r="C44" s="34" t="s">
        <v>110</v>
      </c>
      <c r="D44" s="176"/>
    </row>
    <row r="45" spans="1:7">
      <c r="A45" s="173" t="s">
        <v>71</v>
      </c>
      <c r="B45" s="33" t="str">
        <f t="shared" si="0"/>
        <v>-</v>
      </c>
      <c r="C45" s="34" t="s">
        <v>110</v>
      </c>
      <c r="D45" s="176"/>
    </row>
    <row r="46" spans="1:7">
      <c r="A46" s="173" t="s">
        <v>72</v>
      </c>
      <c r="B46" s="33">
        <f t="shared" si="0"/>
        <v>78.47148936170214</v>
      </c>
      <c r="C46" s="34" t="s">
        <v>110</v>
      </c>
      <c r="D46" s="176"/>
    </row>
    <row r="47" spans="1:7">
      <c r="A47" s="173" t="s">
        <v>73</v>
      </c>
      <c r="B47" s="33">
        <f t="shared" si="0"/>
        <v>2137.8178723404258</v>
      </c>
      <c r="C47" s="34" t="s">
        <v>110</v>
      </c>
      <c r="D47" s="176"/>
    </row>
    <row r="48" spans="1:7">
      <c r="A48" s="173" t="s">
        <v>74</v>
      </c>
      <c r="B48" s="33">
        <f t="shared" si="0"/>
        <v>275.71063829787232</v>
      </c>
      <c r="C48" s="33">
        <f>B48*10</f>
        <v>2757.1063829787231</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0</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108</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28</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50801.611580541219</v>
      </c>
      <c r="C5" s="17">
        <f>IF(ISERROR('Eigen informatie GS &amp; warmtenet'!B58),0,'Eigen informatie GS &amp; warmtenet'!B58)</f>
        <v>0</v>
      </c>
      <c r="D5" s="30">
        <f>SUM(D6:D12)</f>
        <v>93942.791653392691</v>
      </c>
      <c r="E5" s="17">
        <f>SUM(E6:E12)</f>
        <v>570.25748926146525</v>
      </c>
      <c r="F5" s="17">
        <f>SUM(F6:F12)</f>
        <v>10135.696413847107</v>
      </c>
      <c r="G5" s="18"/>
      <c r="H5" s="17"/>
      <c r="I5" s="17"/>
      <c r="J5" s="17">
        <f>SUM(J6:J12)</f>
        <v>0</v>
      </c>
      <c r="K5" s="17"/>
      <c r="L5" s="17"/>
      <c r="M5" s="17"/>
      <c r="N5" s="17">
        <f>SUM(N6:N12)</f>
        <v>4122.176098940984</v>
      </c>
      <c r="O5" s="17">
        <f>B38*B39*B40</f>
        <v>1.5633333333333335</v>
      </c>
      <c r="P5" s="17">
        <f>B46*B47*B48/1000-B46*B47*B48/1000/B49</f>
        <v>38.133333333333333</v>
      </c>
      <c r="R5" s="32"/>
    </row>
    <row r="6" spans="1:18">
      <c r="A6" s="32" t="s">
        <v>53</v>
      </c>
      <c r="B6" s="37">
        <f>B26</f>
        <v>14978.337409645399</v>
      </c>
      <c r="C6" s="33"/>
      <c r="D6" s="37">
        <f>IF(ISERROR(TER_kantoor_gas_kWh/1000),0,TER_kantoor_gas_kWh/1000)*0.902</f>
        <v>36927.890473522129</v>
      </c>
      <c r="E6" s="33">
        <f>$C$26*'E Balans VL '!I12/100/3.6*1000000</f>
        <v>58.194011935265571</v>
      </c>
      <c r="F6" s="33">
        <f>$C$26*('E Balans VL '!L12+'E Balans VL '!N12)/100/3.6*1000000</f>
        <v>2278.0688280027789</v>
      </c>
      <c r="G6" s="34"/>
      <c r="H6" s="33"/>
      <c r="I6" s="33"/>
      <c r="J6" s="33">
        <f>$C$26*('E Balans VL '!D12+'E Balans VL '!E12)/100/3.6*1000000</f>
        <v>0</v>
      </c>
      <c r="K6" s="33"/>
      <c r="L6" s="33"/>
      <c r="M6" s="33"/>
      <c r="N6" s="33">
        <f>$C$26*'E Balans VL '!Y12/100/3.6*1000000</f>
        <v>8.2548582733466738</v>
      </c>
      <c r="O6" s="33"/>
      <c r="P6" s="33"/>
      <c r="R6" s="32"/>
    </row>
    <row r="7" spans="1:18">
      <c r="A7" s="32" t="s">
        <v>52</v>
      </c>
      <c r="B7" s="37">
        <f t="shared" ref="B7:B12" si="0">B27</f>
        <v>4729.6694596207899</v>
      </c>
      <c r="C7" s="33"/>
      <c r="D7" s="37">
        <f>IF(ISERROR(TER_horeca_gas_kWh/1000),0,TER_horeca_gas_kWh/1000)*0.902</f>
        <v>9380.0676042299856</v>
      </c>
      <c r="E7" s="33">
        <f>$C$27*'E Balans VL '!I9/100/3.6*1000000</f>
        <v>266.42354516454634</v>
      </c>
      <c r="F7" s="33">
        <f>$C$27*('E Balans VL '!L9+'E Balans VL '!N9)/100/3.6*1000000</f>
        <v>1363.7535126245057</v>
      </c>
      <c r="G7" s="34"/>
      <c r="H7" s="33"/>
      <c r="I7" s="33"/>
      <c r="J7" s="33">
        <f>$C$27*('E Balans VL '!D9+'E Balans VL '!E9)/100/3.6*1000000</f>
        <v>0</v>
      </c>
      <c r="K7" s="33"/>
      <c r="L7" s="33"/>
      <c r="M7" s="33"/>
      <c r="N7" s="33">
        <f>$C$27*'E Balans VL '!Y9/100/3.6*1000000</f>
        <v>1.3058371601263496</v>
      </c>
      <c r="O7" s="33"/>
      <c r="P7" s="33"/>
      <c r="R7" s="32"/>
    </row>
    <row r="8" spans="1:18">
      <c r="A8" s="6" t="s">
        <v>51</v>
      </c>
      <c r="B8" s="37">
        <f t="shared" si="0"/>
        <v>11690.638869292301</v>
      </c>
      <c r="C8" s="33"/>
      <c r="D8" s="37">
        <f>IF(ISERROR(TER_handel_gas_kWh/1000),0,TER_handel_gas_kWh/1000)*0.902</f>
        <v>10807.213649925918</v>
      </c>
      <c r="E8" s="33">
        <f>$C$28*'E Balans VL '!I13/100/3.6*1000000</f>
        <v>168.50176849874225</v>
      </c>
      <c r="F8" s="33">
        <f>$C$28*('E Balans VL '!L13+'E Balans VL '!N13)/100/3.6*1000000</f>
        <v>2030.936228203775</v>
      </c>
      <c r="G8" s="34"/>
      <c r="H8" s="33"/>
      <c r="I8" s="33"/>
      <c r="J8" s="33">
        <f>$C$28*('E Balans VL '!D13+'E Balans VL '!E13)/100/3.6*1000000</f>
        <v>0</v>
      </c>
      <c r="K8" s="33"/>
      <c r="L8" s="33"/>
      <c r="M8" s="33"/>
      <c r="N8" s="33">
        <f>$C$28*'E Balans VL '!Y13/100/3.6*1000000</f>
        <v>35.026455481128295</v>
      </c>
      <c r="O8" s="33"/>
      <c r="P8" s="33"/>
      <c r="R8" s="32"/>
    </row>
    <row r="9" spans="1:18">
      <c r="A9" s="32" t="s">
        <v>50</v>
      </c>
      <c r="B9" s="37">
        <f t="shared" si="0"/>
        <v>8249.5289671854498</v>
      </c>
      <c r="C9" s="33"/>
      <c r="D9" s="37">
        <f>IF(ISERROR(TER_gezond_gas_kWh/1000),0,TER_gezond_gas_kWh/1000)*0.902</f>
        <v>14846.770832644876</v>
      </c>
      <c r="E9" s="33">
        <f>$C$29*'E Balans VL '!I10/100/3.6*1000000</f>
        <v>8.8126351363394697</v>
      </c>
      <c r="F9" s="33">
        <f>$C$29*('E Balans VL '!L10+'E Balans VL '!N10)/100/3.6*1000000</f>
        <v>1345.7488871413095</v>
      </c>
      <c r="G9" s="34"/>
      <c r="H9" s="33"/>
      <c r="I9" s="33"/>
      <c r="J9" s="33">
        <f>$C$29*('E Balans VL '!D10+'E Balans VL '!E10)/100/3.6*1000000</f>
        <v>0</v>
      </c>
      <c r="K9" s="33"/>
      <c r="L9" s="33"/>
      <c r="M9" s="33"/>
      <c r="N9" s="33">
        <f>$C$29*'E Balans VL '!Y10/100/3.6*1000000</f>
        <v>84.924193629853363</v>
      </c>
      <c r="O9" s="33"/>
      <c r="P9" s="33"/>
      <c r="R9" s="32"/>
    </row>
    <row r="10" spans="1:18">
      <c r="A10" s="32" t="s">
        <v>49</v>
      </c>
      <c r="B10" s="37">
        <f t="shared" si="0"/>
        <v>5345.5732945892005</v>
      </c>
      <c r="C10" s="33"/>
      <c r="D10" s="37">
        <f>IF(ISERROR(TER_ander_gas_kWh/1000),0,TER_ander_gas_kWh/1000)*0.902</f>
        <v>7418.6540785725283</v>
      </c>
      <c r="E10" s="33">
        <f>$C$30*'E Balans VL '!I14/100/3.6*1000000</f>
        <v>24.58347845975662</v>
      </c>
      <c r="F10" s="33">
        <f>$C$30*('E Balans VL '!L14+'E Balans VL '!N14)/100/3.6*1000000</f>
        <v>1602.2369309248825</v>
      </c>
      <c r="G10" s="34"/>
      <c r="H10" s="33"/>
      <c r="I10" s="33"/>
      <c r="J10" s="33">
        <f>$C$30*('E Balans VL '!D14+'E Balans VL '!E14)/100/3.6*1000000</f>
        <v>0</v>
      </c>
      <c r="K10" s="33"/>
      <c r="L10" s="33"/>
      <c r="M10" s="33"/>
      <c r="N10" s="33">
        <f>$C$30*'E Balans VL '!Y14/100/3.6*1000000</f>
        <v>3720.8718784363241</v>
      </c>
      <c r="O10" s="33"/>
      <c r="P10" s="33"/>
      <c r="R10" s="32"/>
    </row>
    <row r="11" spans="1:18">
      <c r="A11" s="32" t="s">
        <v>54</v>
      </c>
      <c r="B11" s="37">
        <f t="shared" si="0"/>
        <v>2383.9273800556703</v>
      </c>
      <c r="C11" s="33"/>
      <c r="D11" s="37">
        <f>IF(ISERROR(TER_onderwijs_gas_kWh/1000),0,TER_onderwijs_gas_kWh/1000)*0.902</f>
        <v>8934.0022952773361</v>
      </c>
      <c r="E11" s="33">
        <f>$C$31*'E Balans VL '!I11/100/3.6*1000000</f>
        <v>2.2114061523787591</v>
      </c>
      <c r="F11" s="33">
        <f>$C$31*('E Balans VL '!L11+'E Balans VL '!N11)/100/3.6*1000000</f>
        <v>837.4188979819653</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3423.93620015241</v>
      </c>
      <c r="C12" s="33"/>
      <c r="D12" s="37">
        <f>IF(ISERROR(TER_rest_gas_kWh/1000),0,TER_rest_gas_kWh/1000)*0.902</f>
        <v>5628.1927192199209</v>
      </c>
      <c r="E12" s="33">
        <f>$C$32*'E Balans VL '!I8/100/3.6*1000000</f>
        <v>41.530643914436297</v>
      </c>
      <c r="F12" s="33">
        <f>$C$32*('E Balans VL '!L8+'E Balans VL '!N8)/100/3.6*1000000</f>
        <v>677.53312896789134</v>
      </c>
      <c r="G12" s="34"/>
      <c r="H12" s="33"/>
      <c r="I12" s="33"/>
      <c r="J12" s="33">
        <f>$C$32*('E Balans VL '!D8+'E Balans VL '!E8)/100/3.6*1000000</f>
        <v>0</v>
      </c>
      <c r="K12" s="33"/>
      <c r="L12" s="33"/>
      <c r="M12" s="33"/>
      <c r="N12" s="33">
        <f>$C$32*'E Balans VL '!Y8/100/3.6*1000000</f>
        <v>271.79287596020555</v>
      </c>
      <c r="O12" s="33"/>
      <c r="P12" s="33"/>
      <c r="R12" s="32"/>
    </row>
    <row r="13" spans="1:18">
      <c r="A13" s="16" t="s">
        <v>496</v>
      </c>
      <c r="B13" s="249">
        <f ca="1">'lokale energieproductie'!N40+'lokale energieproductie'!N33</f>
        <v>630.00000000000011</v>
      </c>
      <c r="C13" s="249">
        <f ca="1">'lokale energieproductie'!O40+'lokale energieproductie'!O33</f>
        <v>900.00000000000023</v>
      </c>
      <c r="D13" s="310">
        <f ca="1">('lokale energieproductie'!P33+'lokale energieproductie'!P40)*(-1)</f>
        <v>-1800.0000000000005</v>
      </c>
      <c r="E13" s="250"/>
      <c r="F13" s="310">
        <f ca="1">('lokale energieproductie'!S33+'lokale energieproductie'!S40)*(-1)</f>
        <v>0</v>
      </c>
      <c r="G13" s="251"/>
      <c r="H13" s="250"/>
      <c r="I13" s="250"/>
      <c r="J13" s="250"/>
      <c r="K13" s="250"/>
      <c r="L13" s="310">
        <f ca="1">('lokale energieproductie'!U33+'lokale energieproductie'!T33+'lokale energieproductie'!U40+'lokale energieproductie'!T40)*(-1)</f>
        <v>0</v>
      </c>
      <c r="M13" s="250"/>
      <c r="N13" s="310">
        <f ca="1">('lokale energieproductie'!Q33+'lokale energieproductie'!R33+'lokale energieproductie'!V33+'lokale energieproductie'!Q40+'lokale energieproductie'!R40+'lokale energieproductie'!V40)*(-1)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51431.611580541219</v>
      </c>
      <c r="C16" s="21">
        <f t="shared" ca="1" si="1"/>
        <v>900.00000000000023</v>
      </c>
      <c r="D16" s="21">
        <f t="shared" ca="1" si="1"/>
        <v>92142.791653392691</v>
      </c>
      <c r="E16" s="21">
        <f t="shared" si="1"/>
        <v>570.25748926146525</v>
      </c>
      <c r="F16" s="21">
        <f t="shared" ca="1" si="1"/>
        <v>10135.696413847107</v>
      </c>
      <c r="G16" s="21">
        <f t="shared" si="1"/>
        <v>0</v>
      </c>
      <c r="H16" s="21">
        <f t="shared" si="1"/>
        <v>0</v>
      </c>
      <c r="I16" s="21">
        <f t="shared" si="1"/>
        <v>0</v>
      </c>
      <c r="J16" s="21">
        <f t="shared" si="1"/>
        <v>0</v>
      </c>
      <c r="K16" s="21">
        <f t="shared" si="1"/>
        <v>0</v>
      </c>
      <c r="L16" s="21">
        <f t="shared" ca="1" si="1"/>
        <v>0</v>
      </c>
      <c r="M16" s="21">
        <f t="shared" si="1"/>
        <v>0</v>
      </c>
      <c r="N16" s="21">
        <f t="shared" ca="1" si="1"/>
        <v>4122.176098940984</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0.21463272487651475</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11038.906938322074</v>
      </c>
      <c r="C20" s="23">
        <f t="shared" ref="C20:P20" ca="1" si="2">C16*C18</f>
        <v>213.88235294117655</v>
      </c>
      <c r="D20" s="23">
        <f t="shared" ca="1" si="2"/>
        <v>18612.843913985325</v>
      </c>
      <c r="E20" s="23">
        <f t="shared" si="2"/>
        <v>129.44845006235261</v>
      </c>
      <c r="F20" s="23">
        <f t="shared" ca="1" si="2"/>
        <v>2706.2309424971777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14978.337409645399</v>
      </c>
      <c r="C26" s="39">
        <f>IF(ISERROR(B26*3.6/1000000/'E Balans VL '!Z12*100),0,B26*3.6/1000000/'E Balans VL '!Z12*100)</f>
        <v>0.31814730588472473</v>
      </c>
      <c r="D26" s="239" t="s">
        <v>689</v>
      </c>
      <c r="F26" s="6"/>
    </row>
    <row r="27" spans="1:18">
      <c r="A27" s="233" t="s">
        <v>52</v>
      </c>
      <c r="B27" s="33">
        <f>IF(ISERROR(TER_horeca_ele_kWh/1000),0,TER_horeca_ele_kWh/1000)</f>
        <v>4729.6694596207899</v>
      </c>
      <c r="C27" s="39">
        <f>IF(ISERROR(B27*3.6/1000000/'E Balans VL '!Z9*100),0,B27*3.6/1000000/'E Balans VL '!Z9*100)</f>
        <v>0.3677606045428386</v>
      </c>
      <c r="D27" s="239" t="s">
        <v>689</v>
      </c>
      <c r="F27" s="6"/>
    </row>
    <row r="28" spans="1:18">
      <c r="A28" s="173" t="s">
        <v>51</v>
      </c>
      <c r="B28" s="33">
        <f>IF(ISERROR(TER_handel_ele_kWh/1000),0,TER_handel_ele_kWh/1000)</f>
        <v>11690.638869292301</v>
      </c>
      <c r="C28" s="39">
        <f>IF(ISERROR(B28*3.6/1000000/'E Balans VL '!Z13*100),0,B28*3.6/1000000/'E Balans VL '!Z13*100)</f>
        <v>0.33448293655606864</v>
      </c>
      <c r="D28" s="239" t="s">
        <v>689</v>
      </c>
      <c r="F28" s="6"/>
    </row>
    <row r="29" spans="1:18">
      <c r="A29" s="233" t="s">
        <v>50</v>
      </c>
      <c r="B29" s="33">
        <f>IF(ISERROR(TER_gezond_ele_kWh/1000),0,TER_gezond_ele_kWh/1000)</f>
        <v>8249.5289671854498</v>
      </c>
      <c r="C29" s="39">
        <f>IF(ISERROR(B29*3.6/1000000/'E Balans VL '!Z10*100),0,B29*3.6/1000000/'E Balans VL '!Z10*100)</f>
        <v>0.89939035348595253</v>
      </c>
      <c r="D29" s="239" t="s">
        <v>689</v>
      </c>
      <c r="F29" s="6"/>
    </row>
    <row r="30" spans="1:18">
      <c r="A30" s="233" t="s">
        <v>49</v>
      </c>
      <c r="B30" s="33">
        <f>IF(ISERROR(TER_ander_ele_kWh/1000),0,TER_ander_ele_kWh/1000)</f>
        <v>5345.5732945892005</v>
      </c>
      <c r="C30" s="39">
        <f>IF(ISERROR(B30*3.6/1000000/'E Balans VL '!Z14*100),0,B30*3.6/1000000/'E Balans VL '!Z14*100)</f>
        <v>0.39117692755247463</v>
      </c>
      <c r="D30" s="239" t="s">
        <v>689</v>
      </c>
      <c r="F30" s="6"/>
    </row>
    <row r="31" spans="1:18">
      <c r="A31" s="233" t="s">
        <v>54</v>
      </c>
      <c r="B31" s="33">
        <f>IF(ISERROR(TER_onderwijs_ele_kWh/1000),0,TER_onderwijs_ele_kWh/1000)</f>
        <v>2383.9273800556703</v>
      </c>
      <c r="C31" s="39">
        <f>IF(ISERROR(B31*3.6/1000000/'E Balans VL '!Z11*100),0,B31*3.6/1000000/'E Balans VL '!Z11*100)</f>
        <v>0.47881358453983919</v>
      </c>
      <c r="D31" s="239" t="s">
        <v>689</v>
      </c>
    </row>
    <row r="32" spans="1:18">
      <c r="A32" s="233" t="s">
        <v>259</v>
      </c>
      <c r="B32" s="33">
        <f>IF(ISERROR(TER_rest_ele_kWh/1000),0,TER_rest_ele_kWh/1000)</f>
        <v>3423.93620015241</v>
      </c>
      <c r="C32" s="39">
        <f>IF(ISERROR(B32*3.6/1000000/'E Balans VL '!Z8*100),0,B32*3.6/1000000/'E Balans VL '!Z8*100)</f>
        <v>2.7903002149937742E-2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2</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3657.1927791164971</v>
      </c>
      <c r="C5" s="17">
        <f>IF(ISERROR('Eigen informatie GS &amp; warmtenet'!B59),0,'Eigen informatie GS &amp; warmtenet'!B59)</f>
        <v>0</v>
      </c>
      <c r="D5" s="30">
        <f>SUM(D6:D15)</f>
        <v>5312.86498792577</v>
      </c>
      <c r="E5" s="17">
        <f>SUM(E6:E15)</f>
        <v>618.88036711607288</v>
      </c>
      <c r="F5" s="17">
        <f>SUM(F6:F15)</f>
        <v>2778.7447695310047</v>
      </c>
      <c r="G5" s="18"/>
      <c r="H5" s="17"/>
      <c r="I5" s="17"/>
      <c r="J5" s="17">
        <f>SUM(J6:J15)</f>
        <v>1.0662480764073878</v>
      </c>
      <c r="K5" s="17"/>
      <c r="L5" s="17"/>
      <c r="M5" s="17"/>
      <c r="N5" s="17">
        <f>SUM(N6:N15)</f>
        <v>505.12993849451692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141.68999871769</v>
      </c>
      <c r="C8" s="33"/>
      <c r="D8" s="37">
        <f>IF( ISERROR(IND_metaal_Gas_kWH/1000),0,IND_metaal_Gas_kWH/1000)*0.902</f>
        <v>0</v>
      </c>
      <c r="E8" s="33">
        <f>C30*'E Balans VL '!I18/100/3.6*1000000</f>
        <v>4.0698686021819999</v>
      </c>
      <c r="F8" s="33">
        <f>C30*'E Balans VL '!L18/100/3.6*1000000+C30*'E Balans VL '!N18/100/3.6*1000000</f>
        <v>36.340759580785921</v>
      </c>
      <c r="G8" s="34"/>
      <c r="H8" s="33"/>
      <c r="I8" s="33"/>
      <c r="J8" s="40">
        <f>C30*'E Balans VL '!D18/100/3.6*1000000+C30*'E Balans VL '!E18/100/3.6*1000000</f>
        <v>0</v>
      </c>
      <c r="K8" s="33"/>
      <c r="L8" s="33"/>
      <c r="M8" s="33"/>
      <c r="N8" s="33">
        <f>C30*'E Balans VL '!Y18/100/3.6*1000000</f>
        <v>3.8471726954501504</v>
      </c>
      <c r="O8" s="33"/>
      <c r="P8" s="33"/>
      <c r="R8" s="32"/>
    </row>
    <row r="9" spans="1:18">
      <c r="A9" s="6" t="s">
        <v>32</v>
      </c>
      <c r="B9" s="37">
        <f t="shared" si="0"/>
        <v>1900.9268325836902</v>
      </c>
      <c r="C9" s="33"/>
      <c r="D9" s="37">
        <f>IF( ISERROR(IND_andere_gas_kWh/1000),0,IND_andere_gas_kWh/1000)*0.902</f>
        <v>3098.1842997152617</v>
      </c>
      <c r="E9" s="33">
        <f>C31*'E Balans VL '!I19/100/3.6*1000000</f>
        <v>514.5341554154877</v>
      </c>
      <c r="F9" s="33">
        <f>C31*'E Balans VL '!L19/100/3.6*1000000+C31*'E Balans VL '!N19/100/3.6*1000000</f>
        <v>1266.2184305800045</v>
      </c>
      <c r="G9" s="34"/>
      <c r="H9" s="33"/>
      <c r="I9" s="33"/>
      <c r="J9" s="40">
        <f>C31*'E Balans VL '!D19/100/3.6*1000000+C31*'E Balans VL '!E19/100/3.6*1000000</f>
        <v>0</v>
      </c>
      <c r="K9" s="33"/>
      <c r="L9" s="33"/>
      <c r="M9" s="33"/>
      <c r="N9" s="33">
        <f>C31*'E Balans VL '!Y19/100/3.6*1000000</f>
        <v>160.71077149263624</v>
      </c>
      <c r="O9" s="33"/>
      <c r="P9" s="33"/>
      <c r="R9" s="32"/>
    </row>
    <row r="10" spans="1:18">
      <c r="A10" s="6" t="s">
        <v>40</v>
      </c>
      <c r="B10" s="37">
        <f t="shared" si="0"/>
        <v>910.50795331344796</v>
      </c>
      <c r="C10" s="33"/>
      <c r="D10" s="37">
        <f>IF( ISERROR(IND_voed_gas_kWh/1000),0,IND_voed_gas_kWh/1000)*0.902</f>
        <v>1267.1343828324591</v>
      </c>
      <c r="E10" s="33">
        <f>C32*'E Balans VL '!I20/100/3.6*1000000</f>
        <v>74.26312050983509</v>
      </c>
      <c r="F10" s="33">
        <f>C32*'E Balans VL '!L20/100/3.6*1000000+C32*'E Balans VL '!N20/100/3.6*1000000</f>
        <v>1357.6499669101406</v>
      </c>
      <c r="G10" s="34"/>
      <c r="H10" s="33"/>
      <c r="I10" s="33"/>
      <c r="J10" s="40">
        <f>C32*'E Balans VL '!D20/100/3.6*1000000+C32*'E Balans VL '!E20/100/3.6*1000000</f>
        <v>1.2044915013945973E-2</v>
      </c>
      <c r="K10" s="33"/>
      <c r="L10" s="33"/>
      <c r="M10" s="33"/>
      <c r="N10" s="33">
        <f>C32*'E Balans VL '!Y20/100/3.6*1000000</f>
        <v>267.47510832215096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292.76198751379201</v>
      </c>
      <c r="C13" s="33"/>
      <c r="D13" s="37">
        <f>IF( ISERROR(IND_papier_gas_kWh/1000),0,IND_papier_gas_kWh/1000)*0.902</f>
        <v>217.01049834038963</v>
      </c>
      <c r="E13" s="33">
        <f>C35*'E Balans VL '!I23/100/3.6*1000000</f>
        <v>3.0672151664583875</v>
      </c>
      <c r="F13" s="33">
        <f>C35*'E Balans VL '!L23/100/3.6*1000000+C35*'E Balans VL '!N23/100/3.6*1000000</f>
        <v>21.845951399180066</v>
      </c>
      <c r="G13" s="34"/>
      <c r="H13" s="33"/>
      <c r="I13" s="33"/>
      <c r="J13" s="40">
        <f>C35*'E Balans VL '!D23/100/3.6*1000000+C35*'E Balans VL '!E23/100/3.6*1000000</f>
        <v>0</v>
      </c>
      <c r="K13" s="33"/>
      <c r="L13" s="33"/>
      <c r="M13" s="33"/>
      <c r="N13" s="33">
        <f>C35*'E Balans VL '!Y23/100/3.6*1000000</f>
        <v>54.008256455648201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411.30600698787703</v>
      </c>
      <c r="C15" s="33"/>
      <c r="D15" s="37">
        <f>IF( ISERROR(IND_rest_gas_kWh/1000),0,IND_rest_gas_kWh/1000)*0.902</f>
        <v>730.53580703765965</v>
      </c>
      <c r="E15" s="33">
        <f>C37*'E Balans VL '!I15/100/3.6*1000000</f>
        <v>22.94600742210967</v>
      </c>
      <c r="F15" s="33">
        <f>C37*'E Balans VL '!L15/100/3.6*1000000+C37*'E Balans VL '!N15/100/3.6*1000000</f>
        <v>96.689661060893968</v>
      </c>
      <c r="G15" s="34"/>
      <c r="H15" s="33"/>
      <c r="I15" s="33"/>
      <c r="J15" s="40">
        <f>C37*'E Balans VL '!D15/100/3.6*1000000+C37*'E Balans VL '!E15/100/3.6*1000000</f>
        <v>1.0542031613934419</v>
      </c>
      <c r="K15" s="33"/>
      <c r="L15" s="33"/>
      <c r="M15" s="33"/>
      <c r="N15" s="33">
        <f>C37*'E Balans VL '!Y15/100/3.6*1000000</f>
        <v>19.088629528631365</v>
      </c>
      <c r="O15" s="33"/>
      <c r="P15" s="33"/>
      <c r="R15" s="32"/>
    </row>
    <row r="16" spans="1:18">
      <c r="A16" s="16" t="s">
        <v>496</v>
      </c>
      <c r="B16" s="249">
        <f>'lokale energieproductie'!N39+'lokale energieproductie'!N32</f>
        <v>534.15000000000009</v>
      </c>
      <c r="C16" s="249">
        <f>'lokale energieproductie'!O39+'lokale energieproductie'!O32</f>
        <v>763.07142857142867</v>
      </c>
      <c r="D16" s="310">
        <f>('lokale energieproductie'!P32+'lokale energieproductie'!P39)*(-1)</f>
        <v>-1526.1428571428573</v>
      </c>
      <c r="E16" s="250"/>
      <c r="F16" s="310">
        <f>('lokale energieproductie'!S32+'lokale energieproductie'!S39)*(-1)</f>
        <v>0</v>
      </c>
      <c r="G16" s="251"/>
      <c r="H16" s="250"/>
      <c r="I16" s="250"/>
      <c r="J16" s="250"/>
      <c r="K16" s="250"/>
      <c r="L16" s="310">
        <f>('lokale energieproductie'!T32+'lokale energieproductie'!U32+'lokale energieproductie'!T39+'lokale energieproductie'!U39)*(-1)</f>
        <v>0</v>
      </c>
      <c r="M16" s="250"/>
      <c r="N16" s="310">
        <f>('lokale energieproductie'!Q32+'lokale energieproductie'!R32+'lokale energieproductie'!V32+'lokale energieproductie'!Q39+'lokale energieproductie'!R39+'lokale energieproductie'!V39)*(-1)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4191.3427791164977</v>
      </c>
      <c r="C18" s="21">
        <f>C5+C16</f>
        <v>763.07142857142867</v>
      </c>
      <c r="D18" s="21">
        <f>MAX((D5+D16),0)</f>
        <v>3786.7221307829127</v>
      </c>
      <c r="E18" s="21">
        <f>MAX((E5+E16),0)</f>
        <v>618.88036711607288</v>
      </c>
      <c r="F18" s="21">
        <f>MAX((F5+F16),0)</f>
        <v>2778.7447695310047</v>
      </c>
      <c r="G18" s="21"/>
      <c r="H18" s="21"/>
      <c r="I18" s="21"/>
      <c r="J18" s="21">
        <f>MAX((J5+J16),0)</f>
        <v>1.0662480764073878</v>
      </c>
      <c r="K18" s="21"/>
      <c r="L18" s="21">
        <f>MAX((L5+L16),0)</f>
        <v>0</v>
      </c>
      <c r="M18" s="21"/>
      <c r="N18" s="21">
        <f>MAX((N5+N16),0)</f>
        <v>505.12993849451692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0.21463272487651475</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899.59932157327796</v>
      </c>
      <c r="C22" s="23">
        <f ca="1">C18*C20</f>
        <v>181.34168067226895</v>
      </c>
      <c r="D22" s="23">
        <f>D18*D20</f>
        <v>764.91787041814837</v>
      </c>
      <c r="E22" s="23">
        <f>E18*E20</f>
        <v>140.48584333534853</v>
      </c>
      <c r="F22" s="23">
        <f>F18*F20</f>
        <v>741.92485346477827</v>
      </c>
      <c r="G22" s="23"/>
      <c r="H22" s="23"/>
      <c r="I22" s="23"/>
      <c r="J22" s="23">
        <f>J18*J20</f>
        <v>0.37745181904821529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141.68999871769</v>
      </c>
      <c r="C30" s="39">
        <f>IF(ISERROR(B30*3.6/1000000/'E Balans VL '!Z18*100),0,B30*3.6/1000000/'E Balans VL '!Z18*100)</f>
        <v>1.3941934177783661E-2</v>
      </c>
      <c r="D30" s="239" t="s">
        <v>689</v>
      </c>
    </row>
    <row r="31" spans="1:18">
      <c r="A31" s="6" t="s">
        <v>32</v>
      </c>
      <c r="B31" s="37">
        <f>IF( ISERROR(IND_ander_ele_kWh/1000),0,IND_ander_ele_kWh/1000)</f>
        <v>1900.9268325836902</v>
      </c>
      <c r="C31" s="39">
        <f>IF(ISERROR(B31*3.6/1000000/'E Balans VL '!Z19*100),0,B31*3.6/1000000/'E Balans VL '!Z19*100)</f>
        <v>8.2783847204622438E-2</v>
      </c>
      <c r="D31" s="239" t="s">
        <v>689</v>
      </c>
    </row>
    <row r="32" spans="1:18">
      <c r="A32" s="173" t="s">
        <v>40</v>
      </c>
      <c r="B32" s="37">
        <f>IF( ISERROR(IND_voed_ele_kWh/1000),0,IND_voed_ele_kWh/1000)</f>
        <v>910.50795331344796</v>
      </c>
      <c r="C32" s="39">
        <f>IF(ISERROR(B32*3.6/1000000/'E Balans VL '!Z20*100),0,B32*3.6/1000000/'E Balans VL '!Z20*100)</f>
        <v>0.17275575318806294</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292.76198751379201</v>
      </c>
      <c r="C35" s="39">
        <f>IF(ISERROR(B35*3.6/1000000/'E Balans VL '!Z22*100),0,B35*3.6/1000000/'E Balans VL '!Z22*100)</f>
        <v>4.1165275268684541E-2</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411.30600698787703</v>
      </c>
      <c r="C37" s="39">
        <f>IF(ISERROR(B37*3.6/1000000/'E Balans VL '!Z15*100),0,B37*3.6/1000000/'E Balans VL '!Z15*100)</f>
        <v>3.1696179717518235E-3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83.094293370375212</v>
      </c>
      <c r="C5" s="17">
        <f>'Eigen informatie GS &amp; warmtenet'!B60</f>
        <v>0</v>
      </c>
      <c r="D5" s="30">
        <f>IF(ISERROR(SUM(LB_lb_gas_kWh,LB_rest_gas_kWh)/1000),0,SUM(LB_lb_gas_kWh,LB_rest_gas_kWh)/1000)*0.902</f>
        <v>280.93061880695029</v>
      </c>
      <c r="E5" s="17">
        <f>B17*'E Balans VL '!I25/3.6*1000000/100</f>
        <v>1.0470951436814899</v>
      </c>
      <c r="F5" s="17">
        <f>B17*('E Balans VL '!L25/3.6*1000000+'E Balans VL '!N25/3.6*1000000)/100</f>
        <v>286.69612849211245</v>
      </c>
      <c r="G5" s="18"/>
      <c r="H5" s="17"/>
      <c r="I5" s="17"/>
      <c r="J5" s="17">
        <f>('E Balans VL '!D25+'E Balans VL '!E25)/3.6*1000000*landbouw!B17/100</f>
        <v>12.496437140314818</v>
      </c>
      <c r="K5" s="17"/>
      <c r="L5" s="17">
        <f>L6*(-1)</f>
        <v>0</v>
      </c>
      <c r="M5" s="17"/>
      <c r="N5" s="17">
        <f>N6*(-1)</f>
        <v>0</v>
      </c>
      <c r="O5" s="17"/>
      <c r="P5" s="17"/>
      <c r="R5" s="32"/>
    </row>
    <row r="6" spans="1:18">
      <c r="A6" s="16" t="s">
        <v>496</v>
      </c>
      <c r="B6" s="17" t="s">
        <v>210</v>
      </c>
      <c r="C6" s="17">
        <f>'lokale energieproductie'!O41+'lokale energieproductie'!O34</f>
        <v>0</v>
      </c>
      <c r="D6" s="310">
        <f>('lokale energieproductie'!P34+'lokale energieproductie'!P41)*(-1)</f>
        <v>0</v>
      </c>
      <c r="E6" s="250"/>
      <c r="F6" s="310">
        <f>('lokale energieproductie'!S34+'lokale energieproductie'!S41)*(-1)</f>
        <v>0</v>
      </c>
      <c r="G6" s="251"/>
      <c r="H6" s="250"/>
      <c r="I6" s="250"/>
      <c r="J6" s="250"/>
      <c r="K6" s="250"/>
      <c r="L6" s="310">
        <f>('lokale energieproductie'!T34+'lokale energieproductie'!U34+'lokale energieproductie'!T41+'lokale energieproductie'!U41)*(-1)</f>
        <v>0</v>
      </c>
      <c r="M6" s="250"/>
      <c r="N6" s="1030">
        <f>('lokale energieproductie'!V34+'lokale energieproductie'!R34+'lokale energieproductie'!Q34+'lokale energieproductie'!Q41+'lokale energieproductie'!R41+'lokale energieproductie'!V41)*(-1)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83.094293370375212</v>
      </c>
      <c r="C8" s="21">
        <f>C5+C6</f>
        <v>0</v>
      </c>
      <c r="D8" s="21">
        <f>MAX((D5+D6),0)</f>
        <v>280.93061880695029</v>
      </c>
      <c r="E8" s="21">
        <f>MAX((E5+E6),0)</f>
        <v>1.0470951436814899</v>
      </c>
      <c r="F8" s="21">
        <f>MAX((F5+F6),0)</f>
        <v>286.69612849211245</v>
      </c>
      <c r="G8" s="21"/>
      <c r="H8" s="21"/>
      <c r="I8" s="21"/>
      <c r="J8" s="21">
        <f>MAX((J5+J6),0)</f>
        <v>12.496437140314818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0.21463272487651475</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17.834754607772147</v>
      </c>
      <c r="C12" s="23">
        <f ca="1">C8*C10</f>
        <v>0</v>
      </c>
      <c r="D12" s="23">
        <f>D8*D10</f>
        <v>56.747984999003961</v>
      </c>
      <c r="E12" s="23">
        <f>E8*E10</f>
        <v>0.23769059761569822</v>
      </c>
      <c r="F12" s="23">
        <f>F8*F10</f>
        <v>76.547866307394031</v>
      </c>
      <c r="G12" s="23"/>
      <c r="H12" s="23"/>
      <c r="I12" s="23"/>
      <c r="J12" s="23">
        <f>J8*J10</f>
        <v>4.4237387476714449</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1.158903494506241E-2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2.3408018735265892</v>
      </c>
      <c r="C26" s="249">
        <f>B26*'GWP N2O_CH4'!B5</f>
        <v>49.156839344058376</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0.25661519767851942</v>
      </c>
      <c r="C27" s="249">
        <f>B27*'GWP N2O_CH4'!B5</f>
        <v>5.3889191512489081</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1.7500713273738731E-2</v>
      </c>
      <c r="C28" s="249">
        <f>B28*'GWP N2O_CH4'!B4</f>
        <v>5.4252211148590064</v>
      </c>
      <c r="D28" s="50"/>
    </row>
    <row r="29" spans="1:4">
      <c r="A29" s="41" t="s">
        <v>276</v>
      </c>
      <c r="B29" s="249">
        <f>B34*'ha_N2O bodem landbouw'!B4</f>
        <v>1.6797680119013336</v>
      </c>
      <c r="C29" s="249">
        <f>B29*'GWP N2O_CH4'!B4</f>
        <v>520.72808368941344</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4.1942128786132327E-4</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3.0492412165317398E-5</v>
      </c>
      <c r="C5" s="444" t="s">
        <v>210</v>
      </c>
      <c r="D5" s="429">
        <f>SUM(D6:D11)</f>
        <v>5.3427620876883057E-5</v>
      </c>
      <c r="E5" s="429">
        <f>SUM(E6:E11)</f>
        <v>1.9292603578816461E-3</v>
      </c>
      <c r="F5" s="442" t="s">
        <v>210</v>
      </c>
      <c r="G5" s="429">
        <f>SUM(G6:G11)</f>
        <v>0.50325948172268598</v>
      </c>
      <c r="H5" s="429">
        <f>SUM(H6:H11)</f>
        <v>9.7481132194131612E-2</v>
      </c>
      <c r="I5" s="444" t="s">
        <v>210</v>
      </c>
      <c r="J5" s="444" t="s">
        <v>210</v>
      </c>
      <c r="K5" s="444" t="s">
        <v>210</v>
      </c>
      <c r="L5" s="444" t="s">
        <v>210</v>
      </c>
      <c r="M5" s="429">
        <f>SUM(M6:M11)</f>
        <v>2.7166350906373628E-2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1.8338467488639897E-5</v>
      </c>
      <c r="C6" s="883"/>
      <c r="D6" s="883">
        <f>vkm_GW_PW*SUMIFS(TableVerdeelsleutelVkm[CNG],TableVerdeelsleutelVkm[Voertuigtype],"Lichte voertuigen")*SUMIFS(TableECFTransport[EnergieConsumptieFactor (PJ per km)],TableECFTransport[Index],CONCATENATE($A6,"_CNG_CNG"))</f>
        <v>2.717706259546875E-5</v>
      </c>
      <c r="E6" s="883">
        <f>vkm_GW_PW*SUMIFS(TableVerdeelsleutelVkm[LPG],TableVerdeelsleutelVkm[Voertuigtype],"Lichte voertuigen")*SUMIFS(TableECFTransport[EnergieConsumptieFactor (PJ per km)],TableECFTransport[Index],CONCATENATE($A6,"_LPG_LPG"))</f>
        <v>9.7338307615167934E-4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0.19589627228238596</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5.004450278918289E-2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1.1126224757653428E-2</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6.053701908762215E-2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1.4065380018372502E-6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2.7333409022684422E-3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7.9866990074058512E-6</v>
      </c>
      <c r="C8" s="883"/>
      <c r="D8" s="432">
        <f>vkm_NGW_PW*SUMIFS(TableVerdeelsleutelVkm[CNG],TableVerdeelsleutelVkm[Voertuigtype],"Lichte voertuigen")*SUMIFS(TableECFTransport[EnergieConsumptieFactor (PJ per km)],TableECFTransport[Index],CONCATENATE($A8,"_CNG_CNG"))</f>
        <v>2.0086074445820104E-5</v>
      </c>
      <c r="E8" s="432">
        <f>vkm_NGW_PW*SUMIFS(TableVerdeelsleutelVkm[LPG],TableVerdeelsleutelVkm[Voertuigtype],"Lichte voertuigen")*SUMIFS(TableECFTransport[EnergieConsumptieFactor (PJ per km)],TableECFTransport[Index],CONCATENATE($A8,"_LPG_LPG"))</f>
        <v>6.8024751140866155E-4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0.13004568195896532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3.5541214669191717E-2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7.4918671780549537E-3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4.5884182337846647E-3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1.2356940040614198E-7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2.0717501837233404E-4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4.1672456692716503E-6</v>
      </c>
      <c r="C10" s="883"/>
      <c r="D10" s="432">
        <f>vkm_SW_PW*SUMIFS(TableVerdeelsleutelVkm[CNG],TableVerdeelsleutelVkm[Voertuigtype],"Lichte voertuigen")*SUMIFS(TableECFTransport[EnergieConsumptieFactor (PJ per km)],TableECFTransport[Index],CONCATENATE($A10,"_CNG_CNG"))</f>
        <v>6.1644838355942071E-6</v>
      </c>
      <c r="E10" s="432">
        <f>vkm_SW_PW*SUMIFS(TableVerdeelsleutelVkm[LPG],TableVerdeelsleutelVkm[Voertuigtype],"Lichte voertuigen")*SUMIFS(TableECFTransport[EnergieConsumptieFactor (PJ per km)],TableECFTransport[Index],CONCATENATE($A10,"_LPG_LPG"))</f>
        <v>2.7562977032130522E-4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5.0286517989200336E-2</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1.1892350390614021E-2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2.8126054679615234E-3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6.1905572170727556E-2</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1.5342377407420459E-6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2.7951375820629452E-3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8.470114490365944</v>
      </c>
      <c r="C14" s="21"/>
      <c r="D14" s="21">
        <f t="shared" ref="D14:M14" si="0">((D5)*10^9/3600)+D12</f>
        <v>14.841005799134182</v>
      </c>
      <c r="E14" s="21">
        <f t="shared" si="0"/>
        <v>535.90565496712395</v>
      </c>
      <c r="F14" s="21"/>
      <c r="G14" s="21">
        <f t="shared" si="0"/>
        <v>139794.30047852389</v>
      </c>
      <c r="H14" s="21">
        <f t="shared" si="0"/>
        <v>27078.092276147669</v>
      </c>
      <c r="I14" s="21"/>
      <c r="J14" s="21"/>
      <c r="K14" s="21"/>
      <c r="L14" s="21"/>
      <c r="M14" s="21">
        <f t="shared" si="0"/>
        <v>7546.2085851037855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0.21463272487651475</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1.8179637530832946</v>
      </c>
      <c r="C18" s="23"/>
      <c r="D18" s="23">
        <f t="shared" ref="D18:M18" si="1">D14*D16</f>
        <v>2.9978831714251051</v>
      </c>
      <c r="E18" s="23">
        <f t="shared" si="1"/>
        <v>121.65058367753714</v>
      </c>
      <c r="F18" s="23"/>
      <c r="G18" s="23">
        <f t="shared" si="1"/>
        <v>37325.07822776588</v>
      </c>
      <c r="H18" s="23">
        <f t="shared" si="1"/>
        <v>6742.4449767607694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1.3446107179724708E-2</v>
      </c>
      <c r="H50" s="321">
        <f t="shared" si="2"/>
        <v>0</v>
      </c>
      <c r="I50" s="321">
        <f t="shared" si="2"/>
        <v>0</v>
      </c>
      <c r="J50" s="321">
        <f t="shared" si="2"/>
        <v>0</v>
      </c>
      <c r="K50" s="321">
        <f t="shared" si="2"/>
        <v>0</v>
      </c>
      <c r="L50" s="321">
        <f t="shared" si="2"/>
        <v>0</v>
      </c>
      <c r="M50" s="321">
        <f t="shared" si="2"/>
        <v>5.9849735442892211E-4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1.3446107179724708E-2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5.9849735442892211E-4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3735.0297721457523</v>
      </c>
      <c r="H54" s="21">
        <f t="shared" si="3"/>
        <v>0</v>
      </c>
      <c r="I54" s="21">
        <f t="shared" si="3"/>
        <v>0</v>
      </c>
      <c r="J54" s="21">
        <f t="shared" si="3"/>
        <v>0</v>
      </c>
      <c r="K54" s="21">
        <f t="shared" si="3"/>
        <v>0</v>
      </c>
      <c r="L54" s="21">
        <f t="shared" si="3"/>
        <v>0</v>
      </c>
      <c r="M54" s="21">
        <f t="shared" si="3"/>
        <v>166.24926511914501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0.21463272487651475</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997.25294916291591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53351.997580541218</v>
      </c>
      <c r="D10" s="686">
        <f ca="1">tertiair!C16</f>
        <v>900.00000000000023</v>
      </c>
      <c r="E10" s="686">
        <f ca="1">tertiair!D16</f>
        <v>92142.791653392691</v>
      </c>
      <c r="F10" s="686">
        <f>tertiair!E16</f>
        <v>570.25748926146525</v>
      </c>
      <c r="G10" s="686">
        <f ca="1">tertiair!F16</f>
        <v>10135.696413847107</v>
      </c>
      <c r="H10" s="686">
        <f>tertiair!G16</f>
        <v>0</v>
      </c>
      <c r="I10" s="686">
        <f>tertiair!H16</f>
        <v>0</v>
      </c>
      <c r="J10" s="686">
        <f>tertiair!I16</f>
        <v>0</v>
      </c>
      <c r="K10" s="686">
        <f>tertiair!J16</f>
        <v>0</v>
      </c>
      <c r="L10" s="686">
        <f>tertiair!K16</f>
        <v>0</v>
      </c>
      <c r="M10" s="686">
        <f ca="1">tertiair!L16</f>
        <v>0</v>
      </c>
      <c r="N10" s="686">
        <f>tertiair!M16</f>
        <v>0</v>
      </c>
      <c r="O10" s="686">
        <f ca="1">tertiair!N16</f>
        <v>4122.176098940984</v>
      </c>
      <c r="P10" s="686">
        <f>tertiair!O16</f>
        <v>1.5633333333333335</v>
      </c>
      <c r="Q10" s="687">
        <f>tertiair!P16</f>
        <v>38.133333333333333</v>
      </c>
      <c r="R10" s="689">
        <f ca="1">SUM(C10:Q10)</f>
        <v>161262.61590265011</v>
      </c>
      <c r="S10" s="67"/>
    </row>
    <row r="11" spans="1:19" s="454" customFormat="1">
      <c r="A11" s="801" t="s">
        <v>224</v>
      </c>
      <c r="B11" s="806"/>
      <c r="C11" s="686">
        <f>huishoudens!B8</f>
        <v>73881.908361510679</v>
      </c>
      <c r="D11" s="686">
        <f>huishoudens!C8</f>
        <v>0</v>
      </c>
      <c r="E11" s="686">
        <f>huishoudens!D8</f>
        <v>276820.78489262034</v>
      </c>
      <c r="F11" s="686">
        <f>huishoudens!E8</f>
        <v>1799.4529721772021</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21641.428590375603</v>
      </c>
      <c r="P11" s="686">
        <f>huishoudens!O8</f>
        <v>168.84</v>
      </c>
      <c r="Q11" s="687">
        <f>huishoudens!P8</f>
        <v>533.86666666666667</v>
      </c>
      <c r="R11" s="689">
        <f>SUM(C11:Q11)</f>
        <v>374846.28148335044</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4191.3427791164977</v>
      </c>
      <c r="D13" s="686">
        <f>industrie!C18</f>
        <v>763.07142857142867</v>
      </c>
      <c r="E13" s="686">
        <f>industrie!D18</f>
        <v>3786.7221307829127</v>
      </c>
      <c r="F13" s="686">
        <f>industrie!E18</f>
        <v>618.88036711607288</v>
      </c>
      <c r="G13" s="686">
        <f>industrie!F18</f>
        <v>2778.7447695310047</v>
      </c>
      <c r="H13" s="686">
        <f>industrie!G18</f>
        <v>0</v>
      </c>
      <c r="I13" s="686">
        <f>industrie!H18</f>
        <v>0</v>
      </c>
      <c r="J13" s="686">
        <f>industrie!I18</f>
        <v>0</v>
      </c>
      <c r="K13" s="686">
        <f>industrie!J18</f>
        <v>1.0662480764073878</v>
      </c>
      <c r="L13" s="686">
        <f>industrie!K18</f>
        <v>0</v>
      </c>
      <c r="M13" s="686">
        <f>industrie!L18</f>
        <v>0</v>
      </c>
      <c r="N13" s="686">
        <f>industrie!M18</f>
        <v>0</v>
      </c>
      <c r="O13" s="686">
        <f>industrie!N18</f>
        <v>505.12993849451692</v>
      </c>
      <c r="P13" s="686">
        <f>industrie!O18</f>
        <v>0</v>
      </c>
      <c r="Q13" s="687">
        <f>industrie!P18</f>
        <v>0</v>
      </c>
      <c r="R13" s="689">
        <f>SUM(C13:Q13)</f>
        <v>12644.957661688843</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131425.24872116841</v>
      </c>
      <c r="D16" s="721">
        <f t="shared" ref="D16:R16" ca="1" si="0">SUM(D9:D15)</f>
        <v>1663.0714285714289</v>
      </c>
      <c r="E16" s="721">
        <f t="shared" ca="1" si="0"/>
        <v>372750.29867679591</v>
      </c>
      <c r="F16" s="721">
        <f t="shared" si="0"/>
        <v>2988.5908285547403</v>
      </c>
      <c r="G16" s="721">
        <f t="shared" ca="1" si="0"/>
        <v>12914.441183378112</v>
      </c>
      <c r="H16" s="721">
        <f t="shared" si="0"/>
        <v>0</v>
      </c>
      <c r="I16" s="721">
        <f t="shared" si="0"/>
        <v>0</v>
      </c>
      <c r="J16" s="721">
        <f t="shared" si="0"/>
        <v>0</v>
      </c>
      <c r="K16" s="721">
        <f t="shared" si="0"/>
        <v>1.0662480764073878</v>
      </c>
      <c r="L16" s="721">
        <f t="shared" si="0"/>
        <v>0</v>
      </c>
      <c r="M16" s="721">
        <f t="shared" ca="1" si="0"/>
        <v>0</v>
      </c>
      <c r="N16" s="721">
        <f t="shared" si="0"/>
        <v>0</v>
      </c>
      <c r="O16" s="721">
        <f t="shared" ca="1" si="0"/>
        <v>26268.734627811104</v>
      </c>
      <c r="P16" s="721">
        <f t="shared" si="0"/>
        <v>170.40333333333334</v>
      </c>
      <c r="Q16" s="721">
        <f t="shared" si="0"/>
        <v>572</v>
      </c>
      <c r="R16" s="721">
        <f t="shared" ca="1" si="0"/>
        <v>548753.85504768929</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3735.0297721457523</v>
      </c>
      <c r="I19" s="686">
        <f>transport!H54</f>
        <v>0</v>
      </c>
      <c r="J19" s="686">
        <f>transport!I54</f>
        <v>0</v>
      </c>
      <c r="K19" s="686">
        <f>transport!J54</f>
        <v>0</v>
      </c>
      <c r="L19" s="686">
        <f>transport!K54</f>
        <v>0</v>
      </c>
      <c r="M19" s="686">
        <f>transport!L54</f>
        <v>0</v>
      </c>
      <c r="N19" s="686">
        <f>transport!M54</f>
        <v>166.24926511914501</v>
      </c>
      <c r="O19" s="686">
        <f>transport!N54</f>
        <v>0</v>
      </c>
      <c r="P19" s="686">
        <f>transport!O54</f>
        <v>0</v>
      </c>
      <c r="Q19" s="687">
        <f>transport!P54</f>
        <v>0</v>
      </c>
      <c r="R19" s="689">
        <f>SUM(C19:Q19)</f>
        <v>3901.2790372648974</v>
      </c>
      <c r="S19" s="67"/>
    </row>
    <row r="20" spans="1:19" s="454" customFormat="1">
      <c r="A20" s="801" t="s">
        <v>306</v>
      </c>
      <c r="B20" s="806"/>
      <c r="C20" s="686">
        <f>transport!B14</f>
        <v>8.470114490365944</v>
      </c>
      <c r="D20" s="686">
        <f>transport!C14</f>
        <v>0</v>
      </c>
      <c r="E20" s="686">
        <f>transport!D14</f>
        <v>14.841005799134182</v>
      </c>
      <c r="F20" s="686">
        <f>transport!E14</f>
        <v>535.90565496712395</v>
      </c>
      <c r="G20" s="686">
        <f>transport!F14</f>
        <v>0</v>
      </c>
      <c r="H20" s="686">
        <f>transport!G14</f>
        <v>139794.30047852389</v>
      </c>
      <c r="I20" s="686">
        <f>transport!H14</f>
        <v>27078.092276147669</v>
      </c>
      <c r="J20" s="686">
        <f>transport!I14</f>
        <v>0</v>
      </c>
      <c r="K20" s="686">
        <f>transport!J14</f>
        <v>0</v>
      </c>
      <c r="L20" s="686">
        <f>transport!K14</f>
        <v>0</v>
      </c>
      <c r="M20" s="686">
        <f>transport!L14</f>
        <v>0</v>
      </c>
      <c r="N20" s="686">
        <f>transport!M14</f>
        <v>7546.2085851037855</v>
      </c>
      <c r="O20" s="686">
        <f>transport!N14</f>
        <v>0</v>
      </c>
      <c r="P20" s="686">
        <f>transport!O14</f>
        <v>0</v>
      </c>
      <c r="Q20" s="687">
        <f>transport!P14</f>
        <v>0</v>
      </c>
      <c r="R20" s="689">
        <f>SUM(C20:Q20)</f>
        <v>174977.81811503199</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8.470114490365944</v>
      </c>
      <c r="D22" s="804">
        <f t="shared" ref="D22:R22" si="1">SUM(D18:D21)</f>
        <v>0</v>
      </c>
      <c r="E22" s="804">
        <f t="shared" si="1"/>
        <v>14.841005799134182</v>
      </c>
      <c r="F22" s="804">
        <f t="shared" si="1"/>
        <v>535.90565496712395</v>
      </c>
      <c r="G22" s="804">
        <f t="shared" si="1"/>
        <v>0</v>
      </c>
      <c r="H22" s="804">
        <f t="shared" si="1"/>
        <v>143529.33025066965</v>
      </c>
      <c r="I22" s="804">
        <f t="shared" si="1"/>
        <v>27078.092276147669</v>
      </c>
      <c r="J22" s="804">
        <f t="shared" si="1"/>
        <v>0</v>
      </c>
      <c r="K22" s="804">
        <f t="shared" si="1"/>
        <v>0</v>
      </c>
      <c r="L22" s="804">
        <f t="shared" si="1"/>
        <v>0</v>
      </c>
      <c r="M22" s="804">
        <f t="shared" si="1"/>
        <v>0</v>
      </c>
      <c r="N22" s="804">
        <f t="shared" si="1"/>
        <v>7712.4578502229306</v>
      </c>
      <c r="O22" s="804">
        <f t="shared" si="1"/>
        <v>0</v>
      </c>
      <c r="P22" s="804">
        <f t="shared" si="1"/>
        <v>0</v>
      </c>
      <c r="Q22" s="804">
        <f t="shared" si="1"/>
        <v>0</v>
      </c>
      <c r="R22" s="804">
        <f t="shared" si="1"/>
        <v>178879.09715229689</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83.094293370375212</v>
      </c>
      <c r="D24" s="686">
        <f>+landbouw!C8</f>
        <v>0</v>
      </c>
      <c r="E24" s="686">
        <f>+landbouw!D8</f>
        <v>280.93061880695029</v>
      </c>
      <c r="F24" s="686">
        <f>+landbouw!E8</f>
        <v>1.0470951436814899</v>
      </c>
      <c r="G24" s="686">
        <f>+landbouw!F8</f>
        <v>286.69612849211245</v>
      </c>
      <c r="H24" s="686">
        <f>+landbouw!G8</f>
        <v>0</v>
      </c>
      <c r="I24" s="686">
        <f>+landbouw!H8</f>
        <v>0</v>
      </c>
      <c r="J24" s="686">
        <f>+landbouw!I8</f>
        <v>0</v>
      </c>
      <c r="K24" s="686">
        <f>+landbouw!J8</f>
        <v>12.496437140314818</v>
      </c>
      <c r="L24" s="686">
        <f>+landbouw!K8</f>
        <v>0</v>
      </c>
      <c r="M24" s="686">
        <f>+landbouw!L8</f>
        <v>0</v>
      </c>
      <c r="N24" s="686">
        <f>+landbouw!M8</f>
        <v>0</v>
      </c>
      <c r="O24" s="686">
        <f>+landbouw!N8</f>
        <v>0</v>
      </c>
      <c r="P24" s="686">
        <f>+landbouw!O8</f>
        <v>0</v>
      </c>
      <c r="Q24" s="687">
        <f>+landbouw!P8</f>
        <v>0</v>
      </c>
      <c r="R24" s="689">
        <f>SUM(C24:Q24)</f>
        <v>664.26457295343425</v>
      </c>
      <c r="S24" s="67"/>
    </row>
    <row r="25" spans="1:19" s="454" customFormat="1" ht="15" thickBot="1">
      <c r="A25" s="823" t="s">
        <v>856</v>
      </c>
      <c r="B25" s="991"/>
      <c r="C25" s="992">
        <f>IF(Onbekend_ele_kWh="---",0,Onbekend_ele_kWh)/1000+IF(REST_rest_ele_kWh="---",0,REST_rest_ele_kWh)/1000</f>
        <v>5222.6507371442895</v>
      </c>
      <c r="D25" s="992"/>
      <c r="E25" s="992">
        <f>IF(onbekend_gas_kWh="---",0,onbekend_gas_kWh)/1000+IF(REST_rest_gas_kWh="---",0,REST_rest_gas_kWh)/1000</f>
        <v>13462.4564022375</v>
      </c>
      <c r="F25" s="992"/>
      <c r="G25" s="992"/>
      <c r="H25" s="992"/>
      <c r="I25" s="992"/>
      <c r="J25" s="992"/>
      <c r="K25" s="992"/>
      <c r="L25" s="992"/>
      <c r="M25" s="992"/>
      <c r="N25" s="992"/>
      <c r="O25" s="992"/>
      <c r="P25" s="992"/>
      <c r="Q25" s="993"/>
      <c r="R25" s="689">
        <f>SUM(C25:Q25)</f>
        <v>18685.107139381791</v>
      </c>
      <c r="S25" s="67"/>
    </row>
    <row r="26" spans="1:19" s="454" customFormat="1" ht="15.75" thickBot="1">
      <c r="A26" s="694" t="s">
        <v>857</v>
      </c>
      <c r="B26" s="809"/>
      <c r="C26" s="804">
        <f>SUM(C24:C25)</f>
        <v>5305.7450305146649</v>
      </c>
      <c r="D26" s="804">
        <f t="shared" ref="D26:R26" si="2">SUM(D24:D25)</f>
        <v>0</v>
      </c>
      <c r="E26" s="804">
        <f t="shared" si="2"/>
        <v>13743.387021044449</v>
      </c>
      <c r="F26" s="804">
        <f t="shared" si="2"/>
        <v>1.0470951436814899</v>
      </c>
      <c r="G26" s="804">
        <f t="shared" si="2"/>
        <v>286.69612849211245</v>
      </c>
      <c r="H26" s="804">
        <f t="shared" si="2"/>
        <v>0</v>
      </c>
      <c r="I26" s="804">
        <f t="shared" si="2"/>
        <v>0</v>
      </c>
      <c r="J26" s="804">
        <f t="shared" si="2"/>
        <v>0</v>
      </c>
      <c r="K26" s="804">
        <f t="shared" si="2"/>
        <v>12.496437140314818</v>
      </c>
      <c r="L26" s="804">
        <f t="shared" si="2"/>
        <v>0</v>
      </c>
      <c r="M26" s="804">
        <f t="shared" si="2"/>
        <v>0</v>
      </c>
      <c r="N26" s="804">
        <f t="shared" si="2"/>
        <v>0</v>
      </c>
      <c r="O26" s="804">
        <f t="shared" si="2"/>
        <v>0</v>
      </c>
      <c r="P26" s="804">
        <f t="shared" si="2"/>
        <v>0</v>
      </c>
      <c r="Q26" s="804">
        <f t="shared" si="2"/>
        <v>0</v>
      </c>
      <c r="R26" s="804">
        <f t="shared" si="2"/>
        <v>19349.371712335225</v>
      </c>
      <c r="S26" s="67"/>
    </row>
    <row r="27" spans="1:19" s="454" customFormat="1" ht="17.25" thickTop="1" thickBot="1">
      <c r="A27" s="695" t="s">
        <v>115</v>
      </c>
      <c r="B27" s="796"/>
      <c r="C27" s="696">
        <f ca="1">C22+C16+C26</f>
        <v>136739.46386617344</v>
      </c>
      <c r="D27" s="696">
        <f t="shared" ref="D27:R27" ca="1" si="3">D22+D16+D26</f>
        <v>1663.0714285714289</v>
      </c>
      <c r="E27" s="696">
        <f t="shared" ca="1" si="3"/>
        <v>386508.52670363948</v>
      </c>
      <c r="F27" s="696">
        <f t="shared" si="3"/>
        <v>3525.5435786655457</v>
      </c>
      <c r="G27" s="696">
        <f t="shared" ca="1" si="3"/>
        <v>13201.137311870225</v>
      </c>
      <c r="H27" s="696">
        <f t="shared" si="3"/>
        <v>143529.33025066965</v>
      </c>
      <c r="I27" s="696">
        <f t="shared" si="3"/>
        <v>27078.092276147669</v>
      </c>
      <c r="J27" s="696">
        <f t="shared" si="3"/>
        <v>0</v>
      </c>
      <c r="K27" s="696">
        <f t="shared" si="3"/>
        <v>13.562685216722205</v>
      </c>
      <c r="L27" s="696">
        <f t="shared" si="3"/>
        <v>0</v>
      </c>
      <c r="M27" s="696">
        <f t="shared" ca="1" si="3"/>
        <v>0</v>
      </c>
      <c r="N27" s="696">
        <f t="shared" si="3"/>
        <v>7712.4578502229306</v>
      </c>
      <c r="O27" s="696">
        <f t="shared" ca="1" si="3"/>
        <v>26268.734627811104</v>
      </c>
      <c r="P27" s="696">
        <f t="shared" si="3"/>
        <v>170.40333333333334</v>
      </c>
      <c r="Q27" s="696">
        <f t="shared" si="3"/>
        <v>572</v>
      </c>
      <c r="R27" s="696">
        <f t="shared" ca="1" si="3"/>
        <v>746982.32391232147</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11451.084618316785</v>
      </c>
      <c r="D40" s="686">
        <f ca="1">tertiair!C20</f>
        <v>213.88235294117655</v>
      </c>
      <c r="E40" s="686">
        <f ca="1">tertiair!D20</f>
        <v>18612.843913985325</v>
      </c>
      <c r="F40" s="686">
        <f>tertiair!E20</f>
        <v>129.44845006235261</v>
      </c>
      <c r="G40" s="686">
        <f ca="1">tertiair!F20</f>
        <v>2706.2309424971777</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33113.490277802812</v>
      </c>
    </row>
    <row r="41" spans="1:18">
      <c r="A41" s="814" t="s">
        <v>224</v>
      </c>
      <c r="B41" s="821"/>
      <c r="C41" s="686">
        <f ca="1">huishoudens!B12</f>
        <v>15857.475310707996</v>
      </c>
      <c r="D41" s="686">
        <f ca="1">huishoudens!C12</f>
        <v>0</v>
      </c>
      <c r="E41" s="686">
        <f>huishoudens!D12</f>
        <v>55917.798548309314</v>
      </c>
      <c r="F41" s="686">
        <f>huishoudens!E12</f>
        <v>408.4758246842249</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72183.749683701535</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899.59932157327796</v>
      </c>
      <c r="D43" s="686">
        <f ca="1">industrie!C22</f>
        <v>181.34168067226895</v>
      </c>
      <c r="E43" s="686">
        <f>industrie!D22</f>
        <v>764.91787041814837</v>
      </c>
      <c r="F43" s="686">
        <f>industrie!E22</f>
        <v>140.48584333534853</v>
      </c>
      <c r="G43" s="686">
        <f>industrie!F22</f>
        <v>741.92485346477827</v>
      </c>
      <c r="H43" s="686">
        <f>industrie!G22</f>
        <v>0</v>
      </c>
      <c r="I43" s="686">
        <f>industrie!H22</f>
        <v>0</v>
      </c>
      <c r="J43" s="686">
        <f>industrie!I22</f>
        <v>0</v>
      </c>
      <c r="K43" s="686">
        <f>industrie!J22</f>
        <v>0.37745181904821529</v>
      </c>
      <c r="L43" s="686">
        <f>industrie!K22</f>
        <v>0</v>
      </c>
      <c r="M43" s="686">
        <f>industrie!L22</f>
        <v>0</v>
      </c>
      <c r="N43" s="686">
        <f>industrie!M22</f>
        <v>0</v>
      </c>
      <c r="O43" s="686">
        <f>industrie!N22</f>
        <v>0</v>
      </c>
      <c r="P43" s="686">
        <f>industrie!O22</f>
        <v>0</v>
      </c>
      <c r="Q43" s="763">
        <f>industrie!P22</f>
        <v>0</v>
      </c>
      <c r="R43" s="841">
        <f t="shared" ca="1" si="4"/>
        <v>2728.6470212828704</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28208.159250598059</v>
      </c>
      <c r="D46" s="721">
        <f t="shared" ref="D46:Q46" ca="1" si="5">SUM(D39:D45)</f>
        <v>395.2240336134455</v>
      </c>
      <c r="E46" s="721">
        <f t="shared" ca="1" si="5"/>
        <v>75295.56033271279</v>
      </c>
      <c r="F46" s="721">
        <f t="shared" si="5"/>
        <v>678.41011808192616</v>
      </c>
      <c r="G46" s="721">
        <f t="shared" ca="1" si="5"/>
        <v>3448.1557959619558</v>
      </c>
      <c r="H46" s="721">
        <f t="shared" si="5"/>
        <v>0</v>
      </c>
      <c r="I46" s="721">
        <f t="shared" si="5"/>
        <v>0</v>
      </c>
      <c r="J46" s="721">
        <f t="shared" si="5"/>
        <v>0</v>
      </c>
      <c r="K46" s="721">
        <f t="shared" si="5"/>
        <v>0.37745181904821529</v>
      </c>
      <c r="L46" s="721">
        <f t="shared" si="5"/>
        <v>0</v>
      </c>
      <c r="M46" s="721">
        <f t="shared" ca="1" si="5"/>
        <v>0</v>
      </c>
      <c r="N46" s="721">
        <f t="shared" si="5"/>
        <v>0</v>
      </c>
      <c r="O46" s="721">
        <f t="shared" ca="1" si="5"/>
        <v>0</v>
      </c>
      <c r="P46" s="721">
        <f t="shared" si="5"/>
        <v>0</v>
      </c>
      <c r="Q46" s="721">
        <f t="shared" si="5"/>
        <v>0</v>
      </c>
      <c r="R46" s="721">
        <f ca="1">SUM(R39:R45)</f>
        <v>108025.88698278723</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997.25294916291591</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997.25294916291591</v>
      </c>
    </row>
    <row r="50" spans="1:18">
      <c r="A50" s="817" t="s">
        <v>306</v>
      </c>
      <c r="B50" s="827"/>
      <c r="C50" s="692">
        <f ca="1">transport!B18</f>
        <v>1.8179637530832946</v>
      </c>
      <c r="D50" s="692">
        <f>transport!C18</f>
        <v>0</v>
      </c>
      <c r="E50" s="692">
        <f>transport!D18</f>
        <v>2.9978831714251051</v>
      </c>
      <c r="F50" s="692">
        <f>transport!E18</f>
        <v>121.65058367753714</v>
      </c>
      <c r="G50" s="692">
        <f>transport!F18</f>
        <v>0</v>
      </c>
      <c r="H50" s="692">
        <f>transport!G18</f>
        <v>37325.07822776588</v>
      </c>
      <c r="I50" s="692">
        <f>transport!H18</f>
        <v>6742.4449767607694</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44193.989635128688</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1.8179637530832946</v>
      </c>
      <c r="D52" s="721">
        <f t="shared" ref="D52:Q52" ca="1" si="6">SUM(D48:D51)</f>
        <v>0</v>
      </c>
      <c r="E52" s="721">
        <f t="shared" si="6"/>
        <v>2.9978831714251051</v>
      </c>
      <c r="F52" s="721">
        <f t="shared" si="6"/>
        <v>121.65058367753714</v>
      </c>
      <c r="G52" s="721">
        <f t="shared" si="6"/>
        <v>0</v>
      </c>
      <c r="H52" s="721">
        <f t="shared" si="6"/>
        <v>38322.331176928798</v>
      </c>
      <c r="I52" s="721">
        <f t="shared" si="6"/>
        <v>6742.4449767607694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45191.242584291605</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17.834754607772147</v>
      </c>
      <c r="D54" s="692">
        <f ca="1">+landbouw!C12</f>
        <v>0</v>
      </c>
      <c r="E54" s="692">
        <f>+landbouw!D12</f>
        <v>56.747984999003961</v>
      </c>
      <c r="F54" s="692">
        <f>+landbouw!E12</f>
        <v>0.23769059761569822</v>
      </c>
      <c r="G54" s="692">
        <f>+landbouw!F12</f>
        <v>76.547866307394031</v>
      </c>
      <c r="H54" s="692">
        <f>+landbouw!G12</f>
        <v>0</v>
      </c>
      <c r="I54" s="692">
        <f>+landbouw!H12</f>
        <v>0</v>
      </c>
      <c r="J54" s="692">
        <f>+landbouw!I12</f>
        <v>0</v>
      </c>
      <c r="K54" s="692">
        <f>+landbouw!J12</f>
        <v>4.4237387476714449</v>
      </c>
      <c r="L54" s="692">
        <f>+landbouw!K12</f>
        <v>0</v>
      </c>
      <c r="M54" s="692">
        <f>+landbouw!L12</f>
        <v>0</v>
      </c>
      <c r="N54" s="692">
        <f>+landbouw!M12</f>
        <v>0</v>
      </c>
      <c r="O54" s="692">
        <f>+landbouw!N12</f>
        <v>0</v>
      </c>
      <c r="P54" s="692">
        <f>+landbouw!O12</f>
        <v>0</v>
      </c>
      <c r="Q54" s="693">
        <f>+landbouw!P12</f>
        <v>0</v>
      </c>
      <c r="R54" s="720">
        <f ca="1">SUM(C54:Q54)</f>
        <v>155.79203525945729</v>
      </c>
    </row>
    <row r="55" spans="1:18" ht="15" thickBot="1">
      <c r="A55" s="817" t="s">
        <v>856</v>
      </c>
      <c r="B55" s="827"/>
      <c r="C55" s="692">
        <f ca="1">C25*'EF ele_warmte'!B12</f>
        <v>1120.9517587916173</v>
      </c>
      <c r="D55" s="692"/>
      <c r="E55" s="692">
        <f>E25*EF_CO2_aardgas</f>
        <v>2719.4161932519751</v>
      </c>
      <c r="F55" s="692"/>
      <c r="G55" s="692"/>
      <c r="H55" s="692"/>
      <c r="I55" s="692"/>
      <c r="J55" s="692"/>
      <c r="K55" s="692"/>
      <c r="L55" s="692"/>
      <c r="M55" s="692"/>
      <c r="N55" s="692"/>
      <c r="O55" s="692"/>
      <c r="P55" s="692"/>
      <c r="Q55" s="693"/>
      <c r="R55" s="720">
        <f ca="1">SUM(C55:Q55)</f>
        <v>3840.3679520435926</v>
      </c>
    </row>
    <row r="56" spans="1:18" ht="15.75" thickBot="1">
      <c r="A56" s="815" t="s">
        <v>857</v>
      </c>
      <c r="B56" s="828"/>
      <c r="C56" s="721">
        <f ca="1">SUM(C54:C55)</f>
        <v>1138.7865133993894</v>
      </c>
      <c r="D56" s="721">
        <f t="shared" ref="D56:Q56" ca="1" si="7">SUM(D54:D55)</f>
        <v>0</v>
      </c>
      <c r="E56" s="721">
        <f t="shared" si="7"/>
        <v>2776.1641782509791</v>
      </c>
      <c r="F56" s="721">
        <f t="shared" si="7"/>
        <v>0.23769059761569822</v>
      </c>
      <c r="G56" s="721">
        <f t="shared" si="7"/>
        <v>76.547866307394031</v>
      </c>
      <c r="H56" s="721">
        <f t="shared" si="7"/>
        <v>0</v>
      </c>
      <c r="I56" s="721">
        <f t="shared" si="7"/>
        <v>0</v>
      </c>
      <c r="J56" s="721">
        <f t="shared" si="7"/>
        <v>0</v>
      </c>
      <c r="K56" s="721">
        <f t="shared" si="7"/>
        <v>4.4237387476714449</v>
      </c>
      <c r="L56" s="721">
        <f t="shared" si="7"/>
        <v>0</v>
      </c>
      <c r="M56" s="721">
        <f t="shared" si="7"/>
        <v>0</v>
      </c>
      <c r="N56" s="721">
        <f t="shared" si="7"/>
        <v>0</v>
      </c>
      <c r="O56" s="721">
        <f t="shared" si="7"/>
        <v>0</v>
      </c>
      <c r="P56" s="721">
        <f t="shared" si="7"/>
        <v>0</v>
      </c>
      <c r="Q56" s="722">
        <f t="shared" si="7"/>
        <v>0</v>
      </c>
      <c r="R56" s="723">
        <f ca="1">SUM(R54:R55)</f>
        <v>3996.15998730305</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29348.763727750535</v>
      </c>
      <c r="D61" s="729">
        <f t="shared" ref="D61:Q61" ca="1" si="8">D46+D52+D56</f>
        <v>395.2240336134455</v>
      </c>
      <c r="E61" s="729">
        <f t="shared" ca="1" si="8"/>
        <v>78074.722394135199</v>
      </c>
      <c r="F61" s="729">
        <f t="shared" si="8"/>
        <v>800.29839235707902</v>
      </c>
      <c r="G61" s="729">
        <f t="shared" ca="1" si="8"/>
        <v>3524.7036622693499</v>
      </c>
      <c r="H61" s="729">
        <f t="shared" si="8"/>
        <v>38322.331176928798</v>
      </c>
      <c r="I61" s="729">
        <f t="shared" si="8"/>
        <v>6742.4449767607694</v>
      </c>
      <c r="J61" s="729">
        <f t="shared" si="8"/>
        <v>0</v>
      </c>
      <c r="K61" s="729">
        <f t="shared" si="8"/>
        <v>4.8011905667196606</v>
      </c>
      <c r="L61" s="729">
        <f t="shared" si="8"/>
        <v>0</v>
      </c>
      <c r="M61" s="729">
        <f t="shared" ca="1" si="8"/>
        <v>0</v>
      </c>
      <c r="N61" s="729">
        <f t="shared" si="8"/>
        <v>0</v>
      </c>
      <c r="O61" s="729">
        <f t="shared" ca="1" si="8"/>
        <v>0</v>
      </c>
      <c r="P61" s="729">
        <f t="shared" si="8"/>
        <v>0</v>
      </c>
      <c r="Q61" s="729">
        <f t="shared" si="8"/>
        <v>0</v>
      </c>
      <c r="R61" s="729">
        <f ca="1">R46+R52+R56</f>
        <v>157213.28955438189</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0.21463272487651477</v>
      </c>
      <c r="D63" s="772">
        <f t="shared" ca="1" si="9"/>
        <v>0.23764705882352943</v>
      </c>
      <c r="E63" s="998">
        <f t="shared" ca="1" si="9"/>
        <v>0.20200000000000007</v>
      </c>
      <c r="F63" s="772">
        <f t="shared" si="9"/>
        <v>0.22700000000000004</v>
      </c>
      <c r="G63" s="772">
        <f t="shared" ca="1" si="9"/>
        <v>0.26700000000000002</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4027.3188244489102</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1164.1500000000001</v>
      </c>
      <c r="D76" s="1008">
        <f>'lokale energieproductie'!C8</f>
        <v>1369.5882352941178</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276.65682352941184</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4027.3188244489102</v>
      </c>
      <c r="C78" s="744">
        <f>SUM(C72:C77)</f>
        <v>1164.1500000000001</v>
      </c>
      <c r="D78" s="745">
        <f t="shared" ref="D78:H78" si="10">SUM(D76:D77)</f>
        <v>1369.5882352941178</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276.65682352941184</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1663.0714285714289</v>
      </c>
      <c r="D87" s="766">
        <f>'lokale energieproductie'!C17</f>
        <v>1956.55462184874</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395.2240336134455</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1663.0714285714289</v>
      </c>
      <c r="D90" s="744">
        <f t="shared" ref="D90:H90" si="12">SUM(D87:D89)</f>
        <v>1956.55462184874</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395.2240336134455</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267" zoomScale="65" zoomScaleNormal="65" workbookViewId="0">
      <selection activeCell="M30" sqref="M30"/>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4027.3188244489102</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N31</f>
        <v>1164.1500000000001</v>
      </c>
      <c r="C8" s="556">
        <f>B50</f>
        <v>1369.5882352941178</v>
      </c>
      <c r="D8" s="1015"/>
      <c r="E8" s="1015">
        <f>E50</f>
        <v>0</v>
      </c>
      <c r="F8" s="1016"/>
      <c r="G8" s="557"/>
      <c r="H8" s="1015">
        <f>I50</f>
        <v>0</v>
      </c>
      <c r="I8" s="1015">
        <f>G50+F50</f>
        <v>0</v>
      </c>
      <c r="J8" s="1015">
        <f>H50+D50+C50</f>
        <v>0</v>
      </c>
      <c r="K8" s="1015"/>
      <c r="L8" s="1015"/>
      <c r="M8" s="1015"/>
      <c r="N8" s="558"/>
      <c r="O8" s="559">
        <f>C8*$C$12+D8*$D$12+E8*$E$12+F8*$F$12+G8*$G$12+H8*$H$12+I8*$I$12+J8*$J$12</f>
        <v>276.65682352941184</v>
      </c>
      <c r="P8" s="1254"/>
      <c r="Q8" s="1255"/>
      <c r="S8" s="1027"/>
      <c r="T8" s="1275"/>
      <c r="U8" s="1275"/>
    </row>
    <row r="9" spans="1:21" s="544" customFormat="1" ht="17.45" customHeight="1" thickBot="1">
      <c r="A9" s="560" t="s">
        <v>247</v>
      </c>
      <c r="B9" s="561">
        <f>N38+'Eigen informatie GS &amp; warmtenet'!B12</f>
        <v>0</v>
      </c>
      <c r="C9" s="562">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5191.4688244489098</v>
      </c>
      <c r="C10" s="569">
        <f t="shared" ref="C10:L10" si="0">SUM(C8:C9)</f>
        <v>1369.5882352941178</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276.65682352941184</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O31</f>
        <v>1663.0714285714289</v>
      </c>
      <c r="C17" s="581">
        <f>B51</f>
        <v>1956.55462184874</v>
      </c>
      <c r="D17" s="582"/>
      <c r="E17" s="582">
        <f>E51</f>
        <v>0</v>
      </c>
      <c r="F17" s="1021"/>
      <c r="G17" s="583"/>
      <c r="H17" s="581">
        <f>I51</f>
        <v>0</v>
      </c>
      <c r="I17" s="582">
        <f>G51+F51</f>
        <v>0</v>
      </c>
      <c r="J17" s="582">
        <f>H51+D51+C51</f>
        <v>0</v>
      </c>
      <c r="K17" s="582"/>
      <c r="L17" s="582"/>
      <c r="M17" s="582"/>
      <c r="N17" s="1022"/>
      <c r="O17" s="584">
        <f>C17*$C$22+E17*$E$22+H17*$H$22+I17*$I$22+J17*$J$22+D17*$D$22+F17*$F$22+G17*$G$22+K17*$K$22+L17*$L$22</f>
        <v>395.2240336134455</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1663.0714285714289</v>
      </c>
      <c r="C20" s="568">
        <f>SUM(C17:C19)</f>
        <v>1956.55462184874</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395.2240336134455</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11008</v>
      </c>
      <c r="C28" s="787">
        <v>2930</v>
      </c>
      <c r="D28" s="640" t="s">
        <v>920</v>
      </c>
      <c r="E28" s="639" t="s">
        <v>921</v>
      </c>
      <c r="F28" s="639" t="s">
        <v>922</v>
      </c>
      <c r="G28" s="639" t="s">
        <v>923</v>
      </c>
      <c r="H28" s="639" t="s">
        <v>924</v>
      </c>
      <c r="I28" s="639" t="s">
        <v>925</v>
      </c>
      <c r="J28" s="786">
        <v>37622</v>
      </c>
      <c r="K28" s="786">
        <v>40391</v>
      </c>
      <c r="L28" s="639" t="s">
        <v>926</v>
      </c>
      <c r="M28" s="639">
        <v>65</v>
      </c>
      <c r="N28" s="639">
        <v>292.5</v>
      </c>
      <c r="O28" s="639">
        <v>417.85714285714289</v>
      </c>
      <c r="P28" s="639">
        <v>835.71428571428578</v>
      </c>
      <c r="Q28" s="639">
        <v>0</v>
      </c>
      <c r="R28" s="639">
        <v>0</v>
      </c>
      <c r="S28" s="639">
        <v>0</v>
      </c>
      <c r="T28" s="639">
        <v>0</v>
      </c>
      <c r="U28" s="639">
        <v>0</v>
      </c>
      <c r="V28" s="639">
        <v>0</v>
      </c>
      <c r="W28" s="639">
        <v>0</v>
      </c>
      <c r="X28" s="639">
        <v>16000</v>
      </c>
      <c r="Y28" s="639" t="s">
        <v>32</v>
      </c>
      <c r="Z28" s="641" t="s">
        <v>389</v>
      </c>
    </row>
    <row r="29" spans="1:26" s="593" customFormat="1" ht="25.5">
      <c r="A29" s="592"/>
      <c r="B29" s="787">
        <v>11008</v>
      </c>
      <c r="C29" s="787">
        <v>2930</v>
      </c>
      <c r="D29" s="640" t="s">
        <v>927</v>
      </c>
      <c r="E29" s="639" t="s">
        <v>928</v>
      </c>
      <c r="F29" s="639" t="s">
        <v>929</v>
      </c>
      <c r="G29" s="639" t="s">
        <v>923</v>
      </c>
      <c r="H29" s="639" t="s">
        <v>924</v>
      </c>
      <c r="I29" s="639" t="s">
        <v>928</v>
      </c>
      <c r="J29" s="786">
        <v>39084</v>
      </c>
      <c r="K29" s="786">
        <v>39630</v>
      </c>
      <c r="L29" s="639" t="s">
        <v>926</v>
      </c>
      <c r="M29" s="639">
        <v>53.7</v>
      </c>
      <c r="N29" s="639">
        <v>241.65000000000003</v>
      </c>
      <c r="O29" s="639">
        <v>345.21428571428578</v>
      </c>
      <c r="P29" s="639">
        <v>690.42857142857156</v>
      </c>
      <c r="Q29" s="639">
        <v>0</v>
      </c>
      <c r="R29" s="639">
        <v>0</v>
      </c>
      <c r="S29" s="639">
        <v>0</v>
      </c>
      <c r="T29" s="639">
        <v>0</v>
      </c>
      <c r="U29" s="639">
        <v>0</v>
      </c>
      <c r="V29" s="639">
        <v>0</v>
      </c>
      <c r="W29" s="639">
        <v>0</v>
      </c>
      <c r="X29" s="639">
        <v>16000</v>
      </c>
      <c r="Y29" s="639" t="s">
        <v>32</v>
      </c>
      <c r="Z29" s="641" t="s">
        <v>389</v>
      </c>
    </row>
    <row r="30" spans="1:26" s="593" customFormat="1" ht="51">
      <c r="A30" s="592"/>
      <c r="B30" s="787">
        <v>11008</v>
      </c>
      <c r="C30" s="787">
        <v>2930</v>
      </c>
      <c r="D30" s="640" t="s">
        <v>930</v>
      </c>
      <c r="E30" s="639" t="s">
        <v>931</v>
      </c>
      <c r="F30" s="639" t="s">
        <v>932</v>
      </c>
      <c r="G30" s="639" t="s">
        <v>923</v>
      </c>
      <c r="H30" s="639" t="s">
        <v>924</v>
      </c>
      <c r="I30" s="639" t="s">
        <v>931</v>
      </c>
      <c r="J30" s="786">
        <v>39599</v>
      </c>
      <c r="K30" s="786">
        <v>39661</v>
      </c>
      <c r="L30" s="639" t="s">
        <v>926</v>
      </c>
      <c r="M30" s="639">
        <v>140</v>
      </c>
      <c r="N30" s="639">
        <v>630.00000000000011</v>
      </c>
      <c r="O30" s="639">
        <v>900.00000000000023</v>
      </c>
      <c r="P30" s="639">
        <v>1800.0000000000005</v>
      </c>
      <c r="Q30" s="639">
        <v>0</v>
      </c>
      <c r="R30" s="639">
        <v>0</v>
      </c>
      <c r="S30" s="639">
        <v>0</v>
      </c>
      <c r="T30" s="639">
        <v>0</v>
      </c>
      <c r="U30" s="639">
        <v>0</v>
      </c>
      <c r="V30" s="639">
        <v>0</v>
      </c>
      <c r="W30" s="639">
        <v>0</v>
      </c>
      <c r="X30" s="639">
        <v>1500</v>
      </c>
      <c r="Y30" s="639" t="s">
        <v>50</v>
      </c>
      <c r="Z30" s="641" t="s">
        <v>155</v>
      </c>
    </row>
    <row r="31" spans="1:26" s="576" customFormat="1">
      <c r="A31" s="595" t="s">
        <v>279</v>
      </c>
      <c r="B31" s="596"/>
      <c r="C31" s="596"/>
      <c r="D31" s="596"/>
      <c r="E31" s="596"/>
      <c r="F31" s="596"/>
      <c r="G31" s="596"/>
      <c r="H31" s="596"/>
      <c r="I31" s="596"/>
      <c r="J31" s="596"/>
      <c r="K31" s="596"/>
      <c r="L31" s="597"/>
      <c r="M31" s="597">
        <f>SUM(M28:M30)</f>
        <v>258.7</v>
      </c>
      <c r="N31" s="597">
        <f>SUM(N28:N30)</f>
        <v>1164.1500000000001</v>
      </c>
      <c r="O31" s="597">
        <f>SUM(O28:O30)</f>
        <v>1663.0714285714289</v>
      </c>
      <c r="P31" s="597">
        <f>SUM(P28:P30)</f>
        <v>3326.1428571428578</v>
      </c>
      <c r="Q31" s="597">
        <f>SUM(Q28:Q30)</f>
        <v>0</v>
      </c>
      <c r="R31" s="597">
        <f>SUM(R28:R30)</f>
        <v>0</v>
      </c>
      <c r="S31" s="597">
        <f>SUM(S28:S30)</f>
        <v>0</v>
      </c>
      <c r="T31" s="597">
        <f>SUM(T28:T30)</f>
        <v>0</v>
      </c>
      <c r="U31" s="597">
        <f>SUM(U28:U30)</f>
        <v>0</v>
      </c>
      <c r="V31" s="597">
        <f>SUM(V28:V30)</f>
        <v>0</v>
      </c>
      <c r="W31" s="597">
        <f>SUM(W28:W30)</f>
        <v>0</v>
      </c>
      <c r="X31" s="598"/>
      <c r="Y31" s="598"/>
      <c r="Z31" s="599"/>
    </row>
    <row r="32" spans="1:26" s="576" customFormat="1">
      <c r="A32" s="595" t="s">
        <v>286</v>
      </c>
      <c r="B32" s="596"/>
      <c r="C32" s="596"/>
      <c r="D32" s="596"/>
      <c r="E32" s="596"/>
      <c r="F32" s="596"/>
      <c r="G32" s="596"/>
      <c r="H32" s="596"/>
      <c r="I32" s="596"/>
      <c r="J32" s="596"/>
      <c r="K32" s="596"/>
      <c r="L32" s="597"/>
      <c r="M32" s="597">
        <f>SUMIF($Z$28:$Z$30,"industrie",M28:M30)</f>
        <v>118.7</v>
      </c>
      <c r="N32" s="597">
        <f>SUMIF($Z$28:$Z$30,"industrie",N28:N30)</f>
        <v>534.15000000000009</v>
      </c>
      <c r="O32" s="597">
        <f>SUMIF($Z$28:$Z$30,"industrie",O28:O30)</f>
        <v>763.07142857142867</v>
      </c>
      <c r="P32" s="597">
        <f>SUMIF($Z$28:$Z$30,"industrie",P28:P30)</f>
        <v>1526.1428571428573</v>
      </c>
      <c r="Q32" s="597">
        <f>SUMIF($Z$28:$Z$30,"industrie",Q28:Q30)</f>
        <v>0</v>
      </c>
      <c r="R32" s="597">
        <f>SUMIF($Z$28:$Z$30,"industrie",R28:R30)</f>
        <v>0</v>
      </c>
      <c r="S32" s="597">
        <f>SUMIF($Z$28:$Z$30,"industrie",S28:S30)</f>
        <v>0</v>
      </c>
      <c r="T32" s="597">
        <f>SUMIF($Z$28:$Z$30,"industrie",T28:T30)</f>
        <v>0</v>
      </c>
      <c r="U32" s="597">
        <f>SUMIF($Z$28:$Z$30,"industrie",U28:U30)</f>
        <v>0</v>
      </c>
      <c r="V32" s="597">
        <f>SUMIF($Z$28:$Z$30,"industrie",V28:V30)</f>
        <v>0</v>
      </c>
      <c r="W32" s="597">
        <f>SUMIF($Z$28:$Z$30,"industrie",W28:W30)</f>
        <v>0</v>
      </c>
      <c r="X32" s="598"/>
      <c r="Y32" s="598"/>
      <c r="Z32" s="599"/>
    </row>
    <row r="33" spans="1:27" s="576" customFormat="1">
      <c r="A33" s="595" t="s">
        <v>287</v>
      </c>
      <c r="B33" s="596"/>
      <c r="C33" s="596"/>
      <c r="D33" s="596"/>
      <c r="E33" s="596"/>
      <c r="F33" s="596"/>
      <c r="G33" s="596"/>
      <c r="H33" s="596"/>
      <c r="I33" s="596"/>
      <c r="J33" s="596"/>
      <c r="K33" s="596"/>
      <c r="L33" s="597"/>
      <c r="M33" s="597">
        <f ca="1">SUMIF($Z$28:AC30,"tertiair",M28:M30)</f>
        <v>140</v>
      </c>
      <c r="N33" s="597">
        <f ca="1">SUMIF($Z$28:AD30,"tertiair",N28:N30)</f>
        <v>630.00000000000011</v>
      </c>
      <c r="O33" s="597">
        <f ca="1">SUMIF($Z$28:AE30,"tertiair",O28:O30)</f>
        <v>900.00000000000023</v>
      </c>
      <c r="P33" s="597">
        <f ca="1">SUMIF($Z$28:AF30,"tertiair",P28:P30)</f>
        <v>1800.0000000000005</v>
      </c>
      <c r="Q33" s="597">
        <f ca="1">SUMIF($Z$28:AG30,"tertiair",Q28:Q30)</f>
        <v>0</v>
      </c>
      <c r="R33" s="597">
        <f ca="1">SUMIF($Z$28:AH30,"tertiair",R28:R30)</f>
        <v>0</v>
      </c>
      <c r="S33" s="597">
        <f ca="1">SUMIF($Z$28:AI30,"tertiair",S28:S30)</f>
        <v>0</v>
      </c>
      <c r="T33" s="597">
        <f ca="1">SUMIF($Z$28:AJ30,"tertiair",T28:T30)</f>
        <v>0</v>
      </c>
      <c r="U33" s="597">
        <f ca="1">SUMIF($Z$28:AK30,"tertiair",U28:U30)</f>
        <v>0</v>
      </c>
      <c r="V33" s="597">
        <f ca="1">SUMIF($Z$28:AL30,"tertiair",V28:V30)</f>
        <v>0</v>
      </c>
      <c r="W33" s="597">
        <f ca="1">SUMIF($Z$28:AM30,"tertiair",W28:W30)</f>
        <v>0</v>
      </c>
      <c r="X33" s="598"/>
      <c r="Y33" s="598"/>
      <c r="Z33" s="599"/>
    </row>
    <row r="34" spans="1:27" s="576" customFormat="1" ht="15.75" thickBot="1">
      <c r="A34" s="600" t="s">
        <v>288</v>
      </c>
      <c r="B34" s="601"/>
      <c r="C34" s="601"/>
      <c r="D34" s="601"/>
      <c r="E34" s="601"/>
      <c r="F34" s="601"/>
      <c r="G34" s="601"/>
      <c r="H34" s="601"/>
      <c r="I34" s="601"/>
      <c r="J34" s="601"/>
      <c r="K34" s="601"/>
      <c r="L34" s="602"/>
      <c r="M34" s="602">
        <f>SUMIF($Z$28:$Z$30,"landbouw",M28:M30)</f>
        <v>0</v>
      </c>
      <c r="N34" s="602">
        <f>SUMIF($Z$28:$Z$30,"landbouw",N28:N30)</f>
        <v>0</v>
      </c>
      <c r="O34" s="602">
        <f>SUMIF($Z$28:$Z$30,"landbouw",O28:O30)</f>
        <v>0</v>
      </c>
      <c r="P34" s="602">
        <f>SUMIF($Z$28:$Z$30,"landbouw",P28:P30)</f>
        <v>0</v>
      </c>
      <c r="Q34" s="602">
        <f>SUMIF($Z$28:$Z$30,"landbouw",Q28:Q30)</f>
        <v>0</v>
      </c>
      <c r="R34" s="602">
        <f>SUMIF($Z$28:$Z$30,"landbouw",R28:R30)</f>
        <v>0</v>
      </c>
      <c r="S34" s="602">
        <f>SUMIF($Z$28:$Z$30,"landbouw",S28:S30)</f>
        <v>0</v>
      </c>
      <c r="T34" s="602">
        <f>SUMIF($Z$28:$Z$30,"landbouw",T28:T30)</f>
        <v>0</v>
      </c>
      <c r="U34" s="602">
        <f>SUMIF($Z$28:$Z$30,"landbouw",U28:U30)</f>
        <v>0</v>
      </c>
      <c r="V34" s="602">
        <f>SUMIF($Z$28:$Z$30,"landbouw",V28:V30)</f>
        <v>0</v>
      </c>
      <c r="W34" s="602">
        <f>SUMIF($Z$28:$Z$30,"landbouw",W28:W30)</f>
        <v>0</v>
      </c>
      <c r="X34" s="603"/>
      <c r="Y34" s="603"/>
      <c r="Z34" s="604"/>
    </row>
    <row r="35" spans="1:27" s="544" customFormat="1" ht="15.75" thickBot="1">
      <c r="A35" s="605"/>
      <c r="B35" s="606"/>
      <c r="C35" s="606"/>
      <c r="D35" s="606"/>
      <c r="E35" s="606"/>
      <c r="F35" s="606"/>
      <c r="G35" s="606"/>
      <c r="H35" s="606"/>
      <c r="I35" s="606"/>
      <c r="J35" s="606"/>
      <c r="K35" s="606"/>
      <c r="L35" s="589"/>
      <c r="M35" s="589"/>
      <c r="N35" s="589"/>
      <c r="O35" s="590"/>
      <c r="P35" s="590"/>
    </row>
    <row r="36" spans="1:27" s="544" customFormat="1" ht="45">
      <c r="A36" s="607" t="s">
        <v>280</v>
      </c>
      <c r="B36" s="636" t="s">
        <v>89</v>
      </c>
      <c r="C36" s="636" t="s">
        <v>90</v>
      </c>
      <c r="D36" s="636" t="s">
        <v>91</v>
      </c>
      <c r="E36" s="636" t="s">
        <v>92</v>
      </c>
      <c r="F36" s="636" t="s">
        <v>93</v>
      </c>
      <c r="G36" s="636" t="s">
        <v>94</v>
      </c>
      <c r="H36" s="636" t="s">
        <v>95</v>
      </c>
      <c r="I36" s="636" t="s">
        <v>96</v>
      </c>
      <c r="J36" s="636" t="s">
        <v>97</v>
      </c>
      <c r="K36" s="636" t="s">
        <v>98</v>
      </c>
      <c r="L36" s="636" t="s">
        <v>99</v>
      </c>
      <c r="M36" s="637" t="s">
        <v>297</v>
      </c>
      <c r="N36" s="637" t="s">
        <v>100</v>
      </c>
      <c r="O36" s="637" t="s">
        <v>101</v>
      </c>
      <c r="P36" s="637" t="s">
        <v>546</v>
      </c>
      <c r="Q36" s="637" t="s">
        <v>102</v>
      </c>
      <c r="R36" s="637" t="s">
        <v>103</v>
      </c>
      <c r="S36" s="637" t="s">
        <v>104</v>
      </c>
      <c r="T36" s="637" t="s">
        <v>105</v>
      </c>
      <c r="U36" s="637" t="s">
        <v>106</v>
      </c>
      <c r="V36" s="637" t="s">
        <v>107</v>
      </c>
      <c r="W36" s="636" t="s">
        <v>108</v>
      </c>
      <c r="X36" s="636" t="s">
        <v>298</v>
      </c>
      <c r="Y36" s="636" t="s">
        <v>109</v>
      </c>
      <c r="Z36" s="638" t="s">
        <v>299</v>
      </c>
    </row>
    <row r="37" spans="1:27" s="608" customFormat="1" ht="12.75">
      <c r="A37" s="594"/>
      <c r="B37" s="787"/>
      <c r="C37" s="787"/>
      <c r="D37" s="642"/>
      <c r="E37" s="642"/>
      <c r="F37" s="642"/>
      <c r="G37" s="642"/>
      <c r="H37" s="642"/>
      <c r="I37" s="642"/>
      <c r="J37" s="786"/>
      <c r="K37" s="786"/>
      <c r="L37" s="642"/>
      <c r="M37" s="642"/>
      <c r="N37" s="642"/>
      <c r="O37" s="642"/>
      <c r="P37" s="642"/>
      <c r="Q37" s="642"/>
      <c r="R37" s="642"/>
      <c r="S37" s="642"/>
      <c r="T37" s="642"/>
      <c r="U37" s="642"/>
      <c r="V37" s="642"/>
      <c r="W37" s="642"/>
      <c r="X37" s="642"/>
      <c r="Y37" s="642"/>
      <c r="Z37" s="643"/>
    </row>
    <row r="38" spans="1:27" s="576" customFormat="1">
      <c r="A38" s="595" t="s">
        <v>279</v>
      </c>
      <c r="B38" s="596"/>
      <c r="C38" s="596"/>
      <c r="D38" s="596"/>
      <c r="E38" s="596"/>
      <c r="F38" s="596"/>
      <c r="G38" s="596"/>
      <c r="H38" s="596"/>
      <c r="I38" s="596"/>
      <c r="J38" s="596"/>
      <c r="K38" s="596"/>
      <c r="L38" s="597"/>
      <c r="M38" s="597">
        <f>SUM(M37:M37)</f>
        <v>0</v>
      </c>
      <c r="N38" s="597">
        <f>SUM(N37:N37)</f>
        <v>0</v>
      </c>
      <c r="O38" s="597">
        <f>SUM(O37:O37)</f>
        <v>0</v>
      </c>
      <c r="P38" s="597">
        <f>SUM(P37:P37)</f>
        <v>0</v>
      </c>
      <c r="Q38" s="597">
        <f>SUM(Q37:Q37)</f>
        <v>0</v>
      </c>
      <c r="R38" s="597">
        <f>SUM(R37:R37)</f>
        <v>0</v>
      </c>
      <c r="S38" s="597">
        <f>SUM(S37:S37)</f>
        <v>0</v>
      </c>
      <c r="T38" s="597">
        <f>SUM(T37:T37)</f>
        <v>0</v>
      </c>
      <c r="U38" s="597">
        <f>SUM(U37:U37)</f>
        <v>0</v>
      </c>
      <c r="V38" s="597">
        <f>SUM(V37:V37)</f>
        <v>0</v>
      </c>
      <c r="W38" s="597">
        <f>SUM(W37:W37)</f>
        <v>0</v>
      </c>
      <c r="X38" s="598"/>
      <c r="Y38" s="598"/>
      <c r="Z38" s="599"/>
    </row>
    <row r="39" spans="1:27" s="576" customFormat="1">
      <c r="A39" s="595" t="s">
        <v>286</v>
      </c>
      <c r="B39" s="596"/>
      <c r="C39" s="596"/>
      <c r="D39" s="596"/>
      <c r="E39" s="596"/>
      <c r="F39" s="596"/>
      <c r="G39" s="596"/>
      <c r="H39" s="596"/>
      <c r="I39" s="596"/>
      <c r="J39" s="596"/>
      <c r="K39" s="596"/>
      <c r="L39" s="597"/>
      <c r="M39" s="597">
        <f>SUMIF($Z$37:$Z$37,"industrie",M37:M37)</f>
        <v>0</v>
      </c>
      <c r="N39" s="597">
        <f>SUMIF($Z$37:$Z$37,"industrie",N37:N37)</f>
        <v>0</v>
      </c>
      <c r="O39" s="597">
        <f>SUMIF($Z$37:$Z$37,"industrie",O37:O37)</f>
        <v>0</v>
      </c>
      <c r="P39" s="597">
        <f>SUMIF($Z$37:$Z$37,"industrie",P37:P37)</f>
        <v>0</v>
      </c>
      <c r="Q39" s="597">
        <f>SUMIF($Z$37:$Z$37,"industrie",Q37:Q37)</f>
        <v>0</v>
      </c>
      <c r="R39" s="597">
        <f>SUMIF($Z$37:$Z$37,"industrie",R37:R37)</f>
        <v>0</v>
      </c>
      <c r="S39" s="597">
        <f>SUMIF($Z$37:$Z$37,"industrie",S37:S37)</f>
        <v>0</v>
      </c>
      <c r="T39" s="597">
        <f>SUMIF($Z$37:$Z$37,"industrie",T37:T37)</f>
        <v>0</v>
      </c>
      <c r="U39" s="597">
        <f>SUMIF($Z$37:$Z$37,"industrie",U37:U37)</f>
        <v>0</v>
      </c>
      <c r="V39" s="597">
        <f>SUMIF($Z$37:$Z$37,"industrie",V37:V37)</f>
        <v>0</v>
      </c>
      <c r="W39" s="597">
        <f>SUMIF($Z$37:$Z$37,"industrie",W37:W37)</f>
        <v>0</v>
      </c>
      <c r="X39" s="598"/>
      <c r="Y39" s="598"/>
      <c r="Z39" s="599"/>
    </row>
    <row r="40" spans="1:27" s="576" customFormat="1">
      <c r="A40" s="595" t="s">
        <v>287</v>
      </c>
      <c r="B40" s="596"/>
      <c r="C40" s="596"/>
      <c r="D40" s="596"/>
      <c r="E40" s="596"/>
      <c r="F40" s="596"/>
      <c r="G40" s="596"/>
      <c r="H40" s="596"/>
      <c r="I40" s="596"/>
      <c r="J40" s="596"/>
      <c r="K40" s="596"/>
      <c r="L40" s="597"/>
      <c r="M40" s="597">
        <f>SUMIF($Z$37:$Z$38,"tertiair",M37:M38)</f>
        <v>0</v>
      </c>
      <c r="N40" s="597">
        <f>SUMIF($Z$37:$Z$38,"tertiair",N37:N38)</f>
        <v>0</v>
      </c>
      <c r="O40" s="597">
        <f>SUMIF($Z$37:$Z$38,"tertiair",O37:O38)</f>
        <v>0</v>
      </c>
      <c r="P40" s="597">
        <f>SUMIF($Z$37:$Z$38,"tertiair",P37:P38)</f>
        <v>0</v>
      </c>
      <c r="Q40" s="597">
        <f>SUMIF($Z$37:$Z$38,"tertiair",Q37:Q38)</f>
        <v>0</v>
      </c>
      <c r="R40" s="597">
        <f>SUMIF($Z$37:$Z$38,"tertiair",R37:R38)</f>
        <v>0</v>
      </c>
      <c r="S40" s="597">
        <f>SUMIF($Z$37:$Z$38,"tertiair",S37:S38)</f>
        <v>0</v>
      </c>
      <c r="T40" s="597">
        <f>SUMIF($Z$37:$Z$38,"tertiair",T37:T38)</f>
        <v>0</v>
      </c>
      <c r="U40" s="597">
        <f>SUMIF($Z$37:$Z$38,"tertiair",U37:U38)</f>
        <v>0</v>
      </c>
      <c r="V40" s="597">
        <f>SUMIF($Z$37:$Z$38,"tertiair",V37:V38)</f>
        <v>0</v>
      </c>
      <c r="W40" s="597">
        <f>SUMIF($Z$37:$Z$38,"tertiair",W37:W38)</f>
        <v>0</v>
      </c>
      <c r="X40" s="598"/>
      <c r="Y40" s="598"/>
      <c r="Z40" s="599"/>
    </row>
    <row r="41" spans="1:27" s="576" customFormat="1" ht="15.75" thickBot="1">
      <c r="A41" s="600" t="s">
        <v>288</v>
      </c>
      <c r="B41" s="601"/>
      <c r="C41" s="601"/>
      <c r="D41" s="601"/>
      <c r="E41" s="601"/>
      <c r="F41" s="601"/>
      <c r="G41" s="601"/>
      <c r="H41" s="601"/>
      <c r="I41" s="601"/>
      <c r="J41" s="601"/>
      <c r="K41" s="601"/>
      <c r="L41" s="602"/>
      <c r="M41" s="602">
        <f>SUMIF($Z$37:$Z$39,"landbouw",M37:M39)</f>
        <v>0</v>
      </c>
      <c r="N41" s="602">
        <f>SUMIF($Z$37:$Z$39,"landbouw",N37:N39)</f>
        <v>0</v>
      </c>
      <c r="O41" s="602">
        <f>SUMIF($Z$37:$Z$39,"landbouw",O37:O39)</f>
        <v>0</v>
      </c>
      <c r="P41" s="602">
        <f>SUMIF($Z$37:$Z$39,"landbouw",P37:P39)</f>
        <v>0</v>
      </c>
      <c r="Q41" s="602">
        <f>SUMIF($Z$37:$Z$39,"landbouw",Q37:Q39)</f>
        <v>0</v>
      </c>
      <c r="R41" s="602">
        <f>SUMIF($Z$37:$Z$39,"landbouw",R37:R39)</f>
        <v>0</v>
      </c>
      <c r="S41" s="602">
        <f>SUMIF($Z$37:$Z$39,"landbouw",S37:S39)</f>
        <v>0</v>
      </c>
      <c r="T41" s="602">
        <f>SUMIF($Z$37:$Z$39,"landbouw",T37:T39)</f>
        <v>0</v>
      </c>
      <c r="U41" s="602">
        <f>SUMIF($Z$37:$Z$39,"landbouw",U37:U39)</f>
        <v>0</v>
      </c>
      <c r="V41" s="602">
        <f>SUMIF($Z$37:$Z$39,"landbouw",V37:V39)</f>
        <v>0</v>
      </c>
      <c r="W41" s="602">
        <f>SUMIF($Z$37:$Z$39,"landbouw",W37:W39)</f>
        <v>0</v>
      </c>
      <c r="X41" s="603"/>
      <c r="Y41" s="603"/>
      <c r="Z41" s="604"/>
    </row>
    <row r="42" spans="1:27" s="609" customForma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row>
    <row r="43" spans="1:27" s="609" customFormat="1" ht="15.75" thickBot="1">
      <c r="A43" s="605"/>
      <c r="B43" s="589"/>
      <c r="C43" s="589"/>
      <c r="D43" s="589"/>
      <c r="E43" s="589"/>
      <c r="F43" s="589"/>
      <c r="G43" s="589"/>
      <c r="H43" s="589"/>
      <c r="I43" s="589"/>
      <c r="J43" s="589"/>
      <c r="K43" s="589"/>
      <c r="L43" s="589"/>
      <c r="M43" s="589"/>
      <c r="N43" s="589"/>
      <c r="O43" s="589"/>
      <c r="P43" s="589"/>
      <c r="Q43" s="589"/>
      <c r="R43" s="589"/>
      <c r="S43" s="589"/>
      <c r="T43" s="589"/>
      <c r="U43" s="589"/>
      <c r="V43" s="589"/>
      <c r="W43" s="589"/>
      <c r="X43" s="589"/>
      <c r="Y43" s="589"/>
      <c r="Z43" s="589"/>
      <c r="AA43" s="589"/>
    </row>
    <row r="44" spans="1:27">
      <c r="A44" s="610" t="s">
        <v>281</v>
      </c>
      <c r="B44" s="611"/>
      <c r="C44" s="611"/>
      <c r="D44" s="611"/>
      <c r="E44" s="611"/>
      <c r="F44" s="611"/>
      <c r="G44" s="611"/>
      <c r="H44" s="611"/>
      <c r="I44" s="612"/>
      <c r="J44" s="613"/>
      <c r="K44" s="613"/>
      <c r="L44" s="614"/>
      <c r="M44" s="614"/>
      <c r="N44" s="614"/>
      <c r="O44" s="614"/>
      <c r="P44" s="614"/>
    </row>
    <row r="45" spans="1:27">
      <c r="A45" s="616"/>
      <c r="B45" s="606"/>
      <c r="C45" s="606"/>
      <c r="D45" s="606"/>
      <c r="E45" s="606"/>
      <c r="F45" s="606"/>
      <c r="G45" s="606"/>
      <c r="H45" s="606"/>
      <c r="I45" s="617"/>
      <c r="J45" s="606"/>
      <c r="K45" s="606"/>
      <c r="L45" s="614"/>
      <c r="M45" s="614"/>
      <c r="N45" s="614"/>
      <c r="O45" s="614"/>
      <c r="P45" s="614"/>
    </row>
    <row r="46" spans="1:27">
      <c r="A46" s="618"/>
      <c r="B46" s="619" t="s">
        <v>282</v>
      </c>
      <c r="C46" s="619" t="s">
        <v>283</v>
      </c>
      <c r="D46" s="619"/>
      <c r="E46" s="619"/>
      <c r="F46" s="619"/>
      <c r="G46" s="619"/>
      <c r="H46" s="619"/>
      <c r="I46" s="620"/>
      <c r="J46" s="619"/>
      <c r="K46" s="619"/>
      <c r="L46" s="619"/>
      <c r="M46" s="619"/>
      <c r="N46" s="619"/>
      <c r="O46" s="619"/>
      <c r="P46" s="614"/>
    </row>
    <row r="47" spans="1:27">
      <c r="A47" s="616" t="s">
        <v>279</v>
      </c>
      <c r="B47" s="621">
        <f>IF(ISERROR(O31/(O31+N31)),0,O31/(O31+N31))</f>
        <v>0.58823529411764708</v>
      </c>
      <c r="C47" s="622">
        <f>IF(ISERROR(N31/(O31+N31)),0,N31/(N31+O31))</f>
        <v>0.41176470588235292</v>
      </c>
      <c r="D47" s="589"/>
      <c r="E47" s="589"/>
      <c r="F47" s="589"/>
      <c r="G47" s="589"/>
      <c r="H47" s="589"/>
      <c r="I47" s="623"/>
      <c r="J47" s="589"/>
      <c r="K47" s="589"/>
      <c r="L47" s="624"/>
      <c r="M47" s="624"/>
      <c r="N47" s="624"/>
      <c r="O47" s="624"/>
      <c r="P47" s="614"/>
    </row>
    <row r="48" spans="1:27">
      <c r="A48" s="616"/>
      <c r="B48" s="625"/>
      <c r="C48" s="625"/>
      <c r="D48" s="625"/>
      <c r="E48" s="625"/>
      <c r="F48" s="625"/>
      <c r="G48" s="625"/>
      <c r="H48" s="625"/>
      <c r="I48" s="626"/>
      <c r="J48" s="625"/>
      <c r="K48" s="625"/>
      <c r="L48" s="627"/>
      <c r="M48" s="627"/>
      <c r="N48" s="627"/>
      <c r="O48" s="627"/>
      <c r="P48" s="614"/>
    </row>
    <row r="49" spans="1:16" ht="30">
      <c r="A49" s="628"/>
      <c r="B49" s="629" t="s">
        <v>546</v>
      </c>
      <c r="C49" s="629" t="s">
        <v>102</v>
      </c>
      <c r="D49" s="629" t="s">
        <v>103</v>
      </c>
      <c r="E49" s="629" t="s">
        <v>104</v>
      </c>
      <c r="F49" s="629" t="s">
        <v>105</v>
      </c>
      <c r="G49" s="629" t="s">
        <v>106</v>
      </c>
      <c r="H49" s="629" t="s">
        <v>107</v>
      </c>
      <c r="I49" s="630" t="s">
        <v>108</v>
      </c>
      <c r="J49" s="619"/>
      <c r="K49" s="619"/>
      <c r="L49" s="627"/>
      <c r="M49" s="627"/>
      <c r="N49" s="627"/>
      <c r="O49" s="614"/>
      <c r="P49" s="614"/>
    </row>
    <row r="50" spans="1:16">
      <c r="A50" s="618" t="s">
        <v>284</v>
      </c>
      <c r="B50" s="631">
        <f t="shared" ref="B50:I50" si="2">$C$47*P31</f>
        <v>1369.5882352941178</v>
      </c>
      <c r="C50" s="631">
        <f t="shared" si="2"/>
        <v>0</v>
      </c>
      <c r="D50" s="631">
        <f t="shared" si="2"/>
        <v>0</v>
      </c>
      <c r="E50" s="631">
        <f t="shared" si="2"/>
        <v>0</v>
      </c>
      <c r="F50" s="631">
        <f t="shared" si="2"/>
        <v>0</v>
      </c>
      <c r="G50" s="631">
        <f t="shared" si="2"/>
        <v>0</v>
      </c>
      <c r="H50" s="631">
        <f t="shared" si="2"/>
        <v>0</v>
      </c>
      <c r="I50" s="632">
        <f t="shared" si="2"/>
        <v>0</v>
      </c>
      <c r="J50" s="589"/>
      <c r="K50" s="589"/>
      <c r="L50" s="627"/>
      <c r="M50" s="627"/>
      <c r="N50" s="627"/>
      <c r="O50" s="614"/>
      <c r="P50" s="614"/>
    </row>
    <row r="51" spans="1:16" ht="15.75" thickBot="1">
      <c r="A51" s="633" t="s">
        <v>285</v>
      </c>
      <c r="B51" s="634">
        <f t="shared" ref="B51:I51" si="3">$B$47*P31</f>
        <v>1956.55462184874</v>
      </c>
      <c r="C51" s="634">
        <f t="shared" si="3"/>
        <v>0</v>
      </c>
      <c r="D51" s="634">
        <f t="shared" si="3"/>
        <v>0</v>
      </c>
      <c r="E51" s="634">
        <f t="shared" si="3"/>
        <v>0</v>
      </c>
      <c r="F51" s="634">
        <f t="shared" si="3"/>
        <v>0</v>
      </c>
      <c r="G51" s="634">
        <f t="shared" si="3"/>
        <v>0</v>
      </c>
      <c r="H51" s="634">
        <f t="shared" si="3"/>
        <v>0</v>
      </c>
      <c r="I51" s="635">
        <f t="shared" si="3"/>
        <v>0</v>
      </c>
      <c r="J51" s="589"/>
      <c r="K51" s="589"/>
      <c r="L51" s="627"/>
      <c r="M51" s="627"/>
      <c r="N51" s="627"/>
      <c r="O51" s="614"/>
      <c r="P51" s="614"/>
    </row>
    <row r="52" spans="1:16">
      <c r="J52" s="574"/>
      <c r="K52" s="574"/>
      <c r="L52" s="574"/>
      <c r="M52" s="574"/>
      <c r="N52" s="574"/>
    </row>
    <row r="53" spans="1:16">
      <c r="J53" s="574"/>
      <c r="K53" s="574"/>
      <c r="L53" s="574"/>
      <c r="M53" s="574"/>
      <c r="N53"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73881.908361510679</v>
      </c>
      <c r="C4" s="458">
        <f>huishoudens!C8</f>
        <v>0</v>
      </c>
      <c r="D4" s="458">
        <f>huishoudens!D8</f>
        <v>276820.78489262034</v>
      </c>
      <c r="E4" s="458">
        <f>huishoudens!E8</f>
        <v>1799.4529721772021</v>
      </c>
      <c r="F4" s="458">
        <f>huishoudens!F8</f>
        <v>0</v>
      </c>
      <c r="G4" s="458">
        <f>huishoudens!G8</f>
        <v>0</v>
      </c>
      <c r="H4" s="458">
        <f>huishoudens!H8</f>
        <v>0</v>
      </c>
      <c r="I4" s="458">
        <f>huishoudens!I8</f>
        <v>0</v>
      </c>
      <c r="J4" s="458">
        <f>huishoudens!J8</f>
        <v>0</v>
      </c>
      <c r="K4" s="458">
        <f>huishoudens!K8</f>
        <v>0</v>
      </c>
      <c r="L4" s="458">
        <f>huishoudens!L8</f>
        <v>0</v>
      </c>
      <c r="M4" s="458">
        <f>huishoudens!M8</f>
        <v>0</v>
      </c>
      <c r="N4" s="458">
        <f>huishoudens!N8</f>
        <v>21641.428590375603</v>
      </c>
      <c r="O4" s="458">
        <f>huishoudens!O8</f>
        <v>168.84</v>
      </c>
      <c r="P4" s="459">
        <f>huishoudens!P8</f>
        <v>533.86666666666667</v>
      </c>
      <c r="Q4" s="460">
        <f>SUM(B4:P4)</f>
        <v>374846.28148335044</v>
      </c>
    </row>
    <row r="5" spans="1:17">
      <c r="A5" s="457" t="s">
        <v>155</v>
      </c>
      <c r="B5" s="458">
        <f ca="1">tertiair!B16</f>
        <v>51431.611580541219</v>
      </c>
      <c r="C5" s="458">
        <f ca="1">tertiair!C16</f>
        <v>900.00000000000023</v>
      </c>
      <c r="D5" s="458">
        <f ca="1">tertiair!D16</f>
        <v>92142.791653392691</v>
      </c>
      <c r="E5" s="458">
        <f>tertiair!E16</f>
        <v>570.25748926146525</v>
      </c>
      <c r="F5" s="458">
        <f ca="1">tertiair!F16</f>
        <v>10135.696413847107</v>
      </c>
      <c r="G5" s="458">
        <f>tertiair!G16</f>
        <v>0</v>
      </c>
      <c r="H5" s="458">
        <f>tertiair!H16</f>
        <v>0</v>
      </c>
      <c r="I5" s="458">
        <f>tertiair!I16</f>
        <v>0</v>
      </c>
      <c r="J5" s="458">
        <f>tertiair!J16</f>
        <v>0</v>
      </c>
      <c r="K5" s="458">
        <f>tertiair!K16</f>
        <v>0</v>
      </c>
      <c r="L5" s="458">
        <f ca="1">tertiair!L16</f>
        <v>0</v>
      </c>
      <c r="M5" s="458">
        <f>tertiair!M16</f>
        <v>0</v>
      </c>
      <c r="N5" s="458">
        <f ca="1">tertiair!N16</f>
        <v>4122.176098940984</v>
      </c>
      <c r="O5" s="458">
        <f>tertiair!O16</f>
        <v>1.5633333333333335</v>
      </c>
      <c r="P5" s="459">
        <f>tertiair!P16</f>
        <v>38.133333333333333</v>
      </c>
      <c r="Q5" s="457">
        <f t="shared" ref="Q5:Q14" ca="1" si="0">SUM(B5:P5)</f>
        <v>159342.22990265011</v>
      </c>
    </row>
    <row r="6" spans="1:17">
      <c r="A6" s="457" t="s">
        <v>193</v>
      </c>
      <c r="B6" s="458">
        <f>'openbare verlichting'!B8</f>
        <v>1920.386</v>
      </c>
      <c r="C6" s="458"/>
      <c r="D6" s="458"/>
      <c r="E6" s="458"/>
      <c r="F6" s="458"/>
      <c r="G6" s="458"/>
      <c r="H6" s="458"/>
      <c r="I6" s="458"/>
      <c r="J6" s="458"/>
      <c r="K6" s="458"/>
      <c r="L6" s="458"/>
      <c r="M6" s="458"/>
      <c r="N6" s="458"/>
      <c r="O6" s="458"/>
      <c r="P6" s="459"/>
      <c r="Q6" s="457">
        <f t="shared" si="0"/>
        <v>1920.386</v>
      </c>
    </row>
    <row r="7" spans="1:17">
      <c r="A7" s="457" t="s">
        <v>111</v>
      </c>
      <c r="B7" s="458">
        <f>landbouw!B8</f>
        <v>83.094293370375212</v>
      </c>
      <c r="C7" s="458">
        <f>landbouw!C8</f>
        <v>0</v>
      </c>
      <c r="D7" s="458">
        <f>landbouw!D8</f>
        <v>280.93061880695029</v>
      </c>
      <c r="E7" s="458">
        <f>landbouw!E8</f>
        <v>1.0470951436814899</v>
      </c>
      <c r="F7" s="458">
        <f>landbouw!F8</f>
        <v>286.69612849211245</v>
      </c>
      <c r="G7" s="458">
        <f>landbouw!G8</f>
        <v>0</v>
      </c>
      <c r="H7" s="458">
        <f>landbouw!H8</f>
        <v>0</v>
      </c>
      <c r="I7" s="458">
        <f>landbouw!I8</f>
        <v>0</v>
      </c>
      <c r="J7" s="458">
        <f>landbouw!J8</f>
        <v>12.496437140314818</v>
      </c>
      <c r="K7" s="458">
        <f>landbouw!K8</f>
        <v>0</v>
      </c>
      <c r="L7" s="458">
        <f>landbouw!L8</f>
        <v>0</v>
      </c>
      <c r="M7" s="458">
        <f>landbouw!M8</f>
        <v>0</v>
      </c>
      <c r="N7" s="458">
        <f>landbouw!N8</f>
        <v>0</v>
      </c>
      <c r="O7" s="458">
        <f>landbouw!O8</f>
        <v>0</v>
      </c>
      <c r="P7" s="459">
        <f>landbouw!P8</f>
        <v>0</v>
      </c>
      <c r="Q7" s="457">
        <f t="shared" si="0"/>
        <v>664.26457295343425</v>
      </c>
    </row>
    <row r="8" spans="1:17">
      <c r="A8" s="457" t="s">
        <v>655</v>
      </c>
      <c r="B8" s="458">
        <f>industrie!B18</f>
        <v>4191.3427791164977</v>
      </c>
      <c r="C8" s="458">
        <f>industrie!C18</f>
        <v>763.07142857142867</v>
      </c>
      <c r="D8" s="458">
        <f>industrie!D18</f>
        <v>3786.7221307829127</v>
      </c>
      <c r="E8" s="458">
        <f>industrie!E18</f>
        <v>618.88036711607288</v>
      </c>
      <c r="F8" s="458">
        <f>industrie!F18</f>
        <v>2778.7447695310047</v>
      </c>
      <c r="G8" s="458">
        <f>industrie!G18</f>
        <v>0</v>
      </c>
      <c r="H8" s="458">
        <f>industrie!H18</f>
        <v>0</v>
      </c>
      <c r="I8" s="458">
        <f>industrie!I18</f>
        <v>0</v>
      </c>
      <c r="J8" s="458">
        <f>industrie!J18</f>
        <v>1.0662480764073878</v>
      </c>
      <c r="K8" s="458">
        <f>industrie!K18</f>
        <v>0</v>
      </c>
      <c r="L8" s="458">
        <f>industrie!L18</f>
        <v>0</v>
      </c>
      <c r="M8" s="458">
        <f>industrie!M18</f>
        <v>0</v>
      </c>
      <c r="N8" s="458">
        <f>industrie!N18</f>
        <v>505.12993849451692</v>
      </c>
      <c r="O8" s="458">
        <f>industrie!O18</f>
        <v>0</v>
      </c>
      <c r="P8" s="459">
        <f>industrie!P18</f>
        <v>0</v>
      </c>
      <c r="Q8" s="457">
        <f t="shared" si="0"/>
        <v>12644.957661688843</v>
      </c>
    </row>
    <row r="9" spans="1:17" s="463" customFormat="1">
      <c r="A9" s="461" t="s">
        <v>573</v>
      </c>
      <c r="B9" s="462">
        <f>transport!B14</f>
        <v>8.470114490365944</v>
      </c>
      <c r="C9" s="462">
        <f>transport!C14</f>
        <v>0</v>
      </c>
      <c r="D9" s="462">
        <f>transport!D14</f>
        <v>14.841005799134182</v>
      </c>
      <c r="E9" s="462">
        <f>transport!E14</f>
        <v>535.90565496712395</v>
      </c>
      <c r="F9" s="462">
        <f>transport!F14</f>
        <v>0</v>
      </c>
      <c r="G9" s="462">
        <f>transport!G14</f>
        <v>139794.30047852389</v>
      </c>
      <c r="H9" s="462">
        <f>transport!H14</f>
        <v>27078.092276147669</v>
      </c>
      <c r="I9" s="462">
        <f>transport!I14</f>
        <v>0</v>
      </c>
      <c r="J9" s="462">
        <f>transport!J14</f>
        <v>0</v>
      </c>
      <c r="K9" s="462">
        <f>transport!K14</f>
        <v>0</v>
      </c>
      <c r="L9" s="462">
        <f>transport!L14</f>
        <v>0</v>
      </c>
      <c r="M9" s="462">
        <f>transport!M14</f>
        <v>7546.2085851037855</v>
      </c>
      <c r="N9" s="462">
        <f>transport!N14</f>
        <v>0</v>
      </c>
      <c r="O9" s="462">
        <f>transport!O14</f>
        <v>0</v>
      </c>
      <c r="P9" s="462">
        <f>transport!P14</f>
        <v>0</v>
      </c>
      <c r="Q9" s="461">
        <f>SUM(B9:P9)</f>
        <v>174977.81811503199</v>
      </c>
    </row>
    <row r="10" spans="1:17">
      <c r="A10" s="457" t="s">
        <v>563</v>
      </c>
      <c r="B10" s="458">
        <f>transport!B54</f>
        <v>0</v>
      </c>
      <c r="C10" s="458">
        <f>transport!C54</f>
        <v>0</v>
      </c>
      <c r="D10" s="458">
        <f>transport!D54</f>
        <v>0</v>
      </c>
      <c r="E10" s="458">
        <f>transport!E54</f>
        <v>0</v>
      </c>
      <c r="F10" s="458">
        <f>transport!F54</f>
        <v>0</v>
      </c>
      <c r="G10" s="458">
        <f>transport!G54</f>
        <v>3735.0297721457523</v>
      </c>
      <c r="H10" s="458">
        <f>transport!H54</f>
        <v>0</v>
      </c>
      <c r="I10" s="458">
        <f>transport!I54</f>
        <v>0</v>
      </c>
      <c r="J10" s="458">
        <f>transport!J54</f>
        <v>0</v>
      </c>
      <c r="K10" s="458">
        <f>transport!K54</f>
        <v>0</v>
      </c>
      <c r="L10" s="458">
        <f>transport!L54</f>
        <v>0</v>
      </c>
      <c r="M10" s="458">
        <f>transport!M54</f>
        <v>166.24926511914501</v>
      </c>
      <c r="N10" s="458">
        <f>transport!N54</f>
        <v>0</v>
      </c>
      <c r="O10" s="458">
        <f>transport!O54</f>
        <v>0</v>
      </c>
      <c r="P10" s="459">
        <f>transport!P54</f>
        <v>0</v>
      </c>
      <c r="Q10" s="457">
        <f t="shared" si="0"/>
        <v>3901.2790372648974</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5222.6507371442895</v>
      </c>
      <c r="C14" s="465"/>
      <c r="D14" s="465">
        <f>'SEAP template'!E25</f>
        <v>13462.4564022375</v>
      </c>
      <c r="E14" s="465"/>
      <c r="F14" s="465"/>
      <c r="G14" s="465"/>
      <c r="H14" s="465"/>
      <c r="I14" s="465"/>
      <c r="J14" s="465"/>
      <c r="K14" s="465"/>
      <c r="L14" s="465"/>
      <c r="M14" s="465"/>
      <c r="N14" s="465"/>
      <c r="O14" s="465"/>
      <c r="P14" s="466"/>
      <c r="Q14" s="457">
        <f t="shared" si="0"/>
        <v>18685.107139381791</v>
      </c>
    </row>
    <row r="15" spans="1:17" s="470" customFormat="1">
      <c r="A15" s="467" t="s">
        <v>567</v>
      </c>
      <c r="B15" s="468">
        <f ca="1">SUM(B4:B14)</f>
        <v>136739.46386617344</v>
      </c>
      <c r="C15" s="468">
        <f t="shared" ref="C15:Q15" ca="1" si="1">SUM(C4:C14)</f>
        <v>1663.0714285714289</v>
      </c>
      <c r="D15" s="468">
        <f t="shared" ca="1" si="1"/>
        <v>386508.52670363954</v>
      </c>
      <c r="E15" s="468">
        <f t="shared" si="1"/>
        <v>3525.5435786655453</v>
      </c>
      <c r="F15" s="468">
        <f t="shared" ca="1" si="1"/>
        <v>13201.137311870225</v>
      </c>
      <c r="G15" s="468">
        <f t="shared" si="1"/>
        <v>143529.33025066965</v>
      </c>
      <c r="H15" s="468">
        <f t="shared" si="1"/>
        <v>27078.092276147669</v>
      </c>
      <c r="I15" s="468">
        <f t="shared" si="1"/>
        <v>0</v>
      </c>
      <c r="J15" s="468">
        <f t="shared" si="1"/>
        <v>13.562685216722205</v>
      </c>
      <c r="K15" s="468">
        <f t="shared" si="1"/>
        <v>0</v>
      </c>
      <c r="L15" s="468">
        <f t="shared" ca="1" si="1"/>
        <v>0</v>
      </c>
      <c r="M15" s="468">
        <f t="shared" si="1"/>
        <v>7712.4578502229306</v>
      </c>
      <c r="N15" s="468">
        <f t="shared" ca="1" si="1"/>
        <v>26268.734627811104</v>
      </c>
      <c r="O15" s="468">
        <f t="shared" si="1"/>
        <v>170.40333333333334</v>
      </c>
      <c r="P15" s="468">
        <f t="shared" si="1"/>
        <v>572</v>
      </c>
      <c r="Q15" s="468">
        <f t="shared" ca="1" si="1"/>
        <v>746982.32391232159</v>
      </c>
    </row>
    <row r="17" spans="1:17">
      <c r="A17" s="471" t="s">
        <v>568</v>
      </c>
      <c r="B17" s="777">
        <f ca="1">huishoudens!B10</f>
        <v>0.21463272487651475</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15857.475310707996</v>
      </c>
      <c r="C22" s="458">
        <f t="shared" ref="C22:C32" ca="1" si="3">C4*$C$17</f>
        <v>0</v>
      </c>
      <c r="D22" s="458">
        <f t="shared" ref="D22:D32" si="4">D4*$D$17</f>
        <v>55917.798548309314</v>
      </c>
      <c r="E22" s="458">
        <f t="shared" ref="E22:E32" si="5">E4*$E$17</f>
        <v>408.4758246842249</v>
      </c>
      <c r="F22" s="458">
        <f t="shared" ref="F22:F32" si="6">F4*$F$17</f>
        <v>0</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72183.749683701535</v>
      </c>
    </row>
    <row r="23" spans="1:17">
      <c r="A23" s="457" t="s">
        <v>155</v>
      </c>
      <c r="B23" s="458">
        <f t="shared" ca="1" si="2"/>
        <v>11038.906938322074</v>
      </c>
      <c r="C23" s="458">
        <f t="shared" ca="1" si="3"/>
        <v>213.88235294117655</v>
      </c>
      <c r="D23" s="458">
        <f t="shared" ca="1" si="4"/>
        <v>18612.843913985325</v>
      </c>
      <c r="E23" s="458">
        <f t="shared" si="5"/>
        <v>129.44845006235261</v>
      </c>
      <c r="F23" s="458">
        <f t="shared" ca="1" si="6"/>
        <v>2706.2309424971777</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32701.312597808104</v>
      </c>
    </row>
    <row r="24" spans="1:17">
      <c r="A24" s="457" t="s">
        <v>193</v>
      </c>
      <c r="B24" s="458">
        <f t="shared" ca="1" si="2"/>
        <v>412.17767999471062</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412.17767999471062</v>
      </c>
    </row>
    <row r="25" spans="1:17">
      <c r="A25" s="457" t="s">
        <v>111</v>
      </c>
      <c r="B25" s="458">
        <f t="shared" ca="1" si="2"/>
        <v>17.834754607772147</v>
      </c>
      <c r="C25" s="458">
        <f t="shared" ca="1" si="3"/>
        <v>0</v>
      </c>
      <c r="D25" s="458">
        <f t="shared" si="4"/>
        <v>56.747984999003961</v>
      </c>
      <c r="E25" s="458">
        <f t="shared" si="5"/>
        <v>0.23769059761569822</v>
      </c>
      <c r="F25" s="458">
        <f t="shared" si="6"/>
        <v>76.547866307394031</v>
      </c>
      <c r="G25" s="458">
        <f t="shared" si="7"/>
        <v>0</v>
      </c>
      <c r="H25" s="458">
        <f t="shared" si="8"/>
        <v>0</v>
      </c>
      <c r="I25" s="458">
        <f t="shared" si="9"/>
        <v>0</v>
      </c>
      <c r="J25" s="458">
        <f t="shared" si="10"/>
        <v>4.4237387476714449</v>
      </c>
      <c r="K25" s="458">
        <f t="shared" si="11"/>
        <v>0</v>
      </c>
      <c r="L25" s="458">
        <f t="shared" si="12"/>
        <v>0</v>
      </c>
      <c r="M25" s="458">
        <f t="shared" si="13"/>
        <v>0</v>
      </c>
      <c r="N25" s="458">
        <f t="shared" si="14"/>
        <v>0</v>
      </c>
      <c r="O25" s="458">
        <f t="shared" si="15"/>
        <v>0</v>
      </c>
      <c r="P25" s="459">
        <f t="shared" si="16"/>
        <v>0</v>
      </c>
      <c r="Q25" s="457">
        <f t="shared" ca="1" si="17"/>
        <v>155.79203525945729</v>
      </c>
    </row>
    <row r="26" spans="1:17">
      <c r="A26" s="457" t="s">
        <v>655</v>
      </c>
      <c r="B26" s="458">
        <f t="shared" ca="1" si="2"/>
        <v>899.59932157327796</v>
      </c>
      <c r="C26" s="458">
        <f t="shared" ca="1" si="3"/>
        <v>181.34168067226895</v>
      </c>
      <c r="D26" s="458">
        <f t="shared" si="4"/>
        <v>764.91787041814837</v>
      </c>
      <c r="E26" s="458">
        <f t="shared" si="5"/>
        <v>140.48584333534853</v>
      </c>
      <c r="F26" s="458">
        <f t="shared" si="6"/>
        <v>741.92485346477827</v>
      </c>
      <c r="G26" s="458">
        <f t="shared" si="7"/>
        <v>0</v>
      </c>
      <c r="H26" s="458">
        <f t="shared" si="8"/>
        <v>0</v>
      </c>
      <c r="I26" s="458">
        <f t="shared" si="9"/>
        <v>0</v>
      </c>
      <c r="J26" s="458">
        <f t="shared" si="10"/>
        <v>0.37745181904821529</v>
      </c>
      <c r="K26" s="458">
        <f t="shared" si="11"/>
        <v>0</v>
      </c>
      <c r="L26" s="458">
        <f t="shared" si="12"/>
        <v>0</v>
      </c>
      <c r="M26" s="458">
        <f t="shared" si="13"/>
        <v>0</v>
      </c>
      <c r="N26" s="458">
        <f t="shared" si="14"/>
        <v>0</v>
      </c>
      <c r="O26" s="458">
        <f t="shared" si="15"/>
        <v>0</v>
      </c>
      <c r="P26" s="459">
        <f t="shared" si="16"/>
        <v>0</v>
      </c>
      <c r="Q26" s="457">
        <f t="shared" ca="1" si="17"/>
        <v>2728.6470212828704</v>
      </c>
    </row>
    <row r="27" spans="1:17" s="463" customFormat="1">
      <c r="A27" s="461" t="s">
        <v>573</v>
      </c>
      <c r="B27" s="771">
        <f t="shared" ca="1" si="2"/>
        <v>1.8179637530832946</v>
      </c>
      <c r="C27" s="462">
        <f t="shared" ca="1" si="3"/>
        <v>0</v>
      </c>
      <c r="D27" s="462">
        <f t="shared" si="4"/>
        <v>2.9978831714251051</v>
      </c>
      <c r="E27" s="462">
        <f t="shared" si="5"/>
        <v>121.65058367753714</v>
      </c>
      <c r="F27" s="462">
        <f t="shared" si="6"/>
        <v>0</v>
      </c>
      <c r="G27" s="462">
        <f t="shared" si="7"/>
        <v>37325.07822776588</v>
      </c>
      <c r="H27" s="462">
        <f t="shared" si="8"/>
        <v>6742.4449767607694</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44193.989635128688</v>
      </c>
    </row>
    <row r="28" spans="1:17">
      <c r="A28" s="457" t="s">
        <v>563</v>
      </c>
      <c r="B28" s="458">
        <f t="shared" ca="1" si="2"/>
        <v>0</v>
      </c>
      <c r="C28" s="458">
        <f t="shared" ca="1" si="3"/>
        <v>0</v>
      </c>
      <c r="D28" s="458">
        <f t="shared" si="4"/>
        <v>0</v>
      </c>
      <c r="E28" s="458">
        <f t="shared" si="5"/>
        <v>0</v>
      </c>
      <c r="F28" s="458">
        <f t="shared" si="6"/>
        <v>0</v>
      </c>
      <c r="G28" s="458">
        <f t="shared" si="7"/>
        <v>997.25294916291591</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997.25294916291591</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1120.9517587916173</v>
      </c>
      <c r="C32" s="458">
        <f t="shared" ca="1" si="3"/>
        <v>0</v>
      </c>
      <c r="D32" s="458">
        <f t="shared" si="4"/>
        <v>2719.4161932519751</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3840.3679520435926</v>
      </c>
    </row>
    <row r="33" spans="1:17" s="470" customFormat="1">
      <c r="A33" s="467" t="s">
        <v>567</v>
      </c>
      <c r="B33" s="468">
        <f ca="1">SUM(B22:B32)</f>
        <v>29348.763727750531</v>
      </c>
      <c r="C33" s="468">
        <f t="shared" ref="C33:Q33" ca="1" si="18">SUM(C22:C32)</f>
        <v>395.2240336134455</v>
      </c>
      <c r="D33" s="468">
        <f t="shared" ca="1" si="18"/>
        <v>78074.722394135199</v>
      </c>
      <c r="E33" s="468">
        <f t="shared" si="18"/>
        <v>800.29839235707902</v>
      </c>
      <c r="F33" s="468">
        <f t="shared" ca="1" si="18"/>
        <v>3524.7036622693499</v>
      </c>
      <c r="G33" s="468">
        <f t="shared" si="18"/>
        <v>38322.331176928798</v>
      </c>
      <c r="H33" s="468">
        <f t="shared" si="18"/>
        <v>6742.4449767607694</v>
      </c>
      <c r="I33" s="468">
        <f t="shared" si="18"/>
        <v>0</v>
      </c>
      <c r="J33" s="468">
        <f t="shared" si="18"/>
        <v>4.8011905667196606</v>
      </c>
      <c r="K33" s="468">
        <f t="shared" si="18"/>
        <v>0</v>
      </c>
      <c r="L33" s="468">
        <f t="shared" ca="1" si="18"/>
        <v>0</v>
      </c>
      <c r="M33" s="468">
        <f t="shared" si="18"/>
        <v>0</v>
      </c>
      <c r="N33" s="468">
        <f t="shared" ca="1" si="18"/>
        <v>0</v>
      </c>
      <c r="O33" s="468">
        <f t="shared" si="18"/>
        <v>0</v>
      </c>
      <c r="P33" s="468">
        <f t="shared" si="18"/>
        <v>0</v>
      </c>
      <c r="Q33" s="468">
        <f t="shared" ca="1" si="18"/>
        <v>157213.28955438186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4027.3188244489102</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1164.1500000000001</v>
      </c>
      <c r="D8" s="1034">
        <f>'SEAP template'!D76</f>
        <v>1369.5882352941178</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276.65682352941184</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4027.3188244489102</v>
      </c>
      <c r="C10" s="1038">
        <f>SUM(C4:C9)</f>
        <v>1164.1500000000001</v>
      </c>
      <c r="D10" s="1038">
        <f t="shared" ref="D10:H10" si="0">SUM(D8:D9)</f>
        <v>1369.5882352941178</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276.65682352941184</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0.21463272487651475</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1663.0714285714289</v>
      </c>
      <c r="D17" s="1035">
        <f>'SEAP template'!D87</f>
        <v>1956.55462184874</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395.2240336134455</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1663.0714285714289</v>
      </c>
      <c r="D20" s="1038">
        <f t="shared" ref="D20:H20" si="2">SUM(D17:D19)</f>
        <v>1956.55462184874</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395.2240336134455</v>
      </c>
    </row>
    <row r="22" spans="1:16">
      <c r="A22" s="471" t="s">
        <v>879</v>
      </c>
      <c r="B22" s="777" t="s">
        <v>873</v>
      </c>
      <c r="C22" s="77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0.21463272487651475</v>
      </c>
      <c r="C17" s="508">
        <f ca="1">'EF ele_warmte'!B22</f>
        <v>0.23764705882352943</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2020-06-20T16:13:16Z</dcterms:modified>
</cp:coreProperties>
</file>