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V44" i="18"/>
  <c r="J9" i="18" s="1"/>
  <c r="U44" i="18"/>
  <c r="T44" i="18"/>
  <c r="I9" i="18" s="1"/>
  <c r="S44" i="18"/>
  <c r="E9" i="18" s="1"/>
  <c r="R44" i="18"/>
  <c r="Q44" i="18"/>
  <c r="P44" i="18"/>
  <c r="C9" i="18" s="1"/>
  <c r="O44" i="18"/>
  <c r="N44" i="18"/>
  <c r="B9" i="18" s="1"/>
  <c r="M44"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3" i="18" s="1"/>
  <c r="N36" i="18"/>
  <c r="C53" i="18" s="1"/>
  <c r="M36" i="18"/>
  <c r="G22" i="18"/>
  <c r="F22" i="18"/>
  <c r="E22" i="18"/>
  <c r="D22" i="18"/>
  <c r="C22" i="18"/>
  <c r="L20" i="18"/>
  <c r="D20" i="18"/>
  <c r="B17" i="18"/>
  <c r="G12" i="18"/>
  <c r="F12" i="18"/>
  <c r="E12" i="18"/>
  <c r="D12" i="18"/>
  <c r="C12" i="18"/>
  <c r="L10" i="18"/>
  <c r="K10" i="18"/>
  <c r="G10" i="18"/>
  <c r="D10" i="18"/>
  <c r="B8" i="18"/>
  <c r="B6" i="18"/>
  <c r="B5" i="18"/>
  <c r="B4" i="18"/>
  <c r="I57" i="18" l="1"/>
  <c r="H17" i="18" s="1"/>
  <c r="G57" i="18"/>
  <c r="F57" i="18"/>
  <c r="C57" i="18"/>
  <c r="B57" i="18"/>
  <c r="C17" i="18" s="1"/>
  <c r="C20" i="18" s="1"/>
  <c r="I56" i="18"/>
  <c r="H8" i="18" s="1"/>
  <c r="H10" i="18" s="1"/>
  <c r="G56" i="18"/>
  <c r="F56" i="18"/>
  <c r="D56" i="18"/>
  <c r="C56" i="18"/>
  <c r="B56" i="18"/>
  <c r="C8" i="18" s="1"/>
  <c r="C10" i="18" s="1"/>
  <c r="H56" i="18"/>
  <c r="J8" i="18" s="1"/>
  <c r="J10" i="18" s="1"/>
  <c r="B20" i="18"/>
  <c r="F20" i="18"/>
  <c r="O18" i="18"/>
  <c r="H20" i="18"/>
  <c r="G20" i="18"/>
  <c r="K20" i="18"/>
  <c r="B10" i="18"/>
  <c r="O19" i="18"/>
  <c r="O9" i="18"/>
  <c r="D57" i="18"/>
  <c r="H57" i="18"/>
  <c r="E56" i="18"/>
  <c r="E8" i="18" s="1"/>
  <c r="E10" i="18" s="1"/>
  <c r="E57"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C24" i="14"/>
  <c r="C26" i="14" s="1"/>
  <c r="B7" i="48"/>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F63" i="14" s="1"/>
  <c r="N63" i="14"/>
  <c r="E22" i="16"/>
  <c r="F43" i="14" s="1"/>
  <c r="F46" i="14" s="1"/>
  <c r="F61" i="14" s="1"/>
  <c r="Q5" i="48"/>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<sst xmlns="http://schemas.openxmlformats.org/spreadsheetml/2006/main" count="2537" uniqueCount="958">
  <si>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</si>
  <si>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</si>
  <si>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</si>
  <si>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</si>
  <si>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</si>
  <si>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</si>
  <si>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</si>
  <si>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</si>
  <si>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</si>
  <si>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</si>
  <si>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</si>
  <si>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</si>
  <si>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</si>
  <si>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</si>
  <si>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</si>
  <si>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</si>
  <si>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</si>
  <si>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</si>
  <si>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</si>
  <si>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</si>
  <si>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</si>
  <si>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</si>
  <si>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</si>
  <si>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</si>
  <si>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</si>
  <si>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</si>
  <si>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</si>
  <si>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</si>
  <si>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</si>
  <si>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</si>
  <si>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</si>
  <si>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</si>
  <si>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</si>
  <si>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</si>
  <si>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</si>
  <si>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</si>
  <si>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</si>
  <si>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</si>
  <si>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</si>
  <si>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</si>
  <si>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</si>
  <si>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</si>
  <si>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</si>
  <si>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</si>
  <si>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</si>
  <si>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</si>
  <si>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</si>
  <si>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</si>
  <si>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</si>
  <si>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</si>
  <si>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</si>
  <si>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</si>
  <si>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</si>
  <si>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</si>
  <si>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</si>
  <si>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</si>
  <si>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</si>
  <si>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</si>
  <si>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</si>
  <si>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</si>
  <si>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</si>
  <si>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</si>
  <si>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</si>
  <si>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</si>
  <si>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</si>
  <si>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</si>
  <si>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</si>
  <si>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</si>
  <si>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</si>
  <si>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</si>
  <si>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</si>
  <si>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</si>
  <si>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</si>
  <si>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</si>
  <si>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</si>
  <si>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</si>
  <si>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</si>
  <si>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</si>
  <si>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</si>
  <si>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</si>
  <si>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</si>
  <si>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</si>
  <si>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</si>
  <si>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</si>
  <si>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</si>
  <si>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</si>
  <si>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</si>
  <si>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</si>
  <si>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</si>
  <si>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</si>
  <si>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</si>
  <si>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</si>
  <si>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</si>
  <si>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</si>
  <si>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</si>
  <si>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</si>
  <si>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</si>
  <si>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</si>
  <si>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</si>
  <si>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</si>
  <si>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</si>
  <si>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</si>
  <si>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</si>
  <si>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</si>
  <si>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</si>
  <si>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</si>
  <si>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</si>
  <si>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</si>
  <si>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</si>
  <si>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</si>
  <si>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</si>
  <si>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</si>
  <si>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</si>
  <si>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</si>
  <si>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</si>
  <si>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</si>
  <si>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</si>
  <si>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</si>
  <si>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</si>
  <si>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</si>
  <si>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</si>
  <si>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</si>
  <si>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</si>
  <si>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</si>
  <si>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</si>
  <si>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</si>
  <si>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</si>
  <si>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</si>
  <si>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</si>
  <si>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</si>
  <si>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</si>
  <si>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</si>
  <si>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</si>
  <si>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</si>
  <si>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</si>
  <si>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</si>
  <si>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</si>
  <si>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</si>
  <si>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</si>
  <si>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</si>
  <si>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</si>
  <si>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</si>
  <si>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</si>
  <si>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</si>
  <si>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</si>
  <si>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</si>
  <si>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</si>
  <si>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</si>
  <si>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</si>
  <si>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</si>
  <si>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</si>
  <si>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</si>
  <si>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</si>
  <si>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</si>
  <si>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</si>
  <si>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</si>
  <si>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</si>
  <si>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</si>
  <si>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</si>
  <si>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</si>
  <si>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</si>
  <si>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</si>
  <si>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</si>
  <si>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</si>
  <si>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</si>
  <si>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</si>
  <si>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</si>
  <si>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</si>
  <si>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</si>
  <si>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</si>
  <si>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</si>
  <si>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</si>
  <si>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</si>
  <si>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</si>
  <si>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</si>
  <si>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</si>
  <si>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</si>
  <si>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</si>
  <si>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</si>
  <si>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</si>
  <si>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</si>
  <si>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</si>
  <si>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</si>
  <si>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</si>
  <si>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</si>
  <si>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</si>
  <si>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</si>
  <si>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</si>
  <si>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</si>
  <si>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</si>
  <si>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</si>
  <si>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</si>
  <si>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</si>
  <si>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</si>
  <si>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</si>
  <si>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</si>
  <si>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</si>
  <si>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</si>
  <si>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</si>
  <si>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</si>
  <si>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</si>
  <si>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</si>
  <si>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</si>
  <si>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</si>
  <si>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</si>
  <si>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</si>
  <si>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</si>
  <si>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</si>
  <si>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</si>
  <si>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</si>
  <si>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</si>
  <si>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</si>
  <si>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</si>
  <si>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</si>
  <si>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</si>
  <si>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</si>
  <si>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</si>
  <si>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</si>
  <si>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</si>
  <si>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</si>
  <si>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</si>
  <si>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</si>
  <si>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</si>
  <si>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</si>
  <si>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</si>
  <si>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</si>
  <si>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</si>
  <si>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</si>
  <si>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</si>
  <si>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</si>
  <si>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</si>
  <si>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</si>
  <si>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</si>
  <si>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</si>
  <si>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</si>
  <si>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</si>
  <si>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</si>
  <si>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</si>
  <si>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</si>
  <si>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</si>
  <si>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</si>
  <si>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</si>
  <si>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</si>
  <si>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</si>
  <si>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</si>
  <si>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</si>
  <si>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</si>
  <si>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</si>
  <si>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</si>
  <si>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</si>
  <si>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</si>
  <si>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</si>
  <si>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</si>
  <si>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</si>
  <si>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</si>
  <si>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</si>
  <si>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</si>
  <si>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</si>
  <si>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</si>
  <si>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</si>
  <si>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</si>
  <si>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</si>
  <si>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</si>
  <si>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</si>
  <si>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</si>
  <si>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</si>
  <si>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</si>
  <si>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</si>
  <si>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</si>
  <si>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</si>
  <si>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</si>
  <si>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</si>
  <si>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</si>
  <si>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</si>
  <si>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</si>
  <si>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</si>
  <si>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</si>
  <si>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</si>
  <si>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</si>
  <si>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</si>
  <si>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</si>
  <si>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</si>
  <si>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</si>
  <si>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</si>
  <si>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</si>
  <si>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</si>
  <si>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</si>
  <si>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</si>
  <si>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</si>
  <si>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</si>
  <si>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</si>
  <si>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</si>
  <si>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</si>
  <si>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</si>
  <si>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</si>
  <si>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</si>
  <si>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</si>
  <si>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</si>
  <si>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</si>
  <si>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</si>
  <si>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</si>
  <si>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</si>
  <si>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</si>
  <si>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</si>
  <si>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</si>
  <si>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</si>
  <si>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</si>
  <si>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</si>
  <si>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</si>
  <si>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</si>
  <si>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</si>
  <si>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</si>
  <si>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</si>
  <si>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</si>
  <si>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</si>
  <si>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</si>
  <si>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</si>
  <si>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</si>
  <si>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</si>
  <si>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</si>
  <si>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</si>
  <si>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</si>
  <si>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</si>
  <si>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</si>
  <si>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</si>
  <si>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</si>
  <si>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</si>
  <si>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</si>
  <si>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</si>
  <si>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</si>
  <si>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</si>
  <si>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</si>
  <si>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</si>
  <si>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</si>
  <si>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</si>
  <si>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</si>
  <si>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</si>
  <si>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</si>
  <si>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</si>
  <si>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</si>
  <si>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</si>
  <si>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</si>
  <si>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</si>
  <si>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</si>
  <si>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</si>
  <si>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</si>
  <si>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</si>
  <si>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</si>
  <si>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</si>
  <si>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</si>
  <si>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</si>
  <si>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</si>
  <si>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</si>
  <si>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</si>
  <si>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</si>
  <si>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</si>
  <si>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</si>
  <si>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</si>
  <si>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</si>
  <si>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</si>
  <si>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</si>
  <si>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</si>
  <si>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</si>
  <si>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</si>
  <si>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</si>
  <si>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</si>
  <si>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</si>
  <si>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</si>
  <si>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</si>
  <si>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</si>
  <si>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</si>
  <si>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</si>
  <si>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</si>
  <si>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</si>
  <si>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</si>
  <si>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</si>
  <si>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</si>
  <si>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</si>
  <si>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</si>
  <si>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</si>
  <si>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</si>
  <si>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</si>
  <si>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</si>
  <si>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</si>
  <si>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</si>
  <si>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</si>
  <si>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</si>
  <si>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</si>
  <si>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</si>
  <si>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</si>
  <si>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</si>
  <si>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</si>
  <si>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</si>
  <si>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</si>
  <si>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</si>
  <si>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</si>
  <si>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</si>
  <si>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</si>
  <si>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</si>
  <si>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</si>
  <si>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</si>
  <si>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</si>
  <si>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</si>
  <si>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</si>
  <si>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</si>
  <si>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</si>
  <si>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</si>
  <si>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</si>
  <si>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</si>
  <si>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</si>
  <si>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</si>
  <si>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</si>
  <si>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</si>
  <si>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</si>
  <si>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</si>
  <si>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</si>
  <si>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</si>
  <si>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</si>
  <si>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</si>
  <si>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</si>
  <si>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</si>
  <si>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</si>
  <si>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</si>
  <si>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</si>
  <si>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</si>
  <si>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</si>
  <si>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</si>
  <si>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</si>
  <si>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</si>
  <si>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</si>
  <si>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</si>
  <si>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</si>
  <si>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</si>
  <si>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</si>
  <si>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</si>
  <si>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</si>
  <si>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</si>
  <si>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</si>
  <si>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</si>
  <si>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</si>
  <si>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</si>
  <si>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</si>
  <si>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</si>
  <si>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</si>
  <si>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</si>
  <si>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</si>
  <si>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</si>
  <si>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</si>
  <si>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</si>
  <si>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</si>
  <si>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</si>
  <si>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</si>
  <si>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</si>
  <si>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</si>
  <si>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</si>
  <si>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</si>
  <si>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</si>
  <si>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</si>
  <si>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</si>
  <si>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</si>
  <si>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</si>
  <si>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</si>
  <si>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</si>
  <si>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</si>
  <si>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</si>
  <si>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</si>
  <si>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</si>
  <si>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</si>
  <si>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</si>
  <si>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</si>
  <si>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</si>
  <si>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</si>
  <si>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</si>
  <si>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</si>
  <si>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</si>
  <si>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</si>
  <si>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</si>
  <si>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</si>
  <si>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</si>
  <si>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</si>
  <si>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</si>
  <si>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</si>
  <si>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</si>
  <si>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</si>
  <si>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</si>
  <si>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</si>
  <si>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</si>
  <si>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</si>
  <si>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</si>
  <si>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</si>
  <si>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</si>
  <si>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</si>
  <si>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</si>
  <si>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</si>
  <si>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</si>
  <si>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</si>
  <si>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</si>
  <si>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</si>
  <si>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</si>
  <si>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</si>
  <si>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</si>
  <si>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</si>
  <si>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</si>
  <si>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</si>
  <si>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</si>
  <si>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</si>
  <si>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</si>
  <si>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</si>
  <si>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</si>
  <si>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</si>
  <si>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</si>
  <si>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</si>
  <si>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</si>
  <si>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</si>
  <si>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</si>
  <si>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</si>
  <si>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</si>
  <si>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</si>
  <si>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</si>
  <si>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</si>
  <si>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</si>
  <si>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</si>
  <si>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</si>
  <si>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</si>
  <si>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</si>
  <si>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</si>
  <si>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</si>
  <si>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</si>
  <si>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</si>
  <si>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</si>
  <si>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</si>
  <si>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</si>
  <si>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</si>
  <si>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</si>
  <si>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</si>
  <si>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</si>
  <si>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</si>
  <si>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</si>
  <si>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</si>
  <si>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</si>
  <si>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</si>
  <si>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</si>
  <si>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</si>
  <si>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</si>
  <si>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</si>
  <si>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</si>
  <si>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</si>
  <si>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</si>
  <si>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</si>
  <si>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</si>
  <si>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</si>
  <si>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</si>
  <si>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</si>
  <si>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</si>
  <si>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</si>
  <si>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</si>
  <si>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</si>
  <si>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</si>
  <si>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</si>
  <si>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</si>
  <si>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</si>
  <si>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</si>
  <si>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</si>
  <si>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</si>
  <si>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</si>
  <si>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</si>
  <si>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</si>
  <si>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</si>
  <si>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</si>
  <si>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</si>
  <si>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</si>
  <si>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</si>
  <si>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</si>
  <si>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</si>
  <si>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</si>
  <si>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</si>
  <si>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</si>
  <si>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</si>
  <si>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</si>
  <si>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</si>
  <si>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</si>
  <si>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</si>
  <si>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</si>
  <si>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</si>
  <si>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</si>
  <si>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</si>
  <si>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</si>
  <si>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</si>
  <si>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</si>
  <si>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</si>
  <si>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</si>
  <si>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</si>
  <si>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</si>
  <si>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</si>
  <si>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</si>
  <si>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</si>
  <si>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</si>
  <si>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</si>
  <si>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</si>
  <si>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</si>
  <si>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</si>
  <si>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</si>
  <si>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</si>
  <si>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</si>
  <si>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</si>
  <si>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</si>
  <si>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</si>
  <si>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</si>
  <si>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</si>
  <si>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</si>
  <si>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</si>
  <si>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</si>
  <si>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</si>
  <si>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</si>
  <si>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</si>
  <si>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</si>
  <si>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</si>
  <si>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</si>
  <si>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</si>
  <si>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</si>
  <si>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</si>
  <si>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</si>
  <si>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</si>
  <si>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</si>
  <si>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</si>
  <si>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</si>
  <si>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</si>
  <si>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</si>
  <si>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</si>
  <si>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</si>
  <si>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</si>
  <si>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</si>
  <si>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</si>
  <si>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</si>
  <si>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</si>
  <si>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</si>
  <si>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</si>
  <si>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</si>
  <si>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</si>
  <si>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</si>
  <si>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</si>
  <si>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</si>
  <si>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</si>
  <si>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</si>
  <si>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</si>
  <si>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</si>
  <si>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</si>
  <si>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</si>
  <si>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</si>
  <si>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</si>
  <si>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</si>
  <si>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</si>
  <si>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</si>
  <si>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</si>
  <si>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</si>
  <si>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</si>
  <si>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</si>
  <si>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</si>
  <si>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</si>
  <si>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</si>
  <si>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</si>
  <si>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</si>
  <si>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</si>
  <si>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</si>
  <si>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</si>
  <si>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</si>
  <si>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</si>
  <si>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</si>
  <si>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</si>
  <si>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</si>
  <si>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</si>
  <si>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</si>
  <si>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</si>
  <si>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</si>
  <si>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</si>
  <si>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</si>
  <si>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</si>
  <si>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</si>
  <si>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</si>
  <si>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</si>
  <si>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</si>
  <si>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</si>
  <si>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</si>
  <si>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</si>
  <si>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</si>
  <si>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</si>
  <si>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</si>
  <si>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</si>
  <si>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</si>
  <si>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</si>
  <si>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</si>
  <si>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</si>
  <si>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</si>
  <si>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</si>
  <si>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</si>
  <si>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</si>
  <si>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</si>
  <si>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</si>
  <si>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</si>
  <si>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</si>
  <si>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</si>
  <si>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</si>
  <si>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</si>
  <si>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</si>
  <si>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</si>
  <si>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</si>
  <si>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</si>
  <si>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</si>
  <si>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</si>
  <si>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</si>
  <si>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</si>
  <si>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</si>
  <si>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</si>
  <si>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</si>
  <si>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</si>
  <si>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</si>
  <si>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</si>
  <si>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</si>
  <si>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</si>
  <si>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</si>
  <si>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</si>
  <si>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</si>
  <si>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</si>
  <si>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</si>
  <si>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</si>
  <si>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</si>
  <si>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</si>
  <si>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</si>
  <si>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</si>
  <si>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</si>
  <si>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</si>
  <si>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</si>
  <si>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</si>
  <si>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</si>
  <si>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</si>
  <si>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</si>
  <si>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</si>
  <si>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</si>
  <si>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</si>
  <si>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</si>
  <si>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</si>
  <si>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</si>
  <si>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</si>
  <si>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</si>
  <si>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</si>
  <si>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</si>
  <si>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</si>
  <si>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</si>
  <si>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</si>
  <si>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</si>
  <si>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</si>
  <si>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</si>
  <si>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</si>
  <si>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</si>
  <si>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</si>
  <si>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</si>
  <si>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</si>
  <si>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</si>
  <si>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</si>
  <si>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</si>
  <si>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</si>
  <si>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</si>
  <si>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</si>
  <si>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</si>
  <si>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</si>
  <si>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</si>
  <si>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</si>
  <si>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</si>
  <si>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</si>
  <si>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</si>
  <si>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</si>
  <si>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</si>
  <si>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</si>
  <si>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</si>
  <si>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</si>
  <si>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</si>
  <si>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</si>
  <si>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</si>
  <si>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</si>
  <si>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</si>
  <si>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</si>
  <si>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</si>
  <si>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</si>
  <si>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</si>
  <si>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</si>
  <si>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</si>
  <si>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</si>
  <si>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</si>
  <si>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</si>
  <si>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</si>
  <si>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</si>
  <si>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</si>
  <si>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</si>
  <si>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</si>
  <si>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</si>
  <si>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</si>
  <si>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</si>
  <si>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</si>
  <si>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</si>
  <si>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</si>
  <si>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</si>
  <si>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</si>
  <si>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</si>
  <si>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</si>
  <si>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</si>
  <si>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</si>
  <si>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</si>
  <si>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</si>
  <si>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</si>
  <si>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</si>
  <si>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</si>
  <si>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</si>
  <si>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</si>
  <si>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</si>
  <si>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</si>
  <si>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</si>
  <si>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</si>
  <si>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</si>
  <si>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</si>
  <si>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</si>
  <si>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</si>
  <si>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</si>
  <si>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</si>
  <si>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</si>
  <si>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</si>
  <si>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</si>
  <si>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</si>
  <si>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</si>
  <si>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</si>
  <si>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</si>
  <si>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</si>
  <si>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</si>
  <si>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</si>
  <si>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</si>
  <si>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</si>
  <si>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</si>
  <si>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</si>
  <si>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</si>
  <si>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</si>
  <si>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</si>
  <si>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</si>
  <si>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</si>
  <si>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</si>
  <si>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</si>
  <si>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</si>
  <si>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</si>
  <si>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</si>
  <si>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</si>
  <si>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</si>
  <si>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</si>
  <si>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</si>
  <si>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</si>
  <si>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</si>
  <si>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</si>
  <si>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</si>
  <si>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</si>
  <si>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</si>
  <si>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</si>
  <si>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</si>
  <si>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</si>
  <si>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</si>
  <si>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</si>
  <si>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</si>
  <si>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</si>
  <si>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</si>
  <si>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</si>
  <si>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</si>
  <si>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</si>
  <si>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</si>
  <si>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</si>
  <si>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</si>
  <si>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</si>
  <si>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</si>
  <si>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</si>
  <si>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</si>
  <si>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</si>
  <si>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</si>
  <si>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</si>
  <si>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</si>
  <si>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</si>
  <si>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</si>
  <si>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</si>
  <si>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</si>
  <si>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</si>
  <si>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</si>
  <si>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</si>
  <si>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</si>
  <si>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</si>
  <si>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</si>
  <si>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</si>
  <si>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</si>
  <si>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</si>
  <si>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</si>
  <si>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</si>
  <si>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</si>
  <si>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</si>
  <si>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</si>
  <si>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</si>
  <si>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</si>
  <si>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</si>
  <si>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</si>
  <si>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</si>
  <si>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</si>
  <si>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</si>
  <si>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</si>
  <si>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</si>
  <si>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</si>
  <si>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</si>
  <si>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</si>
  <si>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</si>
  <si>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</si>
  <si>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</si>
  <si>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</si>
  <si>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11002</t>
  </si>
  <si>
    <t>ANTWERPEN</t>
  </si>
  <si>
    <t>Cultuurgrond (ha)</t>
  </si>
  <si>
    <t>Paarden&amp;pony's 200 - 600 kg</t>
  </si>
  <si>
    <t>Paarden&amp;pony's &lt; 200 kg</t>
  </si>
  <si>
    <t>Fluvius</t>
  </si>
  <si>
    <t>referentietaak LNE (2017); Jaarverslag De Lijn</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</si>
  <si>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</si>
  <si>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</si>
  <si>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</si>
  <si>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</si>
  <si>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</si>
  <si>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</si>
  <si>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</si>
  <si>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</si>
  <si>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</si>
  <si>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</si>
  <si>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AAK Belgium nv</t>
  </si>
  <si>
    <t>Borrewaterstraat 182 , 2170 Merksem</t>
  </si>
  <si>
    <t>WKK-0152 AAK Belgium</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</si>
  <si>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</si>
  <si>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</si>
  <si>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</si>
  <si>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</si>
  <si>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</si>
  <si>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</si>
  <si>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</si>
  <si>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</si>
  <si>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WKK-0448 Zwembad Ieperman</t>
  </si>
  <si>
    <t>Doornstraat 3 b, 2610 Wilrijk</t>
  </si>
  <si>
    <t>WKK-0447 Zwembad Wezenberg</t>
  </si>
  <si>
    <t>Desguinlei 17-19 , 2018 Antwerpen</t>
  </si>
  <si>
    <t>WKK-0549 Zwembad &amp; Sporthal Sorghvliedt</t>
  </si>
  <si>
    <t>Krijgsbaan 20 , 2660 Hoboken</t>
  </si>
  <si>
    <t>IVEG</t>
  </si>
  <si>
    <t>Aquafin NV</t>
  </si>
  <si>
    <t>Dijkstraat 8, 2630 Aartselaar</t>
  </si>
  <si>
    <t>BGS-0034 RWZI Antwerpen-Zuid</t>
  </si>
  <si>
    <t>biogas - RWZI</t>
  </si>
  <si>
    <t>niet WKK interne verbrandingsmotor (gas)</t>
  </si>
  <si>
    <t>Kielsbroek 5, 2020 Antwerpen</t>
  </si>
  <si>
    <t>Hooge Maey</t>
  </si>
  <si>
    <t>Moerstraat 55 Haven 550, 2030 Antwerpen</t>
  </si>
  <si>
    <t>BGS-0033 Hooge Maey Stort</t>
  </si>
  <si>
    <t>biogas - stortgas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</si>
</sst>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3407606.767555635</c:v>
                </c:pt>
                <c:pt idx="1">
                  <c:v>3226983.1148229353</c:v>
                </c:pt>
                <c:pt idx="2">
                  <c:v>27545.494999999999</c:v>
                </c:pt>
                <c:pt idx="3">
                  <c:v>121095.6426385636</c:v>
                </c:pt>
                <c:pt idx="4">
                  <c:v>1077824.1061345306</c:v>
                </c:pt>
                <c:pt idx="5">
                  <c:v>2887853.5945051792</c:v>
                </c:pt>
                <c:pt idx="6">
                  <c:v>85712.416916446076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3407606.767555635</c:v>
                </c:pt>
                <c:pt idx="1">
                  <c:v>3226983.1148229353</c:v>
                </c:pt>
                <c:pt idx="2">
                  <c:v>27545.494999999999</c:v>
                </c:pt>
                <c:pt idx="3">
                  <c:v>121095.6426385636</c:v>
                </c:pt>
                <c:pt idx="4">
                  <c:v>1077824.1061345306</c:v>
                </c:pt>
                <c:pt idx="5">
                  <c:v>2887853.5945051792</c:v>
                </c:pt>
                <c:pt idx="6">
                  <c:v>85712.416916446076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674493.99314509833</c:v>
                </c:pt>
                <c:pt idx="2">
                  <c:v>676394.67273038928</c:v>
                </c:pt>
                <c:pt idx="3">
                  <c:v>5767.1182630252488</c:v>
                </c:pt>
                <c:pt idx="4">
                  <c:v>30115.94617784199</c:v>
                </c:pt>
                <c:pt idx="5">
                  <c:v>230051.88560201606</c:v>
                </c:pt>
                <c:pt idx="6">
                  <c:v>730882.23188136471</c:v>
                </c:pt>
                <c:pt idx="7">
                  <c:v>20322.127056059602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674493.99314509833</c:v>
                </c:pt>
                <c:pt idx="2">
                  <c:v>676394.67273038928</c:v>
                </c:pt>
                <c:pt idx="3">
                  <c:v>5767.1182630252488</c:v>
                </c:pt>
                <c:pt idx="4">
                  <c:v>30115.94617784199</c:v>
                </c:pt>
                <c:pt idx="5">
                  <c:v>230051.88560201606</c:v>
                </c:pt>
                <c:pt idx="6">
                  <c:v>730882.23188136471</c:v>
                </c:pt>
                <c:pt idx="7">
                  <c:v>20322.127056059602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11002</v>
      </c>
      <c r="B6" s="395"/>
      <c r="C6" s="396"/>
    </row>
    <row r="7" spans="1:7" s="393" customFormat="1" ht="15.75" customHeight="1">
      <c r="A7" s="397" t="str">
        <f>txtMunicipality</f>
        <v>ANTWERPEN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0.20936702219456391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0.20936702219456391</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234859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1550</v>
      </c>
      <c r="C14" s="332"/>
      <c r="D14" s="332"/>
      <c r="E14" s="332"/>
      <c r="F14" s="332"/>
    </row>
    <row r="15" spans="1:6">
      <c r="A15" s="1306" t="s">
        <v>183</v>
      </c>
      <c r="B15" s="1307">
        <v>2</v>
      </c>
      <c r="C15" s="332"/>
      <c r="D15" s="332"/>
      <c r="E15" s="332"/>
      <c r="F15" s="332"/>
    </row>
    <row r="16" spans="1:6">
      <c r="A16" s="1306" t="s">
        <v>6</v>
      </c>
      <c r="B16" s="1307">
        <v>91</v>
      </c>
      <c r="C16" s="332"/>
      <c r="D16" s="332"/>
      <c r="E16" s="332"/>
      <c r="F16" s="332"/>
    </row>
    <row r="17" spans="1:6">
      <c r="A17" s="1306" t="s">
        <v>7</v>
      </c>
      <c r="B17" s="1307">
        <v>171</v>
      </c>
      <c r="C17" s="332"/>
      <c r="D17" s="332"/>
      <c r="E17" s="332"/>
      <c r="F17" s="332"/>
    </row>
    <row r="18" spans="1:6">
      <c r="A18" s="1306" t="s">
        <v>8</v>
      </c>
      <c r="B18" s="1307">
        <v>222</v>
      </c>
      <c r="C18" s="332"/>
      <c r="D18" s="332"/>
      <c r="E18" s="332"/>
      <c r="F18" s="332"/>
    </row>
    <row r="19" spans="1:6">
      <c r="A19" s="1306" t="s">
        <v>9</v>
      </c>
      <c r="B19" s="1307">
        <v>350</v>
      </c>
      <c r="C19" s="332"/>
      <c r="D19" s="332"/>
      <c r="E19" s="332"/>
      <c r="F19" s="332"/>
    </row>
    <row r="20" spans="1:6">
      <c r="A20" s="1306" t="s">
        <v>10</v>
      </c>
      <c r="B20" s="1307">
        <v>277</v>
      </c>
      <c r="C20" s="332"/>
      <c r="D20" s="332"/>
      <c r="E20" s="332"/>
      <c r="F20" s="332"/>
    </row>
    <row r="21" spans="1:6">
      <c r="A21" s="1306" t="s">
        <v>11</v>
      </c>
      <c r="B21" s="1307">
        <v>0</v>
      </c>
      <c r="C21" s="332"/>
      <c r="D21" s="332"/>
      <c r="E21" s="332"/>
      <c r="F21" s="332"/>
    </row>
    <row r="22" spans="1:6">
      <c r="A22" s="1306" t="s">
        <v>12</v>
      </c>
      <c r="B22" s="1307">
        <v>2</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927</v>
      </c>
      <c r="C26" s="332"/>
      <c r="D26" s="332"/>
      <c r="E26" s="332"/>
      <c r="F26" s="332"/>
    </row>
    <row r="27" spans="1:6">
      <c r="A27" s="1306" t="s">
        <v>17</v>
      </c>
      <c r="B27" s="1307">
        <v>30</v>
      </c>
      <c r="C27" s="332"/>
      <c r="D27" s="332"/>
      <c r="E27" s="332"/>
      <c r="F27" s="332"/>
    </row>
    <row r="28" spans="1:6" s="43" customFormat="1">
      <c r="A28" s="1308" t="s">
        <v>18</v>
      </c>
      <c r="B28" s="1309">
        <v>62</v>
      </c>
      <c r="C28" s="338"/>
      <c r="D28" s="338"/>
      <c r="E28" s="338"/>
      <c r="F28" s="338"/>
    </row>
    <row r="29" spans="1:6">
      <c r="A29" s="1308" t="s">
        <v>916</v>
      </c>
      <c r="B29" s="1309">
        <v>167</v>
      </c>
      <c r="C29" s="338"/>
      <c r="D29" s="338"/>
      <c r="E29" s="338"/>
      <c r="F29" s="338"/>
    </row>
    <row r="30" spans="1:6">
      <c r="A30" s="1301" t="s">
        <v>917</v>
      </c>
      <c r="B30" s="1310">
        <v>48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3</v>
      </c>
      <c r="D35" s="1307">
        <v>1038642</v>
      </c>
      <c r="E35" s="1307">
        <v>17</v>
      </c>
      <c r="F35" s="1307">
        <v>967477</v>
      </c>
    </row>
    <row r="36" spans="1:6">
      <c r="A36" s="1306" t="s">
        <v>24</v>
      </c>
      <c r="B36" s="1306" t="s">
        <v>26</v>
      </c>
      <c r="C36" s="1307">
        <v>104</v>
      </c>
      <c r="D36" s="1307">
        <v>19585349.7075429</v>
      </c>
      <c r="E36" s="1307">
        <v>188</v>
      </c>
      <c r="F36" s="1307">
        <v>13607384.565809879</v>
      </c>
    </row>
    <row r="37" spans="1:6">
      <c r="A37" s="1306" t="s">
        <v>24</v>
      </c>
      <c r="B37" s="1306" t="s">
        <v>27</v>
      </c>
      <c r="C37" s="1307">
        <v>0</v>
      </c>
      <c r="D37" s="1307">
        <v>0</v>
      </c>
      <c r="E37" s="1307">
        <v>10</v>
      </c>
      <c r="F37" s="1307">
        <v>18578313</v>
      </c>
    </row>
    <row r="38" spans="1:6">
      <c r="A38" s="1306" t="s">
        <v>24</v>
      </c>
      <c r="B38" s="1306" t="s">
        <v>28</v>
      </c>
      <c r="C38" s="1307">
        <v>19</v>
      </c>
      <c r="D38" s="1307">
        <v>211356359.00246501</v>
      </c>
      <c r="E38" s="1307">
        <v>23</v>
      </c>
      <c r="F38" s="1307">
        <v>733915.18323678197</v>
      </c>
    </row>
    <row r="39" spans="1:6">
      <c r="A39" s="1306" t="s">
        <v>29</v>
      </c>
      <c r="B39" s="1306" t="s">
        <v>30</v>
      </c>
      <c r="C39" s="1307">
        <v>178966</v>
      </c>
      <c r="D39" s="1307">
        <v>2657745241.45679</v>
      </c>
      <c r="E39" s="1307">
        <v>235964</v>
      </c>
      <c r="F39" s="1307">
        <v>671772467.70850194</v>
      </c>
    </row>
    <row r="40" spans="1:6">
      <c r="A40" s="1306" t="s">
        <v>29</v>
      </c>
      <c r="B40" s="1306" t="s">
        <v>28</v>
      </c>
      <c r="C40" s="1307">
        <v>5</v>
      </c>
      <c r="D40" s="1307">
        <v>588690.25718697906</v>
      </c>
      <c r="E40" s="1307">
        <v>4</v>
      </c>
      <c r="F40" s="1307">
        <v>149446.976345617</v>
      </c>
    </row>
    <row r="41" spans="1:6">
      <c r="A41" s="1306" t="s">
        <v>31</v>
      </c>
      <c r="B41" s="1306" t="s">
        <v>32</v>
      </c>
      <c r="C41" s="1307">
        <v>1212</v>
      </c>
      <c r="D41" s="1307">
        <v>52963064.927479401</v>
      </c>
      <c r="E41" s="1307">
        <v>2570</v>
      </c>
      <c r="F41" s="1307">
        <v>82946831.784517601</v>
      </c>
    </row>
    <row r="42" spans="1:6">
      <c r="A42" s="1306" t="s">
        <v>31</v>
      </c>
      <c r="B42" s="1306" t="s">
        <v>33</v>
      </c>
      <c r="C42" s="1307">
        <v>8</v>
      </c>
      <c r="D42" s="1307">
        <v>610765.66536672495</v>
      </c>
      <c r="E42" s="1307">
        <v>24</v>
      </c>
      <c r="F42" s="1307">
        <v>719027.41278719797</v>
      </c>
    </row>
    <row r="43" spans="1:6">
      <c r="A43" s="1306" t="s">
        <v>31</v>
      </c>
      <c r="B43" s="1306" t="s">
        <v>34</v>
      </c>
      <c r="C43" s="1307">
        <v>0</v>
      </c>
      <c r="D43" s="1307">
        <v>0</v>
      </c>
      <c r="E43" s="1307">
        <v>0</v>
      </c>
      <c r="F43" s="1307">
        <v>0</v>
      </c>
    </row>
    <row r="44" spans="1:6">
      <c r="A44" s="1306" t="s">
        <v>31</v>
      </c>
      <c r="B44" s="1306" t="s">
        <v>35</v>
      </c>
      <c r="C44" s="1307">
        <v>71</v>
      </c>
      <c r="D44" s="1307">
        <v>9733647.4729351997</v>
      </c>
      <c r="E44" s="1307">
        <v>342</v>
      </c>
      <c r="F44" s="1307">
        <v>111883113.5207139</v>
      </c>
    </row>
    <row r="45" spans="1:6">
      <c r="A45" s="1306" t="s">
        <v>31</v>
      </c>
      <c r="B45" s="1306" t="s">
        <v>36</v>
      </c>
      <c r="C45" s="1307">
        <v>0</v>
      </c>
      <c r="D45" s="1307">
        <v>0</v>
      </c>
      <c r="E45" s="1307">
        <v>27</v>
      </c>
      <c r="F45" s="1307">
        <v>7870378.2106245644</v>
      </c>
    </row>
    <row r="46" spans="1:6">
      <c r="A46" s="1306" t="s">
        <v>31</v>
      </c>
      <c r="B46" s="1306" t="s">
        <v>37</v>
      </c>
      <c r="C46" s="1307">
        <v>0</v>
      </c>
      <c r="D46" s="1307">
        <v>0</v>
      </c>
      <c r="E46" s="1307">
        <v>6</v>
      </c>
      <c r="F46" s="1307">
        <v>25618.0709532037</v>
      </c>
    </row>
    <row r="47" spans="1:6">
      <c r="A47" s="1306" t="s">
        <v>31</v>
      </c>
      <c r="B47" s="1306" t="s">
        <v>38</v>
      </c>
      <c r="C47" s="1307">
        <v>77</v>
      </c>
      <c r="D47" s="1307">
        <v>2877538.0545217702</v>
      </c>
      <c r="E47" s="1307">
        <v>122</v>
      </c>
      <c r="F47" s="1307">
        <v>5343910.6769223399</v>
      </c>
    </row>
    <row r="48" spans="1:6">
      <c r="A48" s="1306" t="s">
        <v>31</v>
      </c>
      <c r="B48" s="1306" t="s">
        <v>28</v>
      </c>
      <c r="C48" s="1307">
        <v>378</v>
      </c>
      <c r="D48" s="1307">
        <v>271243022.07086098</v>
      </c>
      <c r="E48" s="1307">
        <v>399</v>
      </c>
      <c r="F48" s="1307">
        <v>49061270.567286499</v>
      </c>
    </row>
    <row r="49" spans="1:6">
      <c r="A49" s="1306" t="s">
        <v>31</v>
      </c>
      <c r="B49" s="1306" t="s">
        <v>39</v>
      </c>
      <c r="C49" s="1307">
        <v>35</v>
      </c>
      <c r="D49" s="1307">
        <v>1715323.09197066</v>
      </c>
      <c r="E49" s="1307">
        <v>84</v>
      </c>
      <c r="F49" s="1307">
        <v>1724330.0832350201</v>
      </c>
    </row>
    <row r="50" spans="1:6">
      <c r="A50" s="1306" t="s">
        <v>31</v>
      </c>
      <c r="B50" s="1306" t="s">
        <v>40</v>
      </c>
      <c r="C50" s="1307">
        <v>219</v>
      </c>
      <c r="D50" s="1307">
        <v>25811741.408963799</v>
      </c>
      <c r="E50" s="1307">
        <v>334</v>
      </c>
      <c r="F50" s="1307">
        <v>121979131.1401962</v>
      </c>
    </row>
    <row r="51" spans="1:6">
      <c r="A51" s="1306" t="s">
        <v>41</v>
      </c>
      <c r="B51" s="1306" t="s">
        <v>42</v>
      </c>
      <c r="C51" s="1307">
        <v>40</v>
      </c>
      <c r="D51" s="1307">
        <v>20149491.093042102</v>
      </c>
      <c r="E51" s="1307">
        <v>75</v>
      </c>
      <c r="F51" s="1307">
        <v>21804561.968539599</v>
      </c>
    </row>
    <row r="52" spans="1:6">
      <c r="A52" s="1306" t="s">
        <v>41</v>
      </c>
      <c r="B52" s="1306" t="s">
        <v>28</v>
      </c>
      <c r="C52" s="1307">
        <v>20</v>
      </c>
      <c r="D52" s="1307">
        <v>604046.98596636299</v>
      </c>
      <c r="E52" s="1307">
        <v>47</v>
      </c>
      <c r="F52" s="1307">
        <v>387203.823800346</v>
      </c>
    </row>
    <row r="53" spans="1:6">
      <c r="A53" s="1306" t="s">
        <v>43</v>
      </c>
      <c r="B53" s="1306" t="s">
        <v>44</v>
      </c>
      <c r="C53" s="1307">
        <v>5576</v>
      </c>
      <c r="D53" s="1307">
        <v>150610301.09293199</v>
      </c>
      <c r="E53" s="1307">
        <v>10174</v>
      </c>
      <c r="F53" s="1307">
        <v>37453503.908209503</v>
      </c>
    </row>
    <row r="54" spans="1:6">
      <c r="A54" s="1306" t="s">
        <v>45</v>
      </c>
      <c r="B54" s="1306" t="s">
        <v>46</v>
      </c>
      <c r="C54" s="1307">
        <v>0</v>
      </c>
      <c r="D54" s="1307">
        <v>0</v>
      </c>
      <c r="E54" s="1307">
        <v>72</v>
      </c>
      <c r="F54" s="1307">
        <v>27545495</v>
      </c>
    </row>
    <row r="55" spans="1:6">
      <c r="A55" s="1306" t="s">
        <v>45</v>
      </c>
      <c r="B55" s="1306" t="s">
        <v>28</v>
      </c>
      <c r="C55" s="1307">
        <v>0</v>
      </c>
      <c r="D55" s="1307">
        <v>0</v>
      </c>
      <c r="E55" s="1307">
        <v>0</v>
      </c>
      <c r="F55" s="1307">
        <v>0</v>
      </c>
    </row>
    <row r="56" spans="1:6">
      <c r="A56" s="1306" t="s">
        <v>47</v>
      </c>
      <c r="B56" s="1306" t="s">
        <v>28</v>
      </c>
      <c r="C56" s="1307">
        <v>328</v>
      </c>
      <c r="D56" s="1307">
        <v>17521800</v>
      </c>
      <c r="E56" s="1307">
        <v>534</v>
      </c>
      <c r="F56" s="1307">
        <v>6308317</v>
      </c>
    </row>
    <row r="57" spans="1:6">
      <c r="A57" s="1306" t="s">
        <v>48</v>
      </c>
      <c r="B57" s="1306" t="s">
        <v>49</v>
      </c>
      <c r="C57" s="1307">
        <v>1582</v>
      </c>
      <c r="D57" s="1307">
        <v>99042875.835254803</v>
      </c>
      <c r="E57" s="1307">
        <v>2475</v>
      </c>
      <c r="F57" s="1307">
        <v>65223696.208438799</v>
      </c>
    </row>
    <row r="58" spans="1:6">
      <c r="A58" s="1306" t="s">
        <v>48</v>
      </c>
      <c r="B58" s="1306" t="s">
        <v>50</v>
      </c>
      <c r="C58" s="1307">
        <v>901</v>
      </c>
      <c r="D58" s="1307">
        <v>125439479.35897499</v>
      </c>
      <c r="E58" s="1307">
        <v>1308</v>
      </c>
      <c r="F58" s="1307">
        <v>59506423.354205601</v>
      </c>
    </row>
    <row r="59" spans="1:6">
      <c r="A59" s="1306" t="s">
        <v>48</v>
      </c>
      <c r="B59" s="1306" t="s">
        <v>51</v>
      </c>
      <c r="C59" s="1307">
        <v>3781</v>
      </c>
      <c r="D59" s="1307">
        <v>197409724.480995</v>
      </c>
      <c r="E59" s="1307">
        <v>7799</v>
      </c>
      <c r="F59" s="1307">
        <v>248251356.43469599</v>
      </c>
    </row>
    <row r="60" spans="1:6">
      <c r="A60" s="1306" t="s">
        <v>48</v>
      </c>
      <c r="B60" s="1306" t="s">
        <v>52</v>
      </c>
      <c r="C60" s="1307">
        <v>2371</v>
      </c>
      <c r="D60" s="1307">
        <v>143255404.56880799</v>
      </c>
      <c r="E60" s="1307">
        <v>3041</v>
      </c>
      <c r="F60" s="1307">
        <v>94809360.540756196</v>
      </c>
    </row>
    <row r="61" spans="1:6">
      <c r="A61" s="1306" t="s">
        <v>48</v>
      </c>
      <c r="B61" s="1306" t="s">
        <v>53</v>
      </c>
      <c r="C61" s="1307">
        <v>8777</v>
      </c>
      <c r="D61" s="1307">
        <v>946702060.75801003</v>
      </c>
      <c r="E61" s="1307">
        <v>19883</v>
      </c>
      <c r="F61" s="1307">
        <v>636387733.44863605</v>
      </c>
    </row>
    <row r="62" spans="1:6">
      <c r="A62" s="1306" t="s">
        <v>48</v>
      </c>
      <c r="B62" s="1306" t="s">
        <v>54</v>
      </c>
      <c r="C62" s="1307">
        <v>776</v>
      </c>
      <c r="D62" s="1307">
        <v>238634737.319864</v>
      </c>
      <c r="E62" s="1307">
        <v>811</v>
      </c>
      <c r="F62" s="1307">
        <v>41982451.718853697</v>
      </c>
    </row>
    <row r="63" spans="1:6">
      <c r="A63" s="1306" t="s">
        <v>48</v>
      </c>
      <c r="B63" s="1306" t="s">
        <v>28</v>
      </c>
      <c r="C63" s="1307">
        <v>1114</v>
      </c>
      <c r="D63" s="1307">
        <v>194010459.02056301</v>
      </c>
      <c r="E63" s="1307">
        <v>1088</v>
      </c>
      <c r="F63" s="1307">
        <v>72465568.7093523</v>
      </c>
    </row>
    <row r="64" spans="1:6">
      <c r="A64" s="1306" t="s">
        <v>55</v>
      </c>
      <c r="B64" s="1306" t="s">
        <v>56</v>
      </c>
      <c r="C64" s="1307">
        <v>0</v>
      </c>
      <c r="D64" s="1307">
        <v>0</v>
      </c>
      <c r="E64" s="1307">
        <v>0</v>
      </c>
      <c r="F64" s="1307">
        <v>0</v>
      </c>
    </row>
    <row r="65" spans="1:6">
      <c r="A65" s="1306" t="s">
        <v>55</v>
      </c>
      <c r="B65" s="1306" t="s">
        <v>28</v>
      </c>
      <c r="C65" s="1307">
        <v>40</v>
      </c>
      <c r="D65" s="1307">
        <v>5331091.5821631299</v>
      </c>
      <c r="E65" s="1307">
        <v>39</v>
      </c>
      <c r="F65" s="1307">
        <v>530680.83663759497</v>
      </c>
    </row>
    <row r="66" spans="1:6">
      <c r="A66" s="1306" t="s">
        <v>55</v>
      </c>
      <c r="B66" s="1306" t="s">
        <v>57</v>
      </c>
      <c r="C66" s="1307">
        <v>0</v>
      </c>
      <c r="D66" s="1307">
        <v>0</v>
      </c>
      <c r="E66" s="1307">
        <v>40</v>
      </c>
      <c r="F66" s="1307">
        <v>2316679.851714565</v>
      </c>
    </row>
    <row r="67" spans="1:6">
      <c r="A67" s="1308" t="s">
        <v>55</v>
      </c>
      <c r="B67" s="1308" t="s">
        <v>58</v>
      </c>
      <c r="C67" s="1307">
        <v>0</v>
      </c>
      <c r="D67" s="1307">
        <v>0</v>
      </c>
      <c r="E67" s="1307">
        <v>11</v>
      </c>
      <c r="F67" s="1307">
        <v>2948744.8050513547</v>
      </c>
    </row>
    <row r="68" spans="1:6">
      <c r="A68" s="1301" t="s">
        <v>55</v>
      </c>
      <c r="B68" s="1301" t="s">
        <v>59</v>
      </c>
      <c r="C68" s="1310">
        <v>53</v>
      </c>
      <c r="D68" s="1310">
        <v>11797474.51808434</v>
      </c>
      <c r="E68" s="1310">
        <v>167</v>
      </c>
      <c r="F68" s="1310">
        <v>23768573.43927652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844326789</v>
      </c>
      <c r="E73" s="456"/>
      <c r="F73" s="332"/>
    </row>
    <row r="74" spans="1:6">
      <c r="A74" s="1306" t="s">
        <v>63</v>
      </c>
      <c r="B74" s="1306" t="s">
        <v>724</v>
      </c>
      <c r="C74" s="1320" t="s">
        <v>725</v>
      </c>
      <c r="D74" s="1321">
        <v>47493365.585181512</v>
      </c>
      <c r="E74" s="456"/>
      <c r="F74" s="332"/>
    </row>
    <row r="75" spans="1:6">
      <c r="A75" s="1306" t="s">
        <v>64</v>
      </c>
      <c r="B75" s="1306" t="s">
        <v>722</v>
      </c>
      <c r="C75" s="1320" t="s">
        <v>726</v>
      </c>
      <c r="D75" s="1321">
        <v>378223888</v>
      </c>
      <c r="E75" s="456"/>
      <c r="F75" s="332"/>
    </row>
    <row r="76" spans="1:6">
      <c r="A76" s="1306" t="s">
        <v>64</v>
      </c>
      <c r="B76" s="1306" t="s">
        <v>724</v>
      </c>
      <c r="C76" s="1320" t="s">
        <v>727</v>
      </c>
      <c r="D76" s="1321">
        <v>11077726.585181516</v>
      </c>
      <c r="E76" s="456"/>
      <c r="F76" s="332"/>
    </row>
    <row r="77" spans="1:6">
      <c r="A77" s="1306" t="s">
        <v>65</v>
      </c>
      <c r="B77" s="1306" t="s">
        <v>722</v>
      </c>
      <c r="C77" s="1320" t="s">
        <v>728</v>
      </c>
      <c r="D77" s="1321">
        <v>1572449589</v>
      </c>
      <c r="E77" s="456"/>
      <c r="F77" s="332"/>
    </row>
    <row r="78" spans="1:6">
      <c r="A78" s="1301" t="s">
        <v>65</v>
      </c>
      <c r="B78" s="1301" t="s">
        <v>724</v>
      </c>
      <c r="C78" s="1301" t="s">
        <v>729</v>
      </c>
      <c r="D78" s="1322">
        <v>299711462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13596584.829636971</v>
      </c>
      <c r="C83" s="456"/>
      <c r="D83" s="332"/>
      <c r="E83" s="332"/>
      <c r="F83" s="332"/>
    </row>
    <row r="84" spans="1:6">
      <c r="A84" s="1301" t="s">
        <v>336</v>
      </c>
      <c r="B84" s="1322">
        <v>9738526.3480781242</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55940.698409999997</v>
      </c>
      <c r="C90" s="332"/>
      <c r="D90" s="332"/>
      <c r="E90" s="332"/>
      <c r="F90" s="332"/>
    </row>
    <row r="91" spans="1:6">
      <c r="A91" s="1306" t="s">
        <v>67</v>
      </c>
      <c r="B91" s="1307">
        <v>12148.885730640975</v>
      </c>
      <c r="C91" s="332"/>
      <c r="D91" s="332"/>
      <c r="E91" s="332"/>
      <c r="F91" s="332"/>
    </row>
    <row r="92" spans="1:6">
      <c r="A92" s="1301" t="s">
        <v>68</v>
      </c>
      <c r="B92" s="1302">
        <v>41933.212923453109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142544</v>
      </c>
      <c r="C97" s="332"/>
      <c r="D97" s="332"/>
      <c r="E97" s="332"/>
      <c r="F97" s="332"/>
    </row>
    <row r="98" spans="1:6">
      <c r="A98" s="1306" t="s">
        <v>71</v>
      </c>
      <c r="B98" s="1307">
        <v>436</v>
      </c>
      <c r="C98" s="332"/>
      <c r="D98" s="332"/>
      <c r="E98" s="332"/>
      <c r="F98" s="332"/>
    </row>
    <row r="99" spans="1:6">
      <c r="A99" s="1306" t="s">
        <v>72</v>
      </c>
      <c r="B99" s="1307">
        <v>504</v>
      </c>
      <c r="C99" s="332"/>
      <c r="D99" s="332"/>
      <c r="E99" s="332"/>
      <c r="F99" s="332"/>
    </row>
    <row r="100" spans="1:6">
      <c r="A100" s="1306" t="s">
        <v>73</v>
      </c>
      <c r="B100" s="1307">
        <v>12353</v>
      </c>
      <c r="C100" s="332"/>
      <c r="D100" s="332"/>
      <c r="E100" s="332"/>
      <c r="F100" s="332"/>
    </row>
    <row r="101" spans="1:6">
      <c r="A101" s="1306" t="s">
        <v>74</v>
      </c>
      <c r="B101" s="1307">
        <v>483</v>
      </c>
      <c r="C101" s="332"/>
      <c r="D101" s="332"/>
      <c r="E101" s="332"/>
      <c r="F101" s="332"/>
    </row>
    <row r="102" spans="1:6">
      <c r="A102" s="1306" t="s">
        <v>75</v>
      </c>
      <c r="B102" s="1307">
        <v>6918</v>
      </c>
      <c r="C102" s="332"/>
      <c r="D102" s="332"/>
      <c r="E102" s="332"/>
      <c r="F102" s="332"/>
    </row>
    <row r="103" spans="1:6">
      <c r="A103" s="1306" t="s">
        <v>76</v>
      </c>
      <c r="B103" s="1307">
        <v>1961</v>
      </c>
      <c r="C103" s="332"/>
      <c r="D103" s="332"/>
      <c r="E103" s="332"/>
      <c r="F103" s="332"/>
    </row>
    <row r="104" spans="1:6">
      <c r="A104" s="1306" t="s">
        <v>77</v>
      </c>
      <c r="B104" s="1307">
        <v>38687</v>
      </c>
      <c r="C104" s="332"/>
      <c r="D104" s="332"/>
      <c r="E104" s="332"/>
      <c r="F104" s="332"/>
    </row>
    <row r="105" spans="1:6">
      <c r="A105" s="1301" t="s">
        <v>78</v>
      </c>
      <c r="B105" s="1310">
        <v>225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31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476</v>
      </c>
      <c r="C129" s="332"/>
      <c r="D129" s="332"/>
      <c r="E129" s="332"/>
      <c r="F129" s="332"/>
    </row>
    <row r="130" spans="1:6">
      <c r="A130" s="1306" t="s">
        <v>294</v>
      </c>
      <c r="B130" s="1307">
        <v>13</v>
      </c>
      <c r="C130" s="332"/>
      <c r="D130" s="332"/>
      <c r="E130" s="332"/>
      <c r="F130" s="332"/>
    </row>
    <row r="131" spans="1:6">
      <c r="A131" s="1306" t="s">
        <v>295</v>
      </c>
      <c r="B131" s="1307">
        <v>40</v>
      </c>
      <c r="C131" s="332"/>
      <c r="D131" s="332"/>
      <c r="E131" s="332"/>
      <c r="F131" s="332"/>
    </row>
    <row r="132" spans="1:6">
      <c r="A132" s="1301" t="s">
        <v>296</v>
      </c>
      <c r="B132" s="1302">
        <v>34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2445859.0491096582</v>
      </c>
      <c r="C3" s="43" t="s">
        <v>169</v>
      </c>
      <c r="D3" s="43"/>
      <c r="E3" s="156"/>
      <c r="F3" s="43"/>
      <c r="G3" s="43"/>
      <c r="H3" s="43"/>
      <c r="I3" s="43"/>
      <c r="J3" s="43"/>
      <c r="K3" s="96"/>
    </row>
    <row r="4" spans="1:11">
      <c r="A4" s="363" t="s">
        <v>170</v>
      </c>
      <c r="B4" s="49">
        <f>IF(ISERROR('SEAP template'!B78+'SEAP template'!C78),0,'SEAP template'!B78+'SEAP template'!C78)</f>
        <v>143682.79706409408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3301.274117647059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0.20936702219456391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4716.105882352942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19845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27545.494999999999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27545.494999999999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0.20936702219456391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5767.1182630252488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671921.91468484758</v>
      </c>
      <c r="C5" s="17">
        <f>IF(ISERROR('Eigen informatie GS &amp; warmtenet'!B57),0,'Eigen informatie GS &amp; warmtenet'!B57)</f>
        <v>0</v>
      </c>
      <c r="D5" s="30">
        <f>(SUM(HH_hh_gas_kWh,HH_rest_gas_kWh)/1000)*0.902</f>
        <v>2397817.2064060071</v>
      </c>
      <c r="E5" s="17">
        <f>B46*B57</f>
        <v>43269.367557548845</v>
      </c>
      <c r="F5" s="17">
        <f>B51*B62</f>
        <v>138917.24555160545</v>
      </c>
      <c r="G5" s="18"/>
      <c r="H5" s="17"/>
      <c r="I5" s="17"/>
      <c r="J5" s="17">
        <f>B50*B61+C50*C61</f>
        <v>0</v>
      </c>
      <c r="K5" s="17"/>
      <c r="L5" s="17"/>
      <c r="M5" s="17"/>
      <c r="N5" s="17">
        <f>B48*B59+C48*C59</f>
        <v>141938.7376249856</v>
      </c>
      <c r="O5" s="17">
        <f>B69*B70*B71</f>
        <v>792.61</v>
      </c>
      <c r="P5" s="17">
        <f>B77*B78*B79/1000-B77*B78*B79/1000/B80</f>
        <v>800.8</v>
      </c>
    </row>
    <row r="6" spans="1:16">
      <c r="A6" s="16" t="s">
        <v>633</v>
      </c>
      <c r="B6" s="779">
        <f>kWh_PV_kleiner_dan_10kW</f>
        <v>12148.885730640975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684070.80041548854</v>
      </c>
      <c r="C8" s="21">
        <f>C5</f>
        <v>0</v>
      </c>
      <c r="D8" s="21">
        <f>D5</f>
        <v>2397817.2064060071</v>
      </c>
      <c r="E8" s="21">
        <f>E5</f>
        <v>43269.367557548845</v>
      </c>
      <c r="F8" s="21">
        <f>F5</f>
        <v>138917.24555160545</v>
      </c>
      <c r="G8" s="21"/>
      <c r="H8" s="21"/>
      <c r="I8" s="21"/>
      <c r="J8" s="21">
        <f>J5</f>
        <v>0</v>
      </c>
      <c r="K8" s="21"/>
      <c r="L8" s="21">
        <f>L5</f>
        <v>0</v>
      </c>
      <c r="M8" s="21">
        <f>M5</f>
        <v>0</v>
      </c>
      <c r="N8" s="21">
        <f>N5</f>
        <v>141938.7376249856</v>
      </c>
      <c r="O8" s="21">
        <f>O5</f>
        <v>792.61</v>
      </c>
      <c r="P8" s="21">
        <f>P5</f>
        <v>800.8</v>
      </c>
    </row>
    <row r="9" spans="1:16">
      <c r="B9" s="19"/>
      <c r="C9" s="19"/>
      <c r="D9" s="261"/>
      <c r="E9" s="19"/>
      <c r="F9" s="19"/>
      <c r="G9" s="19"/>
      <c r="H9" s="19"/>
      <c r="I9" s="19"/>
      <c r="J9" s="19"/>
      <c r="K9" s="19"/>
      <c r="L9" s="19"/>
      <c r="M9" s="19"/>
      <c r="N9" s="19"/>
      <c r="O9" s="19"/>
      <c r="P9" s="19"/>
    </row>
    <row r="10" spans="1:16">
      <c r="A10" s="24" t="s">
        <v>213</v>
      </c>
      <c r="B10" s="25">
        <f ca="1">'EF ele_warmte'!B12</f>
        <v>0.20936702219456391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143221.86645324269</v>
      </c>
      <c r="C12" s="23">
        <f ca="1">C10*C8</f>
        <v>0</v>
      </c>
      <c r="D12" s="23">
        <f>D8*D10</f>
        <v>484359.07569401345</v>
      </c>
      <c r="E12" s="23">
        <f>E10*E8</f>
        <v>9822.146435563589</v>
      </c>
      <c r="F12" s="23">
        <f>F10*F8</f>
        <v>37090.904562278658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142544</v>
      </c>
      <c r="C18" s="168" t="s">
        <v>110</v>
      </c>
      <c r="D18" s="230"/>
      <c r="E18" s="15"/>
    </row>
    <row r="19" spans="1:7">
      <c r="A19" s="173" t="s">
        <v>71</v>
      </c>
      <c r="B19" s="37">
        <f>aantalw2001_ander</f>
        <v>436</v>
      </c>
      <c r="C19" s="168" t="s">
        <v>110</v>
      </c>
      <c r="D19" s="231"/>
      <c r="E19" s="15"/>
    </row>
    <row r="20" spans="1:7">
      <c r="A20" s="173" t="s">
        <v>72</v>
      </c>
      <c r="B20" s="37">
        <f>aantalw2001_propaan</f>
        <v>504</v>
      </c>
      <c r="C20" s="169">
        <f>IF(ISERROR(B20/SUM($B$20,$B$21,$B$22)*100),0,B20/SUM($B$20,$B$21,$B$22)*100)</f>
        <v>3.7781109445277363</v>
      </c>
      <c r="D20" s="231"/>
      <c r="E20" s="15"/>
    </row>
    <row r="21" spans="1:7">
      <c r="A21" s="173" t="s">
        <v>73</v>
      </c>
      <c r="B21" s="37">
        <f>aantalw2001_elektriciteit</f>
        <v>12353</v>
      </c>
      <c r="C21" s="169">
        <f>IF(ISERROR(B21/SUM($B$20,$B$21,$B$22)*100),0,B21/SUM($B$20,$B$21,$B$22)*100)</f>
        <v>92.601199400299848</v>
      </c>
      <c r="D21" s="231"/>
      <c r="E21" s="15"/>
    </row>
    <row r="22" spans="1:7">
      <c r="A22" s="173" t="s">
        <v>74</v>
      </c>
      <c r="B22" s="37">
        <f>aantalw2001_hout</f>
        <v>483</v>
      </c>
      <c r="C22" s="169">
        <f>IF(ISERROR(B22/SUM($B$20,$B$21,$B$22)*100),0,B22/SUM($B$20,$B$21,$B$22)*100)</f>
        <v>3.6206896551724141</v>
      </c>
      <c r="D22" s="231"/>
      <c r="E22" s="15"/>
    </row>
    <row r="23" spans="1:7">
      <c r="A23" s="173" t="s">
        <v>75</v>
      </c>
      <c r="B23" s="37">
        <f>aantalw2001_niet_gespec</f>
        <v>6918</v>
      </c>
      <c r="C23" s="168" t="s">
        <v>110</v>
      </c>
      <c r="D23" s="230"/>
      <c r="E23" s="15"/>
    </row>
    <row r="24" spans="1:7">
      <c r="A24" s="173" t="s">
        <v>76</v>
      </c>
      <c r="B24" s="37">
        <f>aantalw2001_steenkool</f>
        <v>1961</v>
      </c>
      <c r="C24" s="168" t="s">
        <v>110</v>
      </c>
      <c r="D24" s="231"/>
      <c r="E24" s="15"/>
    </row>
    <row r="25" spans="1:7">
      <c r="A25" s="173" t="s">
        <v>77</v>
      </c>
      <c r="B25" s="37">
        <f>aantalw2001_stookolie</f>
        <v>38687</v>
      </c>
      <c r="C25" s="168" t="s">
        <v>110</v>
      </c>
      <c r="D25" s="230"/>
      <c r="E25" s="52"/>
    </row>
    <row r="26" spans="1:7">
      <c r="A26" s="173" t="s">
        <v>78</v>
      </c>
      <c r="B26" s="37">
        <f>aantalw2001_WP</f>
        <v>225</v>
      </c>
      <c r="C26" s="168" t="s">
        <v>110</v>
      </c>
      <c r="D26" s="230"/>
      <c r="E26" s="15"/>
    </row>
    <row r="27" spans="1:7" s="15" customFormat="1">
      <c r="A27" s="173"/>
      <c r="B27" s="29"/>
      <c r="C27" s="36"/>
      <c r="D27" s="230"/>
    </row>
    <row r="28" spans="1:7" s="15" customFormat="1">
      <c r="A28" s="232" t="s">
        <v>742</v>
      </c>
      <c r="B28" s="37">
        <f>aantalHuishoudens</f>
        <v>234859</v>
      </c>
      <c r="C28" s="36"/>
      <c r="D28" s="230"/>
    </row>
    <row r="29" spans="1:7" s="15" customFormat="1">
      <c r="A29" s="232" t="s">
        <v>743</v>
      </c>
      <c r="B29" s="37">
        <f>SUM(HH_hh_gas_aantal,HH_rest_gas_aantal)</f>
        <v>178971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178971</v>
      </c>
      <c r="C32" s="169">
        <f>IF(ISERROR(B32/SUM($B$32,$B$34,$B$35,$B$36,$B$38,$B$39)*100),0,B32/SUM($B$32,$B$34,$B$35,$B$36,$B$38,$B$39)*100)</f>
        <v>76.217224476933097</v>
      </c>
      <c r="D32" s="235"/>
      <c r="G32" s="15"/>
    </row>
    <row r="33" spans="1:7">
      <c r="A33" s="173" t="s">
        <v>71</v>
      </c>
      <c r="B33" s="34" t="s">
        <v>110</v>
      </c>
      <c r="C33" s="169"/>
      <c r="D33" s="235"/>
      <c r="G33" s="15"/>
    </row>
    <row r="34" spans="1:7">
      <c r="A34" s="173" t="s">
        <v>72</v>
      </c>
      <c r="B34" s="33">
        <f>IF((($B$28-$B$32-$B$39-$B$77-$B$38)*C20/100)&lt;0,0,($B$28-$B$32-$B$39-$B$77-$B$38)*C20/100)</f>
        <v>1886.913283358321</v>
      </c>
      <c r="C34" s="169">
        <f>IF(ISERROR(B34/SUM($B$32,$B$34,$B$35,$B$36,$B$38,$B$39)*100),0,B34/SUM($B$32,$B$34,$B$35,$B$36,$B$38,$B$39)*100)</f>
        <v>0.80356757958679348</v>
      </c>
      <c r="D34" s="235"/>
      <c r="G34" s="15"/>
    </row>
    <row r="35" spans="1:7">
      <c r="A35" s="173" t="s">
        <v>73</v>
      </c>
      <c r="B35" s="33">
        <f>IF((($B$28-$B$32-$B$39-$B$77-$B$38)*C21/100)&lt;0,0,($B$28-$B$32-$B$39-$B$77-$B$38)*C21/100)</f>
        <v>46248.094820089958</v>
      </c>
      <c r="C35" s="169">
        <f>IF(ISERROR(B35/SUM($B$32,$B$34,$B$35,$B$36,$B$38,$B$39)*100),0,B35/SUM($B$32,$B$34,$B$35,$B$36,$B$38,$B$39)*100)</f>
        <v>19.69537760046758</v>
      </c>
      <c r="D35" s="235"/>
      <c r="G35" s="15"/>
    </row>
    <row r="36" spans="1:7">
      <c r="A36" s="173" t="s">
        <v>74</v>
      </c>
      <c r="B36" s="33">
        <f>IF((($B$28-$B$32-$B$39-$B$77-$B$38)*C22/100)&lt;0,0,($B$28-$B$32-$B$39-$B$77-$B$38)*C22/100)</f>
        <v>1808.2918965517244</v>
      </c>
      <c r="C36" s="169">
        <f>IF(ISERROR(B36/SUM($B$32,$B$34,$B$35,$B$36,$B$38,$B$39)*100),0,B36/SUM($B$32,$B$34,$B$35,$B$36,$B$38,$B$39)*100)</f>
        <v>0.77008559710401059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5902.6999999999971</v>
      </c>
      <c r="C39" s="169">
        <f>IF(ISERROR(B39/SUM($B$32,$B$34,$B$35,$B$36,$B$38,$B$39)*100),0,B39/SUM($B$32,$B$34,$B$35,$B$36,$B$38,$B$39)*100)</f>
        <v>2.5137447459085149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178971</v>
      </c>
      <c r="C44" s="34" t="s">
        <v>110</v>
      </c>
      <c r="D44" s="176"/>
    </row>
    <row r="45" spans="1:7">
      <c r="A45" s="173" t="s">
        <v>71</v>
      </c>
      <c r="B45" s="33" t="str">
        <f t="shared" si="0"/>
        <v>-</v>
      </c>
      <c r="C45" s="34" t="s">
        <v>110</v>
      </c>
      <c r="D45" s="176"/>
    </row>
    <row r="46" spans="1:7">
      <c r="A46" s="173" t="s">
        <v>72</v>
      </c>
      <c r="B46" s="33">
        <f t="shared" si="0"/>
        <v>1886.913283358321</v>
      </c>
      <c r="C46" s="34" t="s">
        <v>110</v>
      </c>
      <c r="D46" s="176"/>
    </row>
    <row r="47" spans="1:7">
      <c r="A47" s="173" t="s">
        <v>73</v>
      </c>
      <c r="B47" s="33">
        <f t="shared" si="0"/>
        <v>46248.094820089958</v>
      </c>
      <c r="C47" s="34" t="s">
        <v>110</v>
      </c>
      <c r="D47" s="176"/>
    </row>
    <row r="48" spans="1:7">
      <c r="A48" s="173" t="s">
        <v>74</v>
      </c>
      <c r="B48" s="33">
        <f t="shared" si="0"/>
        <v>1808.2918965517244</v>
      </c>
      <c r="C48" s="33">
        <f>B48*10</f>
        <v>18082.918965517245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5902.6999999999971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507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1218626.5904149387</v>
      </c>
      <c r="C5" s="17">
        <f>IF(ISERROR('Eigen informatie GS &amp; warmtenet'!B58),0,'Eigen informatie GS &amp; warmtenet'!B58)</f>
        <v>0</v>
      </c>
      <c r="D5" s="30">
        <f>SUM(D6:D12)</f>
        <v>1753934.2566909078</v>
      </c>
      <c r="E5" s="17">
        <f>SUM(E6:E12)</f>
        <v>12672.719690768407</v>
      </c>
      <c r="F5" s="17">
        <f>SUM(F6:F12)</f>
        <v>225597.12945489195</v>
      </c>
      <c r="G5" s="18"/>
      <c r="H5" s="17"/>
      <c r="I5" s="17"/>
      <c r="J5" s="17">
        <f>SUM(J6:J12)</f>
        <v>0</v>
      </c>
      <c r="K5" s="17"/>
      <c r="L5" s="17"/>
      <c r="M5" s="17"/>
      <c r="N5" s="17">
        <f>SUM(N6:N12)</f>
        <v>52885.60785946004</v>
      </c>
      <c r="O5" s="17">
        <f>B38*B39*B40</f>
        <v>20.323333333333334</v>
      </c>
      <c r="P5" s="17">
        <f>B46*B47*B48/1000-B46*B47*B48/1000/B49</f>
        <v>762.66666666666674</v>
      </c>
      <c r="R5" s="32"/>
    </row>
    <row r="6" spans="1:18">
      <c r="A6" s="32" t="s">
        <v>53</v>
      </c>
      <c r="B6" s="37">
        <f>B26</f>
        <v>636387.73344863602</v>
      </c>
      <c r="C6" s="33"/>
      <c r="D6" s="37">
        <f>IF(ISERROR(TER_kantoor_gas_kWh/1000),0,TER_kantoor_gas_kWh/1000)*0.902</f>
        <v>853925.25880372501</v>
      </c>
      <c r="E6" s="33">
        <f>$C$26*'E Balans VL '!I12/100/3.6*1000000</f>
        <v>2472.50107558121</v>
      </c>
      <c r="F6" s="33">
        <f>$C$26*('E Balans VL '!L12+'E Balans VL '!N12)/100/3.6*1000000</f>
        <v>96788.783590835155</v>
      </c>
      <c r="G6" s="34"/>
      <c r="H6" s="33"/>
      <c r="I6" s="33"/>
      <c r="J6" s="33">
        <f>$C$26*('E Balans VL '!D12+'E Balans VL '!E12)/100/3.6*1000000</f>
        <v>0</v>
      </c>
      <c r="K6" s="33"/>
      <c r="L6" s="33"/>
      <c r="M6" s="33"/>
      <c r="N6" s="33">
        <f>$C$26*'E Balans VL '!Y12/100/3.6*1000000</f>
        <v>350.72587850317223</v>
      </c>
      <c r="O6" s="33"/>
      <c r="P6" s="33"/>
      <c r="R6" s="32"/>
    </row>
    <row r="7" spans="1:18">
      <c r="A7" s="32" t="s">
        <v>52</v>
      </c>
      <c r="B7" s="37">
        <f t="shared" ref="B7:B12" si="0">B27</f>
        <v>94809.360540756199</v>
      </c>
      <c r="C7" s="33"/>
      <c r="D7" s="37">
        <f>IF(ISERROR(TER_horeca_gas_kWh/1000),0,TER_horeca_gas_kWh/1000)*0.902</f>
        <v>129216.37492106479</v>
      </c>
      <c r="E7" s="33">
        <f>$C$27*'E Balans VL '!I9/100/3.6*1000000</f>
        <v>5340.6366270841136</v>
      </c>
      <c r="F7" s="33">
        <f>$C$27*('E Balans VL '!L9+'E Balans VL '!N9)/100/3.6*1000000</f>
        <v>27337.343459410822</v>
      </c>
      <c r="G7" s="34"/>
      <c r="H7" s="33"/>
      <c r="I7" s="33"/>
      <c r="J7" s="33">
        <f>$C$27*('E Balans VL '!D9+'E Balans VL '!E9)/100/3.6*1000000</f>
        <v>0</v>
      </c>
      <c r="K7" s="33"/>
      <c r="L7" s="33"/>
      <c r="M7" s="33"/>
      <c r="N7" s="33">
        <f>$C$27*'E Balans VL '!Y9/100/3.6*1000000</f>
        <v>26.176371769511064</v>
      </c>
      <c r="O7" s="33"/>
      <c r="P7" s="33"/>
      <c r="R7" s="32"/>
    </row>
    <row r="8" spans="1:18">
      <c r="A8" s="6" t="s">
        <v>51</v>
      </c>
      <c r="B8" s="37">
        <f t="shared" si="0"/>
        <v>248251.35643469598</v>
      </c>
      <c r="C8" s="33"/>
      <c r="D8" s="37">
        <f>IF(ISERROR(TER_handel_gas_kWh/1000),0,TER_handel_gas_kWh/1000)*0.902</f>
        <v>178063.57148185751</v>
      </c>
      <c r="E8" s="33">
        <f>$C$28*'E Balans VL '!I13/100/3.6*1000000</f>
        <v>3578.1442792946473</v>
      </c>
      <c r="F8" s="33">
        <f>$C$28*('E Balans VL '!L13+'E Balans VL '!N13)/100/3.6*1000000</f>
        <v>43127.041996676882</v>
      </c>
      <c r="G8" s="34"/>
      <c r="H8" s="33"/>
      <c r="I8" s="33"/>
      <c r="J8" s="33">
        <f>$C$28*('E Balans VL '!D13+'E Balans VL '!E13)/100/3.6*1000000</f>
        <v>0</v>
      </c>
      <c r="K8" s="33"/>
      <c r="L8" s="33"/>
      <c r="M8" s="33"/>
      <c r="N8" s="33">
        <f>$C$28*'E Balans VL '!Y13/100/3.6*1000000</f>
        <v>743.78869978865134</v>
      </c>
      <c r="O8" s="33"/>
      <c r="P8" s="33"/>
      <c r="R8" s="32"/>
    </row>
    <row r="9" spans="1:18">
      <c r="A9" s="32" t="s">
        <v>50</v>
      </c>
      <c r="B9" s="37">
        <f t="shared" si="0"/>
        <v>59506.423354205603</v>
      </c>
      <c r="C9" s="33"/>
      <c r="D9" s="37">
        <f>IF(ISERROR(TER_gezond_gas_kWh/1000),0,TER_gezond_gas_kWh/1000)*0.902</f>
        <v>113146.41038179545</v>
      </c>
      <c r="E9" s="33">
        <f>$C$29*'E Balans VL '!I10/100/3.6*1000000</f>
        <v>63.568283640814947</v>
      </c>
      <c r="F9" s="33">
        <f>$C$29*('E Balans VL '!L10+'E Balans VL '!N10)/100/3.6*1000000</f>
        <v>9707.306117139864</v>
      </c>
      <c r="G9" s="34"/>
      <c r="H9" s="33"/>
      <c r="I9" s="33"/>
      <c r="J9" s="33">
        <f>$C$29*('E Balans VL '!D10+'E Balans VL '!E10)/100/3.6*1000000</f>
        <v>0</v>
      </c>
      <c r="K9" s="33"/>
      <c r="L9" s="33"/>
      <c r="M9" s="33"/>
      <c r="N9" s="33">
        <f>$C$29*'E Balans VL '!Y10/100/3.6*1000000</f>
        <v>612.58467474376721</v>
      </c>
      <c r="O9" s="33"/>
      <c r="P9" s="33"/>
      <c r="R9" s="32"/>
    </row>
    <row r="10" spans="1:18">
      <c r="A10" s="32" t="s">
        <v>49</v>
      </c>
      <c r="B10" s="37">
        <f t="shared" si="0"/>
        <v>65223.6962084388</v>
      </c>
      <c r="C10" s="33"/>
      <c r="D10" s="37">
        <f>IF(ISERROR(TER_ander_gas_kWh/1000),0,TER_ander_gas_kWh/1000)*0.902</f>
        <v>89336.674003399836</v>
      </c>
      <c r="E10" s="33">
        <f>$C$30*'E Balans VL '!I14/100/3.6*1000000</f>
        <v>299.95385760192556</v>
      </c>
      <c r="F10" s="33">
        <f>$C$30*('E Balans VL '!L14+'E Balans VL '!N14)/100/3.6*1000000</f>
        <v>19549.599093957768</v>
      </c>
      <c r="G10" s="34"/>
      <c r="H10" s="33"/>
      <c r="I10" s="33"/>
      <c r="J10" s="33">
        <f>$C$30*('E Balans VL '!D14+'E Balans VL '!E14)/100/3.6*1000000</f>
        <v>0</v>
      </c>
      <c r="K10" s="33"/>
      <c r="L10" s="33"/>
      <c r="M10" s="33"/>
      <c r="N10" s="33">
        <f>$C$30*'E Balans VL '!Y14/100/3.6*1000000</f>
        <v>45399.998027396636</v>
      </c>
      <c r="O10" s="33"/>
      <c r="P10" s="33"/>
      <c r="R10" s="32"/>
    </row>
    <row r="11" spans="1:18">
      <c r="A11" s="32" t="s">
        <v>54</v>
      </c>
      <c r="B11" s="37">
        <f t="shared" si="0"/>
        <v>41982.451718853699</v>
      </c>
      <c r="C11" s="33"/>
      <c r="D11" s="37">
        <f>IF(ISERROR(TER_onderwijs_gas_kWh/1000),0,TER_onderwijs_gas_kWh/1000)*0.902</f>
        <v>215248.53306251735</v>
      </c>
      <c r="E11" s="33">
        <f>$C$31*'E Balans VL '!I11/100/3.6*1000000</f>
        <v>38.944245030169185</v>
      </c>
      <c r="F11" s="33">
        <f>$C$31*('E Balans VL '!L11+'E Balans VL '!N11)/100/3.6*1000000</f>
        <v>14747.470391553008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72465.568709352301</v>
      </c>
      <c r="C12" s="33"/>
      <c r="D12" s="37">
        <f>IF(ISERROR(TER_rest_gas_kWh/1000),0,TER_rest_gas_kWh/1000)*0.902</f>
        <v>174997.43403654781</v>
      </c>
      <c r="E12" s="33">
        <f>$C$32*'E Balans VL '!I8/100/3.6*1000000</f>
        <v>878.97132253552604</v>
      </c>
      <c r="F12" s="33">
        <f>$C$32*('E Balans VL '!L8+'E Balans VL '!N8)/100/3.6*1000000</f>
        <v>14339.584805318415</v>
      </c>
      <c r="G12" s="34"/>
      <c r="H12" s="33"/>
      <c r="I12" s="33"/>
      <c r="J12" s="33">
        <f>$C$32*('E Balans VL '!D8+'E Balans VL '!E8)/100/3.6*1000000</f>
        <v>0</v>
      </c>
      <c r="K12" s="33"/>
      <c r="L12" s="33"/>
      <c r="M12" s="33"/>
      <c r="N12" s="33">
        <f>$C$32*'E Balans VL '!Y8/100/3.6*1000000</f>
        <v>5752.3342072583073</v>
      </c>
      <c r="O12" s="33"/>
      <c r="P12" s="33"/>
      <c r="R12" s="32"/>
    </row>
    <row r="13" spans="1:18">
      <c r="A13" s="16" t="s">
        <v>496</v>
      </c>
      <c r="B13" s="249">
        <f ca="1">'lokale energieproductie'!N46+'lokale energieproductie'!N38</f>
        <v>30033</v>
      </c>
      <c r="C13" s="249">
        <f ca="1">'lokale energieproductie'!O46+'lokale energieproductie'!O38</f>
        <v>14663.571428571428</v>
      </c>
      <c r="D13" s="310">
        <f ca="1">('lokale energieproductie'!P38+'lokale energieproductie'!P46)*(-1)</f>
        <v>-29327.142857142855</v>
      </c>
      <c r="E13" s="250"/>
      <c r="F13" s="310">
        <f ca="1">('lokale energieproductie'!S38+'lokale energieproductie'!S46)*(-1)</f>
        <v>0</v>
      </c>
      <c r="G13" s="251"/>
      <c r="H13" s="250"/>
      <c r="I13" s="250"/>
      <c r="J13" s="250"/>
      <c r="K13" s="250"/>
      <c r="L13" s="310">
        <f ca="1">('lokale energieproductie'!U38+'lokale energieproductie'!T38+'lokale energieproductie'!U46+'lokale energieproductie'!T46)*(-1)</f>
        <v>0</v>
      </c>
      <c r="M13" s="250"/>
      <c r="N13" s="310">
        <f ca="1">('lokale energieproductie'!Q38+'lokale energieproductie'!R38+'lokale energieproductie'!V38+'lokale energieproductie'!Q46+'lokale energieproductie'!R46+'lokale energieproductie'!V46)*(-1)</f>
        <v>-56481.428571428572</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1248659.5904149387</v>
      </c>
      <c r="C16" s="21">
        <f t="shared" ca="1" si="1"/>
        <v>14663.571428571428</v>
      </c>
      <c r="D16" s="21">
        <f t="shared" ca="1" si="1"/>
        <v>1724607.1138337648</v>
      </c>
      <c r="E16" s="21">
        <f t="shared" si="1"/>
        <v>12672.719690768407</v>
      </c>
      <c r="F16" s="21">
        <f t="shared" ca="1" si="1"/>
        <v>225597.12945489195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20.323333333333334</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0.20936702219456391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261428.14017985956</v>
      </c>
      <c r="C20" s="23">
        <f t="shared" ref="C20:P20" ca="1" si="2">C16*C18</f>
        <v>3484.75462184874</v>
      </c>
      <c r="D20" s="23">
        <f t="shared" ca="1" si="2"/>
        <v>348370.63699442049</v>
      </c>
      <c r="E20" s="23">
        <f t="shared" si="2"/>
        <v>2876.7073698044283</v>
      </c>
      <c r="F20" s="23">
        <f t="shared" ca="1" si="2"/>
        <v>60234.433564456158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636387.73344863602</v>
      </c>
      <c r="C26" s="39">
        <f>IF(ISERROR(B26*3.6/1000000/'E Balans VL '!Z12*100),0,B26*3.6/1000000/'E Balans VL '!Z12*100)</f>
        <v>13.517190683953423</v>
      </c>
      <c r="D26" s="239" t="s">
        <v>689</v>
      </c>
      <c r="F26" s="6"/>
    </row>
    <row r="27" spans="1:18">
      <c r="A27" s="233" t="s">
        <v>52</v>
      </c>
      <c r="B27" s="33">
        <f>IF(ISERROR(TER_horeca_ele_kWh/1000),0,TER_horeca_ele_kWh/1000)</f>
        <v>94809.360540756199</v>
      </c>
      <c r="C27" s="39">
        <f>IF(ISERROR(B27*3.6/1000000/'E Balans VL '!Z9*100),0,B27*3.6/1000000/'E Balans VL '!Z9*100)</f>
        <v>7.3720051784726612</v>
      </c>
      <c r="D27" s="239" t="s">
        <v>689</v>
      </c>
      <c r="F27" s="6"/>
    </row>
    <row r="28" spans="1:18">
      <c r="A28" s="173" t="s">
        <v>51</v>
      </c>
      <c r="B28" s="33">
        <f>IF(ISERROR(TER_handel_ele_kWh/1000),0,TER_handel_ele_kWh/1000)</f>
        <v>248251.35643469598</v>
      </c>
      <c r="C28" s="39">
        <f>IF(ISERROR(B28*3.6/1000000/'E Balans VL '!Z13*100),0,B28*3.6/1000000/'E Balans VL '!Z13*100)</f>
        <v>7.1027634702166633</v>
      </c>
      <c r="D28" s="239" t="s">
        <v>689</v>
      </c>
      <c r="F28" s="6"/>
    </row>
    <row r="29" spans="1:18">
      <c r="A29" s="233" t="s">
        <v>50</v>
      </c>
      <c r="B29" s="33">
        <f>IF(ISERROR(TER_gezond_ele_kWh/1000),0,TER_gezond_ele_kWh/1000)</f>
        <v>59506.423354205603</v>
      </c>
      <c r="C29" s="39">
        <f>IF(ISERROR(B29*3.6/1000000/'E Balans VL '!Z10*100),0,B29*3.6/1000000/'E Balans VL '!Z10*100)</f>
        <v>6.4875829090498174</v>
      </c>
      <c r="D29" s="239" t="s">
        <v>689</v>
      </c>
      <c r="F29" s="6"/>
    </row>
    <row r="30" spans="1:18">
      <c r="A30" s="233" t="s">
        <v>49</v>
      </c>
      <c r="B30" s="33">
        <f>IF(ISERROR(TER_ander_ele_kWh/1000),0,TER_ander_ele_kWh/1000)</f>
        <v>65223.6962084388</v>
      </c>
      <c r="C30" s="39">
        <f>IF(ISERROR(B30*3.6/1000000/'E Balans VL '!Z14*100),0,B30*3.6/1000000/'E Balans VL '!Z14*100)</f>
        <v>4.7729221320860766</v>
      </c>
      <c r="D30" s="239" t="s">
        <v>689</v>
      </c>
      <c r="F30" s="6"/>
    </row>
    <row r="31" spans="1:18">
      <c r="A31" s="233" t="s">
        <v>54</v>
      </c>
      <c r="B31" s="33">
        <f>IF(ISERROR(TER_onderwijs_ele_kWh/1000),0,TER_onderwijs_ele_kWh/1000)</f>
        <v>41982.451718853699</v>
      </c>
      <c r="C31" s="39">
        <f>IF(ISERROR(B31*3.6/1000000/'E Balans VL '!Z11*100),0,B31*3.6/1000000/'E Balans VL '!Z11*100)</f>
        <v>8.4322066030407559</v>
      </c>
      <c r="D31" s="239" t="s">
        <v>689</v>
      </c>
    </row>
    <row r="32" spans="1:18">
      <c r="A32" s="233" t="s">
        <v>259</v>
      </c>
      <c r="B32" s="33">
        <f>IF(ISERROR(TER_rest_ele_kWh/1000),0,TER_rest_ele_kWh/1000)</f>
        <v>72465.568709352301</v>
      </c>
      <c r="C32" s="39">
        <f>IF(ISERROR(B32*3.6/1000000/'E Balans VL '!Z8*100),0,B32*3.6/1000000/'E Balans VL '!Z8*100)</f>
        <v>0.5905504078620134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381553.61146723654</v>
      </c>
      <c r="C5" s="17">
        <f>IF(ISERROR('Eigen informatie GS &amp; warmtenet'!B59),0,'Eigen informatie GS &amp; warmtenet'!B59)</f>
        <v>0</v>
      </c>
      <c r="D5" s="30">
        <f>SUM(D6:D15)</f>
        <v>329189.50262827286</v>
      </c>
      <c r="E5" s="17">
        <f>SUM(E6:E15)</f>
        <v>38472.349957792983</v>
      </c>
      <c r="F5" s="17">
        <f>SUM(F6:F15)</f>
        <v>280812.39692585188</v>
      </c>
      <c r="G5" s="18"/>
      <c r="H5" s="17"/>
      <c r="I5" s="17"/>
      <c r="J5" s="17">
        <f>SUM(J6:J15)</f>
        <v>178.81611259843098</v>
      </c>
      <c r="K5" s="17"/>
      <c r="L5" s="17"/>
      <c r="M5" s="17"/>
      <c r="N5" s="17">
        <f>SUM(N6:N15)</f>
        <v>49171.857614206405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25.618070953203699</v>
      </c>
      <c r="C7" s="33"/>
      <c r="D7" s="37">
        <f>IF( ISERROR(IND_nonf_gas_kWhh/1000),0,IND_nonf_gas_kWh/1000)*0.902</f>
        <v>0</v>
      </c>
      <c r="E7" s="33">
        <f>C29*'E Balans VL '!I17/100/3.6*1000000</f>
        <v>6.0550620830902924E-3</v>
      </c>
      <c r="F7" s="33">
        <f>C29*'E Balans VL '!L17/100/3.6*1000000+C29*'E Balans VL '!N17/100/3.6*1000000</f>
        <v>5.8211540574292027</v>
      </c>
      <c r="G7" s="34"/>
      <c r="H7" s="33"/>
      <c r="I7" s="33"/>
      <c r="J7" s="40">
        <f>C29*'E Balans VL '!D17/100/3.6*1000000+C29*'E Balans VL '!E17/100/3.6*1000000</f>
        <v>8.1689629857969219</v>
      </c>
      <c r="K7" s="33"/>
      <c r="L7" s="33"/>
      <c r="M7" s="33"/>
      <c r="N7" s="33">
        <f>C29*'E Balans VL '!Y17/100/3.6*1000000</f>
        <v>0</v>
      </c>
      <c r="O7" s="33"/>
      <c r="P7" s="33"/>
      <c r="R7" s="32"/>
    </row>
    <row r="8" spans="1:18">
      <c r="A8" s="6" t="s">
        <v>35</v>
      </c>
      <c r="B8" s="37">
        <f t="shared" si="0"/>
        <v>111883.1135207139</v>
      </c>
      <c r="C8" s="33"/>
      <c r="D8" s="37">
        <f>IF( ISERROR(IND_metaal_Gas_kWH/1000),0,IND_metaal_Gas_kWH/1000)*0.902</f>
        <v>8779.7500205875494</v>
      </c>
      <c r="E8" s="33">
        <f>C30*'E Balans VL '!I18/100/3.6*1000000</f>
        <v>3213.7029780032572</v>
      </c>
      <c r="F8" s="33">
        <f>C30*'E Balans VL '!L18/100/3.6*1000000+C30*'E Balans VL '!N18/100/3.6*1000000</f>
        <v>28695.866796549082</v>
      </c>
      <c r="G8" s="34"/>
      <c r="H8" s="33"/>
      <c r="I8" s="33"/>
      <c r="J8" s="40">
        <f>C30*'E Balans VL '!D18/100/3.6*1000000+C30*'E Balans VL '!E18/100/3.6*1000000</f>
        <v>0</v>
      </c>
      <c r="K8" s="33"/>
      <c r="L8" s="33"/>
      <c r="M8" s="33"/>
      <c r="N8" s="33">
        <f>C30*'E Balans VL '!Y18/100/3.6*1000000</f>
        <v>3037.8549178792573</v>
      </c>
      <c r="O8" s="33"/>
      <c r="P8" s="33"/>
      <c r="R8" s="32"/>
    </row>
    <row r="9" spans="1:18">
      <c r="A9" s="6" t="s">
        <v>32</v>
      </c>
      <c r="B9" s="37">
        <f t="shared" si="0"/>
        <v>82946.831784517606</v>
      </c>
      <c r="C9" s="33"/>
      <c r="D9" s="37">
        <f>IF( ISERROR(IND_andere_gas_kWh/1000),0,IND_andere_gas_kWh/1000)*0.902</f>
        <v>47772.684564586416</v>
      </c>
      <c r="E9" s="33">
        <f>C31*'E Balans VL '!I19/100/3.6*1000000</f>
        <v>22451.667946960981</v>
      </c>
      <c r="F9" s="33">
        <f>C31*'E Balans VL '!L19/100/3.6*1000000+C31*'E Balans VL '!N19/100/3.6*1000000</f>
        <v>55251.367576848337</v>
      </c>
      <c r="G9" s="34"/>
      <c r="H9" s="33"/>
      <c r="I9" s="33"/>
      <c r="J9" s="40">
        <f>C31*'E Balans VL '!D19/100/3.6*1000000+C31*'E Balans VL '!E19/100/3.6*1000000</f>
        <v>0</v>
      </c>
      <c r="K9" s="33"/>
      <c r="L9" s="33"/>
      <c r="M9" s="33"/>
      <c r="N9" s="33">
        <f>C31*'E Balans VL '!Y19/100/3.6*1000000</f>
        <v>7012.6051673653037</v>
      </c>
      <c r="O9" s="33"/>
      <c r="P9" s="33"/>
      <c r="R9" s="32"/>
    </row>
    <row r="10" spans="1:18">
      <c r="A10" s="6" t="s">
        <v>40</v>
      </c>
      <c r="B10" s="37">
        <f t="shared" si="0"/>
        <v>121979.1311401962</v>
      </c>
      <c r="C10" s="33"/>
      <c r="D10" s="37">
        <f>IF( ISERROR(IND_voed_gas_kWh/1000),0,IND_voed_gas_kWh/1000)*0.902</f>
        <v>23282.190750885347</v>
      </c>
      <c r="E10" s="33">
        <f>C32*'E Balans VL '!I20/100/3.6*1000000</f>
        <v>9948.8981755559798</v>
      </c>
      <c r="F10" s="33">
        <f>C32*'E Balans VL '!L20/100/3.6*1000000+C32*'E Balans VL '!N20/100/3.6*1000000</f>
        <v>181881.95144650704</v>
      </c>
      <c r="G10" s="34"/>
      <c r="H10" s="33"/>
      <c r="I10" s="33"/>
      <c r="J10" s="40">
        <f>C32*'E Balans VL '!D20/100/3.6*1000000+C32*'E Balans VL '!E20/100/3.6*1000000</f>
        <v>1.6136358421823069</v>
      </c>
      <c r="K10" s="33"/>
      <c r="L10" s="33"/>
      <c r="M10" s="33"/>
      <c r="N10" s="33">
        <f>C32*'E Balans VL '!Y20/100/3.6*1000000</f>
        <v>35833.164549562163</v>
      </c>
      <c r="O10" s="33"/>
      <c r="P10" s="33"/>
      <c r="R10" s="32"/>
    </row>
    <row r="11" spans="1:18">
      <c r="A11" s="6" t="s">
        <v>39</v>
      </c>
      <c r="B11" s="37">
        <f t="shared" si="0"/>
        <v>1724.3300832350201</v>
      </c>
      <c r="C11" s="33"/>
      <c r="D11" s="37">
        <f>IF( ISERROR(IND_textiel_gas_kWh/1000),0,IND_textiel_gas_kWh/1000)*0.902</f>
        <v>1547.2214289575354</v>
      </c>
      <c r="E11" s="33">
        <f>C33*'E Balans VL '!I21/100/3.6*1000000</f>
        <v>0.34179750179019164</v>
      </c>
      <c r="F11" s="33">
        <f>C33*'E Balans VL '!L21/100/3.6*1000000+C33*'E Balans VL '!N21/100/3.6*1000000</f>
        <v>63.50915737643254</v>
      </c>
      <c r="G11" s="34"/>
      <c r="H11" s="33"/>
      <c r="I11" s="33"/>
      <c r="J11" s="40">
        <f>C33*'E Balans VL '!D21/100/3.6*1000000+C33*'E Balans VL '!E21/100/3.6*1000000</f>
        <v>0</v>
      </c>
      <c r="K11" s="33"/>
      <c r="L11" s="33"/>
      <c r="M11" s="33"/>
      <c r="N11" s="33">
        <f>C33*'E Balans VL '!Y21/100/3.6*1000000</f>
        <v>8.0176995939723756</v>
      </c>
      <c r="O11" s="33"/>
      <c r="P11" s="33"/>
      <c r="R11" s="32"/>
    </row>
    <row r="12" spans="1:18">
      <c r="A12" s="6" t="s">
        <v>36</v>
      </c>
      <c r="B12" s="37">
        <f t="shared" si="0"/>
        <v>7870.3782106245644</v>
      </c>
      <c r="C12" s="33"/>
      <c r="D12" s="37">
        <f>IF( ISERROR(IND_min_gas_kWh/1000),0,IND_min_gas_kWh/1000)*0.902</f>
        <v>0</v>
      </c>
      <c r="E12" s="33">
        <f>C34*'E Balans VL '!I22/100/3.6*1000000</f>
        <v>61.308531378348171</v>
      </c>
      <c r="F12" s="33">
        <f>C34*'E Balans VL '!L22/100/3.6*1000000+C34*'E Balans VL '!N22/100/3.6*1000000</f>
        <v>2968.2230115348016</v>
      </c>
      <c r="G12" s="34"/>
      <c r="H12" s="33"/>
      <c r="I12" s="33"/>
      <c r="J12" s="40">
        <f>C34*'E Balans VL '!D22/100/3.6*1000000+C34*'E Balans VL '!E22/100/3.6*1000000</f>
        <v>43.286392028228136</v>
      </c>
      <c r="K12" s="33"/>
      <c r="L12" s="33"/>
      <c r="M12" s="33"/>
      <c r="N12" s="33">
        <f>C34*'E Balans VL '!Y22/100/3.6*1000000</f>
        <v>0</v>
      </c>
      <c r="O12" s="33"/>
      <c r="P12" s="33"/>
      <c r="R12" s="32"/>
    </row>
    <row r="13" spans="1:18">
      <c r="A13" s="6" t="s">
        <v>38</v>
      </c>
      <c r="B13" s="37">
        <f t="shared" si="0"/>
        <v>5343.9106769223399</v>
      </c>
      <c r="C13" s="33"/>
      <c r="D13" s="37">
        <f>IF( ISERROR(IND_papier_gas_kWh/1000),0,IND_papier_gas_kWh/1000)*0.902</f>
        <v>2595.5393251786368</v>
      </c>
      <c r="E13" s="33">
        <f>C35*'E Balans VL '!I23/100/3.6*1000000</f>
        <v>55.987199757902076</v>
      </c>
      <c r="F13" s="33">
        <f>C35*'E Balans VL '!L23/100/3.6*1000000+C35*'E Balans VL '!N23/100/3.6*1000000</f>
        <v>398.76356189891322</v>
      </c>
      <c r="G13" s="34"/>
      <c r="H13" s="33"/>
      <c r="I13" s="33"/>
      <c r="J13" s="40">
        <f>C35*'E Balans VL '!D23/100/3.6*1000000+C35*'E Balans VL '!E23/100/3.6*1000000</f>
        <v>0</v>
      </c>
      <c r="K13" s="33"/>
      <c r="L13" s="33"/>
      <c r="M13" s="33"/>
      <c r="N13" s="33">
        <f>C35*'E Balans VL '!Y23/100/3.6*1000000</f>
        <v>985.83597128265023</v>
      </c>
      <c r="O13" s="33"/>
      <c r="P13" s="33"/>
      <c r="R13" s="32"/>
    </row>
    <row r="14" spans="1:18">
      <c r="A14" s="6" t="s">
        <v>33</v>
      </c>
      <c r="B14" s="37">
        <f t="shared" si="0"/>
        <v>719.02741278719793</v>
      </c>
      <c r="C14" s="33"/>
      <c r="D14" s="37">
        <f>IF( ISERROR(IND_chemie_gas_kWh/1000),0,IND_chemie_gas_kWh/1000)*0.902</f>
        <v>550.9106301607859</v>
      </c>
      <c r="E14" s="33">
        <f>C36*'E Balans VL '!I24/100/3.6*1000000</f>
        <v>3.3990114296166958</v>
      </c>
      <c r="F14" s="33">
        <f>C36*'E Balans VL '!L24/100/3.6*1000000+C36*'E Balans VL '!N24/100/3.6*1000000</f>
        <v>13.589232155765856</v>
      </c>
      <c r="G14" s="34"/>
      <c r="H14" s="33"/>
      <c r="I14" s="33"/>
      <c r="J14" s="40">
        <f>C36*'E Balans VL '!D24/100/3.6*1000000+C36*'E Balans VL '!E24/100/3.6*1000000</f>
        <v>0</v>
      </c>
      <c r="K14" s="33"/>
      <c r="L14" s="33"/>
      <c r="M14" s="33"/>
      <c r="N14" s="33">
        <f>C36*'E Balans VL '!Y24/100/3.6*1000000</f>
        <v>17.455553090333776</v>
      </c>
      <c r="O14" s="33"/>
      <c r="P14" s="33"/>
      <c r="R14" s="32"/>
    </row>
    <row r="15" spans="1:18">
      <c r="A15" s="6" t="s">
        <v>269</v>
      </c>
      <c r="B15" s="37">
        <f t="shared" si="0"/>
        <v>49061.270567286498</v>
      </c>
      <c r="C15" s="33"/>
      <c r="D15" s="37">
        <f>IF( ISERROR(IND_rest_gas_kWh/1000),0,IND_rest_gas_kWh/1000)*0.902</f>
        <v>244661.20590791659</v>
      </c>
      <c r="E15" s="33">
        <f>C37*'E Balans VL '!I15/100/3.6*1000000</f>
        <v>2737.0382621430272</v>
      </c>
      <c r="F15" s="33">
        <f>C37*'E Balans VL '!L15/100/3.6*1000000+C37*'E Balans VL '!N15/100/3.6*1000000</f>
        <v>11533.304988924125</v>
      </c>
      <c r="G15" s="34"/>
      <c r="H15" s="33"/>
      <c r="I15" s="33"/>
      <c r="J15" s="40">
        <f>C37*'E Balans VL '!D15/100/3.6*1000000+C37*'E Balans VL '!E15/100/3.6*1000000</f>
        <v>125.74712174222361</v>
      </c>
      <c r="K15" s="33"/>
      <c r="L15" s="33"/>
      <c r="M15" s="33"/>
      <c r="N15" s="33">
        <f>C37*'E Balans VL '!Y15/100/3.6*1000000</f>
        <v>2276.923755432731</v>
      </c>
      <c r="O15" s="33"/>
      <c r="P15" s="33"/>
      <c r="R15" s="32"/>
    </row>
    <row r="16" spans="1:18">
      <c r="A16" s="16" t="s">
        <v>496</v>
      </c>
      <c r="B16" s="249">
        <f>'lokale energieproductie'!N45+'lokale energieproductie'!N37</f>
        <v>3627</v>
      </c>
      <c r="C16" s="249">
        <f>'lokale energieproductie'!O45+'lokale energieproductie'!O37</f>
        <v>5181.4285714285716</v>
      </c>
      <c r="D16" s="310">
        <f>('lokale energieproductie'!P37+'lokale energieproductie'!P45)*(-1)</f>
        <v>-10362.857142857143</v>
      </c>
      <c r="E16" s="250"/>
      <c r="F16" s="310">
        <f>('lokale energieproductie'!S37+'lokale energieproductie'!S45)*(-1)</f>
        <v>0</v>
      </c>
      <c r="G16" s="251"/>
      <c r="H16" s="250"/>
      <c r="I16" s="250"/>
      <c r="J16" s="250"/>
      <c r="K16" s="250"/>
      <c r="L16" s="310">
        <f>('lokale energieproductie'!T37+'lokale energieproductie'!U37+'lokale energieproductie'!T45+'lokale energieproductie'!U45)*(-1)</f>
        <v>0</v>
      </c>
      <c r="M16" s="250"/>
      <c r="N16" s="310">
        <f>('lokale energieproductie'!Q37+'lokale energieproductie'!R37+'lokale energieproductie'!V37+'lokale energieproductie'!Q45+'lokale energieproductie'!R45+'lokale energieproductie'!V45)*(-1)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385180.61146723654</v>
      </c>
      <c r="C18" s="21">
        <f>C5+C16</f>
        <v>5181.4285714285716</v>
      </c>
      <c r="D18" s="21">
        <f>MAX((D5+D16),0)</f>
        <v>318826.64548541571</v>
      </c>
      <c r="E18" s="21">
        <f>MAX((E5+E16),0)</f>
        <v>38472.349957792983</v>
      </c>
      <c r="F18" s="21">
        <f>MAX((F5+F16),0)</f>
        <v>280812.39692585188</v>
      </c>
      <c r="G18" s="21"/>
      <c r="H18" s="21"/>
      <c r="I18" s="21"/>
      <c r="J18" s="21">
        <f>MAX((J5+J16),0)</f>
        <v>178.81611259843098</v>
      </c>
      <c r="K18" s="21"/>
      <c r="L18" s="21">
        <f>MAX((L5+L16),0)</f>
        <v>0</v>
      </c>
      <c r="M18" s="21"/>
      <c r="N18" s="21">
        <f>MAX((N5+N16),0)</f>
        <v>49171.857614206405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0.20936702219456391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80644.117629976608</v>
      </c>
      <c r="C22" s="23">
        <f ca="1">C18*C20</f>
        <v>1231.3512605042019</v>
      </c>
      <c r="D22" s="23">
        <f>D18*D20</f>
        <v>64402.982388053977</v>
      </c>
      <c r="E22" s="23">
        <f>E18*E20</f>
        <v>8733.2234404190076</v>
      </c>
      <c r="F22" s="23">
        <f>F18*F20</f>
        <v>74976.90997920245</v>
      </c>
      <c r="G22" s="23"/>
      <c r="H22" s="23"/>
      <c r="I22" s="23"/>
      <c r="J22" s="23">
        <f>J18*J20</f>
        <v>63.30090385984456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25.618070953203699</v>
      </c>
      <c r="C29" s="39">
        <f>IF(ISERROR(B29*3.6/1000000/'E Balans VL '!Z17*100),0,B29*3.6/1000000/'E Balans VL '!Z17*100)</f>
        <v>2.7841279231622603E-2</v>
      </c>
      <c r="D29" s="239" t="s">
        <v>689</v>
      </c>
    </row>
    <row r="30" spans="1:18">
      <c r="A30" s="173" t="s">
        <v>35</v>
      </c>
      <c r="B30" s="37">
        <f>IF( ISERROR(IND_metaal_ele_kWh/1000),0,IND_metaal_ele_kWh/1000)</f>
        <v>111883.1135207139</v>
      </c>
      <c r="C30" s="39">
        <f>IF(ISERROR(B30*3.6/1000000/'E Balans VL '!Z18*100),0,B30*3.6/1000000/'E Balans VL '!Z18*100)</f>
        <v>11.00901276327375</v>
      </c>
      <c r="D30" s="239" t="s">
        <v>689</v>
      </c>
    </row>
    <row r="31" spans="1:18">
      <c r="A31" s="6" t="s">
        <v>32</v>
      </c>
      <c r="B31" s="37">
        <f>IF( ISERROR(IND_ander_ele_kWh/1000),0,IND_ander_ele_kWh/1000)</f>
        <v>82946.831784517606</v>
      </c>
      <c r="C31" s="39">
        <f>IF(ISERROR(B31*3.6/1000000/'E Balans VL '!Z19*100),0,B31*3.6/1000000/'E Balans VL '!Z19*100)</f>
        <v>3.6122683581798056</v>
      </c>
      <c r="D31" s="239" t="s">
        <v>689</v>
      </c>
    </row>
    <row r="32" spans="1:18">
      <c r="A32" s="173" t="s">
        <v>40</v>
      </c>
      <c r="B32" s="37">
        <f>IF( ISERROR(IND_voed_ele_kWh/1000),0,IND_voed_ele_kWh/1000)</f>
        <v>121979.1311401962</v>
      </c>
      <c r="C32" s="39">
        <f>IF(ISERROR(B32*3.6/1000000/'E Balans VL '!Z20*100),0,B32*3.6/1000000/'E Balans VL '!Z20*100)</f>
        <v>23.143781003410663</v>
      </c>
      <c r="D32" s="239" t="s">
        <v>689</v>
      </c>
    </row>
    <row r="33" spans="1:5">
      <c r="A33" s="173" t="s">
        <v>39</v>
      </c>
      <c r="B33" s="37">
        <f>IF( ISERROR(IND_textiel_ele_kWh/1000),0,IND_textiel_ele_kWh/1000)</f>
        <v>1724.3300832350201</v>
      </c>
      <c r="C33" s="39">
        <f>IF(ISERROR(B33*3.6/1000000/'E Balans VL '!Z21*100),0,B33*3.6/1000000/'E Balans VL '!Z21*100)</f>
        <v>9.8450503234533568E-2</v>
      </c>
      <c r="D33" s="239" t="s">
        <v>689</v>
      </c>
    </row>
    <row r="34" spans="1:5">
      <c r="A34" s="173" t="s">
        <v>36</v>
      </c>
      <c r="B34" s="37">
        <f>IF( ISERROR(IND_min_ele_kWh/1000),0,IND_min_ele_kWh/1000)</f>
        <v>7870.3782106245644</v>
      </c>
      <c r="C34" s="39">
        <f>IF(ISERROR(B34*3.6/1000000/'E Balans VL '!Z22*100),0,B34*3.6/1000000/'E Balans VL '!Z22*100)</f>
        <v>1.1066542082884105</v>
      </c>
      <c r="D34" s="239" t="s">
        <v>689</v>
      </c>
    </row>
    <row r="35" spans="1:5">
      <c r="A35" s="173" t="s">
        <v>38</v>
      </c>
      <c r="B35" s="37">
        <f>IF( ISERROR(IND_papier_ele_kWh/1000),0,IND_papier_ele_kWh/1000)</f>
        <v>5343.9106769223399</v>
      </c>
      <c r="C35" s="39">
        <f>IF(ISERROR(B35*3.6/1000000/'E Balans VL '!Z22*100),0,B35*3.6/1000000/'E Balans VL '!Z22*100)</f>
        <v>0.75140750305367765</v>
      </c>
      <c r="D35" s="239" t="s">
        <v>689</v>
      </c>
    </row>
    <row r="36" spans="1:5">
      <c r="A36" s="173" t="s">
        <v>33</v>
      </c>
      <c r="B36" s="37">
        <f>IF( ISERROR(IND_chemie_ele_kWh/1000),0,IND_chemie_ele_kWh/1000)</f>
        <v>719.02741278719793</v>
      </c>
      <c r="C36" s="39">
        <f>IF(ISERROR(B36*3.6/1000000/'E Balans VL '!Z24*100),0,B36*3.6/1000000/'E Balans VL '!Z24*100)</f>
        <v>2.0954583493231801E-2</v>
      </c>
      <c r="D36" s="239" t="s">
        <v>689</v>
      </c>
    </row>
    <row r="37" spans="1:5">
      <c r="A37" s="173" t="s">
        <v>269</v>
      </c>
      <c r="B37" s="37">
        <f>IF( ISERROR(IND_rest_ele_kWh/1000),0,IND_rest_ele_kWh/1000)</f>
        <v>49061.270567286498</v>
      </c>
      <c r="C37" s="39">
        <f>IF(ISERROR(B37*3.6/1000000/'E Balans VL '!Z15*100),0,B37*3.6/1000000/'E Balans VL '!Z15*100)</f>
        <v>0.37807734938243553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22191.765792339946</v>
      </c>
      <c r="C5" s="17">
        <f>'Eigen informatie GS &amp; warmtenet'!B60</f>
        <v>0</v>
      </c>
      <c r="D5" s="30">
        <f>IF(ISERROR(SUM(LB_lb_gas_kWh,LB_rest_gas_kWh)/1000),0,SUM(LB_lb_gas_kWh,LB_rest_gas_kWh)/1000)*0.902</f>
        <v>18719.691347265634</v>
      </c>
      <c r="E5" s="17">
        <f>B17*'E Balans VL '!I25/3.6*1000000/100</f>
        <v>279.64483779051659</v>
      </c>
      <c r="F5" s="17">
        <f>B17*('E Balans VL '!L25/3.6*1000000+'E Balans VL '!N25/3.6*1000000)/100</f>
        <v>76567.151353089765</v>
      </c>
      <c r="G5" s="18"/>
      <c r="H5" s="17"/>
      <c r="I5" s="17"/>
      <c r="J5" s="17">
        <f>('E Balans VL '!D25+'E Balans VL '!E25)/3.6*1000000*landbouw!B17/100</f>
        <v>3337.3893080777357</v>
      </c>
      <c r="K5" s="17"/>
      <c r="L5" s="17">
        <f>L6*(-1)</f>
        <v>0</v>
      </c>
      <c r="M5" s="17"/>
      <c r="N5" s="17">
        <f>N6*(-1)</f>
        <v>0</v>
      </c>
      <c r="O5" s="17"/>
      <c r="P5" s="17"/>
      <c r="R5" s="32"/>
    </row>
    <row r="6" spans="1:18">
      <c r="A6" s="16" t="s">
        <v>496</v>
      </c>
      <c r="B6" s="17" t="s">
        <v>210</v>
      </c>
      <c r="C6" s="17">
        <f>'lokale energieproductie'!O47+'lokale energieproductie'!O39</f>
        <v>0</v>
      </c>
      <c r="D6" s="310">
        <f>('lokale energieproductie'!P39+'lokale energieproductie'!P47)*(-1)</f>
        <v>0</v>
      </c>
      <c r="E6" s="250"/>
      <c r="F6" s="310">
        <f>('lokale energieproductie'!S39+'lokale energieproductie'!S47)*(-1)</f>
        <v>0</v>
      </c>
      <c r="G6" s="251"/>
      <c r="H6" s="250"/>
      <c r="I6" s="250"/>
      <c r="J6" s="250"/>
      <c r="K6" s="250"/>
      <c r="L6" s="310">
        <f>('lokale energieproductie'!T39+'lokale energieproductie'!U39+'lokale energieproductie'!T47+'lokale energieproductie'!U47)*(-1)</f>
        <v>0</v>
      </c>
      <c r="M6" s="250"/>
      <c r="N6" s="1030">
        <f>('lokale energieproductie'!V39+'lokale energieproductie'!R39+'lokale energieproductie'!Q39+'lokale energieproductie'!Q47+'lokale energieproductie'!R47+'lokale energieproductie'!V47)*(-1)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22191.765792339946</v>
      </c>
      <c r="C8" s="21">
        <f>C5+C6</f>
        <v>0</v>
      </c>
      <c r="D8" s="21">
        <f>MAX((D5+D6),0)</f>
        <v>18719.691347265634</v>
      </c>
      <c r="E8" s="21">
        <f>MAX((E5+E6),0)</f>
        <v>279.64483779051659</v>
      </c>
      <c r="F8" s="21">
        <f>MAX((F5+F6),0)</f>
        <v>76567.151353089765</v>
      </c>
      <c r="G8" s="21"/>
      <c r="H8" s="21"/>
      <c r="I8" s="21"/>
      <c r="J8" s="21">
        <f>MAX((J5+J6),0)</f>
        <v>3337.3893080777357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0.20936702219456391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4646.2239211814012</v>
      </c>
      <c r="C12" s="23">
        <f ca="1">C8*C10</f>
        <v>0</v>
      </c>
      <c r="D12" s="23">
        <f>D8*D10</f>
        <v>3781.3776521476584</v>
      </c>
      <c r="E12" s="23">
        <f>E8*E10</f>
        <v>63.47937817844727</v>
      </c>
      <c r="F12" s="23">
        <f>F8*F10</f>
        <v>20443.429411274967</v>
      </c>
      <c r="G12" s="23"/>
      <c r="H12" s="23"/>
      <c r="I12" s="23"/>
      <c r="J12" s="23">
        <f>J8*J10</f>
        <v>1181.4358150595183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3.0950518841737766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76.688549314234052</v>
      </c>
      <c r="C26" s="249">
        <f>B26*'GWP N2O_CH4'!B5</f>
        <v>1610.4595355989152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8.9473009300680939</v>
      </c>
      <c r="C27" s="249">
        <f>B27*'GWP N2O_CH4'!B5</f>
        <v>187.89331953142997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1.04759194987485</v>
      </c>
      <c r="C28" s="249">
        <f>B28*'GWP N2O_CH4'!B4</f>
        <v>324.75350446120353</v>
      </c>
      <c r="D28" s="50"/>
    </row>
    <row r="29" spans="1:4">
      <c r="A29" s="41" t="s">
        <v>276</v>
      </c>
      <c r="B29" s="249">
        <f>B34*'ha_N2O bodem landbouw'!B4</f>
        <v>9.2327674413016556</v>
      </c>
      <c r="C29" s="249">
        <f>B29*'GWP N2O_CH4'!B4</f>
        <v>2862.157906803513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2.3053297737058547E-3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4.3437504408944572E-4</v>
      </c>
      <c r="C5" s="444" t="s">
        <v>210</v>
      </c>
      <c r="D5" s="429">
        <f>SUM(D6:D11)</f>
        <v>7.0378948374646283E-4</v>
      </c>
      <c r="E5" s="429">
        <f>SUM(E6:E11)</f>
        <v>2.8134911507872506E-2</v>
      </c>
      <c r="F5" s="442" t="s">
        <v>210</v>
      </c>
      <c r="G5" s="429">
        <f>SUM(G6:G11)</f>
        <v>8.6014581012065481</v>
      </c>
      <c r="H5" s="429">
        <f>SUM(H6:H11)</f>
        <v>1.3171364961978465</v>
      </c>
      <c r="I5" s="444" t="s">
        <v>210</v>
      </c>
      <c r="J5" s="444" t="s">
        <v>210</v>
      </c>
      <c r="K5" s="444" t="s">
        <v>210</v>
      </c>
      <c r="L5" s="444" t="s">
        <v>210</v>
      </c>
      <c r="M5" s="429">
        <f>SUM(M6:M11)</f>
        <v>0.44840526677854059</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1.3121805055233405E-4</v>
      </c>
      <c r="C6" s="883"/>
      <c r="D6" s="883">
        <f>vkm_GW_PW*SUMIFS(TableVerdeelsleutelVkm[CNG],TableVerdeelsleutelVkm[Voertuigtype],"Lichte voertuigen")*SUMIFS(TableECFTransport[EnergieConsumptieFactor (PJ per km)],TableECFTransport[Index],CONCATENATE($A6,"_CNG_CNG"))</f>
        <v>1.9446124250705593E-4</v>
      </c>
      <c r="E6" s="883">
        <f>vkm_GW_PW*SUMIFS(TableVerdeelsleutelVkm[LPG],TableVerdeelsleutelVkm[Voertuigtype],"Lichte voertuigen")*SUMIFS(TableECFTransport[EnergieConsumptieFactor (PJ per km)],TableECFTransport[Index],CONCATENATE($A6,"_LPG_LPG"))</f>
        <v>6.9648911378434068E-3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1.4017052938195318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0.35808565251841856</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7.961196995391237E-2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0.44967643063559137</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1.0447937439800611E-5</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2.0303592729983871E-2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5.8780322858717608E-5</v>
      </c>
      <c r="C8" s="883"/>
      <c r="D8" s="432">
        <f>vkm_NGW_PW*SUMIFS(TableVerdeelsleutelVkm[CNG],TableVerdeelsleutelVkm[Voertuigtype],"Lichte voertuigen")*SUMIFS(TableECFTransport[EnergieConsumptieFactor (PJ per km)],TableECFTransport[Index],CONCATENATE($A8,"_CNG_CNG"))</f>
        <v>1.4782902670987643E-4</v>
      </c>
      <c r="E8" s="432">
        <f>vkm_NGW_PW*SUMIFS(TableVerdeelsleutelVkm[LPG],TableVerdeelsleutelVkm[Voertuigtype],"Lichte voertuigen")*SUMIFS(TableECFTransport[EnergieConsumptieFactor (PJ per km)],TableECFTransport[Index],CONCATENATE($A8,"_LPG_LPG"))</f>
        <v>5.0064699204719178E-3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0.95710720597356869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0.26157541070583612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5.513847099187693E-2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0.13547906153723915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3.648548486377826E-6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6.1171139231335657E-3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2.4437667067839409E-4</v>
      </c>
      <c r="C10" s="883"/>
      <c r="D10" s="432">
        <f>vkm_SW_PW*SUMIFS(TableVerdeelsleutelVkm[CNG],TableVerdeelsleutelVkm[Voertuigtype],"Lichte voertuigen")*SUMIFS(TableECFTransport[EnergieConsumptieFactor (PJ per km)],TableECFTransport[Index],CONCATENATE($A10,"_CNG_CNG"))</f>
        <v>3.6149921452953047E-4</v>
      </c>
      <c r="E10" s="432">
        <f>vkm_SW_PW*SUMIFS(TableVerdeelsleutelVkm[LPG],TableVerdeelsleutelVkm[Voertuigtype],"Lichte voertuigen")*SUMIFS(TableECFTransport[EnergieConsumptieFactor (PJ per km)],TableECFTransport[Index],CONCATENATE($A10,"_LPG_LPG"))</f>
        <v>1.6163550449557182E-2</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2.9489146600655758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0.69739420846458067</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0.16493751862544165</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2.7085754491750422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6.7128023085080056E-5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0.12229660055419218</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120.65973446929048</v>
      </c>
      <c r="C14" s="21"/>
      <c r="D14" s="21">
        <f t="shared" ref="D14:M14" si="0">((D5)*10^9/3600)+D12</f>
        <v>195.49707881846192</v>
      </c>
      <c r="E14" s="21">
        <f t="shared" si="0"/>
        <v>7815.2531966312517</v>
      </c>
      <c r="F14" s="21"/>
      <c r="G14" s="21">
        <f t="shared" si="0"/>
        <v>2389293.9170018192</v>
      </c>
      <c r="H14" s="21">
        <f t="shared" si="0"/>
        <v>365871.24894384621</v>
      </c>
      <c r="I14" s="21"/>
      <c r="J14" s="21"/>
      <c r="K14" s="21"/>
      <c r="L14" s="21"/>
      <c r="M14" s="21">
        <f t="shared" si="0"/>
        <v>124557.01854959462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0.20936702219456391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25.262169304622127</v>
      </c>
      <c r="C18" s="23"/>
      <c r="D18" s="23">
        <f t="shared" ref="D18:M18" si="1">D14*D16</f>
        <v>39.490409921329309</v>
      </c>
      <c r="E18" s="23">
        <f t="shared" si="1"/>
        <v>1774.0624756352943</v>
      </c>
      <c r="F18" s="23"/>
      <c r="G18" s="23">
        <f t="shared" si="1"/>
        <v>637941.47583948576</v>
      </c>
      <c r="H18" s="23">
        <f t="shared" si="1"/>
        <v>91101.940987017704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0.12358189935711139</v>
      </c>
      <c r="C50" s="321">
        <f t="shared" ref="C50:P50" si="2">SUM(C51:C52)</f>
        <v>0</v>
      </c>
      <c r="D50" s="321">
        <f t="shared" si="2"/>
        <v>0</v>
      </c>
      <c r="E50" s="321">
        <f t="shared" si="2"/>
        <v>0</v>
      </c>
      <c r="F50" s="321">
        <f t="shared" si="2"/>
        <v>0</v>
      </c>
      <c r="G50" s="321">
        <f t="shared" si="2"/>
        <v>0.17709993683995456</v>
      </c>
      <c r="H50" s="321">
        <f t="shared" si="2"/>
        <v>0</v>
      </c>
      <c r="I50" s="321">
        <f t="shared" si="2"/>
        <v>0</v>
      </c>
      <c r="J50" s="321">
        <f t="shared" si="2"/>
        <v>0</v>
      </c>
      <c r="K50" s="321">
        <f t="shared" si="2"/>
        <v>0</v>
      </c>
      <c r="L50" s="321">
        <f t="shared" si="2"/>
        <v>0</v>
      </c>
      <c r="M50" s="321">
        <f t="shared" si="2"/>
        <v>7.8828647021399172E-3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0.17709993683995456</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7.8828647021399172E-3</v>
      </c>
      <c r="N51" s="323"/>
      <c r="O51" s="323"/>
      <c r="P51" s="326"/>
    </row>
    <row r="52" spans="1:18">
      <c r="A52" s="4" t="s">
        <v>329</v>
      </c>
      <c r="B52" s="327">
        <f>vkm_tram*SUMIFS(TableECFTransport[EnergieConsumptieFactor (PJ per km)],TableECFTransport[Index],"Tram_gemiddeld_Electric_Electric")</f>
        <v>0.12358189935711139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34328.30537697539</v>
      </c>
      <c r="C54" s="21">
        <f t="shared" ref="C54:P54" si="3">(C50)*10^9/3600</f>
        <v>0</v>
      </c>
      <c r="D54" s="21">
        <f t="shared" si="3"/>
        <v>0</v>
      </c>
      <c r="E54" s="21">
        <f t="shared" si="3"/>
        <v>0</v>
      </c>
      <c r="F54" s="21">
        <f t="shared" si="3"/>
        <v>0</v>
      </c>
      <c r="G54" s="21">
        <f t="shared" si="3"/>
        <v>49194.426899987375</v>
      </c>
      <c r="H54" s="21">
        <f t="shared" si="3"/>
        <v>0</v>
      </c>
      <c r="I54" s="21">
        <f t="shared" si="3"/>
        <v>0</v>
      </c>
      <c r="J54" s="21">
        <f t="shared" si="3"/>
        <v>0</v>
      </c>
      <c r="K54" s="21">
        <f t="shared" si="3"/>
        <v>0</v>
      </c>
      <c r="L54" s="21">
        <f t="shared" si="3"/>
        <v>0</v>
      </c>
      <c r="M54" s="21">
        <f t="shared" si="3"/>
        <v>2189.6846394833101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0.20936702219456391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7187.2150737629736</v>
      </c>
      <c r="C58" s="23">
        <f t="shared" ref="C58:P58" ca="1" si="4">C54*C56</f>
        <v>0</v>
      </c>
      <c r="D58" s="23">
        <f t="shared" si="4"/>
        <v>0</v>
      </c>
      <c r="E58" s="23">
        <f t="shared" si="4"/>
        <v>0</v>
      </c>
      <c r="F58" s="23">
        <f t="shared" si="4"/>
        <v>0</v>
      </c>
      <c r="G58" s="23">
        <f t="shared" si="4"/>
        <v>13134.91198229663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1276205.0854149389</v>
      </c>
      <c r="D10" s="686">
        <f ca="1">tertiair!C16</f>
        <v>14663.571428571428</v>
      </c>
      <c r="E10" s="686">
        <f ca="1">tertiair!D16</f>
        <v>1724607.1138337648</v>
      </c>
      <c r="F10" s="686">
        <f>tertiair!E16</f>
        <v>12672.719690768407</v>
      </c>
      <c r="G10" s="686">
        <f ca="1">tertiair!F16</f>
        <v>225597.12945489195</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20.323333333333334</v>
      </c>
      <c r="Q10" s="687">
        <f>tertiair!P16</f>
        <v>762.66666666666674</v>
      </c>
      <c r="R10" s="689">
        <f ca="1">SUM(C10:Q10)</f>
        <v>3254528.6098229354</v>
      </c>
      <c r="S10" s="67"/>
    </row>
    <row r="11" spans="1:19" s="454" customFormat="1">
      <c r="A11" s="801" t="s">
        <v>224</v>
      </c>
      <c r="B11" s="806"/>
      <c r="C11" s="686">
        <f>huishoudens!B8</f>
        <v>684070.80041548854</v>
      </c>
      <c r="D11" s="686">
        <f>huishoudens!C8</f>
        <v>0</v>
      </c>
      <c r="E11" s="686">
        <f>huishoudens!D8</f>
        <v>2397817.2064060071</v>
      </c>
      <c r="F11" s="686">
        <f>huishoudens!E8</f>
        <v>43269.367557548845</v>
      </c>
      <c r="G11" s="686">
        <f>huishoudens!F8</f>
        <v>138917.24555160545</v>
      </c>
      <c r="H11" s="686">
        <f>huishoudens!G8</f>
        <v>0</v>
      </c>
      <c r="I11" s="686">
        <f>huishoudens!H8</f>
        <v>0</v>
      </c>
      <c r="J11" s="686">
        <f>huishoudens!I8</f>
        <v>0</v>
      </c>
      <c r="K11" s="686">
        <f>huishoudens!J8</f>
        <v>0</v>
      </c>
      <c r="L11" s="686">
        <f>huishoudens!K8</f>
        <v>0</v>
      </c>
      <c r="M11" s="686">
        <f>huishoudens!L8</f>
        <v>0</v>
      </c>
      <c r="N11" s="686">
        <f>huishoudens!M8</f>
        <v>0</v>
      </c>
      <c r="O11" s="686">
        <f>huishoudens!N8</f>
        <v>141938.7376249856</v>
      </c>
      <c r="P11" s="686">
        <f>huishoudens!O8</f>
        <v>792.61</v>
      </c>
      <c r="Q11" s="687">
        <f>huishoudens!P8</f>
        <v>800.8</v>
      </c>
      <c r="R11" s="689">
        <f>SUM(C11:Q11)</f>
        <v>3407606.767555635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385180.61146723654</v>
      </c>
      <c r="D13" s="686">
        <f>industrie!C18</f>
        <v>5181.4285714285716</v>
      </c>
      <c r="E13" s="686">
        <f>industrie!D18</f>
        <v>318826.64548541571</v>
      </c>
      <c r="F13" s="686">
        <f>industrie!E18</f>
        <v>38472.349957792983</v>
      </c>
      <c r="G13" s="686">
        <f>industrie!F18</f>
        <v>280812.39692585188</v>
      </c>
      <c r="H13" s="686">
        <f>industrie!G18</f>
        <v>0</v>
      </c>
      <c r="I13" s="686">
        <f>industrie!H18</f>
        <v>0</v>
      </c>
      <c r="J13" s="686">
        <f>industrie!I18</f>
        <v>0</v>
      </c>
      <c r="K13" s="686">
        <f>industrie!J18</f>
        <v>178.81611259843098</v>
      </c>
      <c r="L13" s="686">
        <f>industrie!K18</f>
        <v>0</v>
      </c>
      <c r="M13" s="686">
        <f>industrie!L18</f>
        <v>0</v>
      </c>
      <c r="N13" s="686">
        <f>industrie!M18</f>
        <v>0</v>
      </c>
      <c r="O13" s="686">
        <f>industrie!N18</f>
        <v>49171.857614206405</v>
      </c>
      <c r="P13" s="686">
        <f>industrie!O18</f>
        <v>0</v>
      </c>
      <c r="Q13" s="687">
        <f>industrie!P18</f>
        <v>0</v>
      </c>
      <c r="R13" s="689">
        <f>SUM(C13:Q13)</f>
        <v>1077824.1061345306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2345456.4972976642</v>
      </c>
      <c r="D16" s="721">
        <f t="shared" ref="D16:R16" ca="1" si="0">SUM(D9:D15)</f>
        <v>19845</v>
      </c>
      <c r="E16" s="721">
        <f t="shared" ca="1" si="0"/>
        <v>4441250.9657251881</v>
      </c>
      <c r="F16" s="721">
        <f t="shared" si="0"/>
        <v>94414.437206110233</v>
      </c>
      <c r="G16" s="721">
        <f t="shared" ca="1" si="0"/>
        <v>645326.77193234931</v>
      </c>
      <c r="H16" s="721">
        <f t="shared" si="0"/>
        <v>0</v>
      </c>
      <c r="I16" s="721">
        <f t="shared" si="0"/>
        <v>0</v>
      </c>
      <c r="J16" s="721">
        <f t="shared" si="0"/>
        <v>0</v>
      </c>
      <c r="K16" s="721">
        <f t="shared" si="0"/>
        <v>178.81611259843098</v>
      </c>
      <c r="L16" s="721">
        <f t="shared" si="0"/>
        <v>0</v>
      </c>
      <c r="M16" s="721">
        <f t="shared" ca="1" si="0"/>
        <v>0</v>
      </c>
      <c r="N16" s="721">
        <f t="shared" si="0"/>
        <v>0</v>
      </c>
      <c r="O16" s="721">
        <f t="shared" ca="1" si="0"/>
        <v>191110.59523919201</v>
      </c>
      <c r="P16" s="721">
        <f t="shared" si="0"/>
        <v>812.93333333333339</v>
      </c>
      <c r="Q16" s="721">
        <f t="shared" si="0"/>
        <v>1563.4666666666667</v>
      </c>
      <c r="R16" s="721">
        <f t="shared" ca="1" si="0"/>
        <v>7739959.4835131001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34328.30537697539</v>
      </c>
      <c r="D19" s="686">
        <f>transport!C54</f>
        <v>0</v>
      </c>
      <c r="E19" s="686">
        <f>transport!D54</f>
        <v>0</v>
      </c>
      <c r="F19" s="686">
        <f>transport!E54</f>
        <v>0</v>
      </c>
      <c r="G19" s="686">
        <f>transport!F54</f>
        <v>0</v>
      </c>
      <c r="H19" s="686">
        <f>transport!G54</f>
        <v>49194.426899987375</v>
      </c>
      <c r="I19" s="686">
        <f>transport!H54</f>
        <v>0</v>
      </c>
      <c r="J19" s="686">
        <f>transport!I54</f>
        <v>0</v>
      </c>
      <c r="K19" s="686">
        <f>transport!J54</f>
        <v>0</v>
      </c>
      <c r="L19" s="686">
        <f>transport!K54</f>
        <v>0</v>
      </c>
      <c r="M19" s="686">
        <f>transport!L54</f>
        <v>0</v>
      </c>
      <c r="N19" s="686">
        <f>transport!M54</f>
        <v>2189.6846394833101</v>
      </c>
      <c r="O19" s="686">
        <f>transport!N54</f>
        <v>0</v>
      </c>
      <c r="P19" s="686">
        <f>transport!O54</f>
        <v>0</v>
      </c>
      <c r="Q19" s="687">
        <f>transport!P54</f>
        <v>0</v>
      </c>
      <c r="R19" s="689">
        <f>SUM(C19:Q19)</f>
        <v>85712.416916446076</v>
      </c>
      <c r="S19" s="67"/>
    </row>
    <row r="20" spans="1:19" s="454" customFormat="1">
      <c r="A20" s="801" t="s">
        <v>306</v>
      </c>
      <c r="B20" s="806"/>
      <c r="C20" s="686">
        <f>transport!B14</f>
        <v>120.65973446929048</v>
      </c>
      <c r="D20" s="686">
        <f>transport!C14</f>
        <v>0</v>
      </c>
      <c r="E20" s="686">
        <f>transport!D14</f>
        <v>195.49707881846192</v>
      </c>
      <c r="F20" s="686">
        <f>transport!E14</f>
        <v>7815.2531966312517</v>
      </c>
      <c r="G20" s="686">
        <f>transport!F14</f>
        <v>0</v>
      </c>
      <c r="H20" s="686">
        <f>transport!G14</f>
        <v>2389293.9170018192</v>
      </c>
      <c r="I20" s="686">
        <f>transport!H14</f>
        <v>365871.24894384621</v>
      </c>
      <c r="J20" s="686">
        <f>transport!I14</f>
        <v>0</v>
      </c>
      <c r="K20" s="686">
        <f>transport!J14</f>
        <v>0</v>
      </c>
      <c r="L20" s="686">
        <f>transport!K14</f>
        <v>0</v>
      </c>
      <c r="M20" s="686">
        <f>transport!L14</f>
        <v>0</v>
      </c>
      <c r="N20" s="686">
        <f>transport!M14</f>
        <v>124557.01854959462</v>
      </c>
      <c r="O20" s="686">
        <f>transport!N14</f>
        <v>0</v>
      </c>
      <c r="P20" s="686">
        <f>transport!O14</f>
        <v>0</v>
      </c>
      <c r="Q20" s="687">
        <f>transport!P14</f>
        <v>0</v>
      </c>
      <c r="R20" s="689">
        <f>SUM(C20:Q20)</f>
        <v>2887853.5945051792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34448.965111444682</v>
      </c>
      <c r="D22" s="804">
        <f t="shared" ref="D22:R22" si="1">SUM(D18:D21)</f>
        <v>0</v>
      </c>
      <c r="E22" s="804">
        <f t="shared" si="1"/>
        <v>195.49707881846192</v>
      </c>
      <c r="F22" s="804">
        <f t="shared" si="1"/>
        <v>7815.2531966312517</v>
      </c>
      <c r="G22" s="804">
        <f t="shared" si="1"/>
        <v>0</v>
      </c>
      <c r="H22" s="804">
        <f t="shared" si="1"/>
        <v>2438488.3439018065</v>
      </c>
      <c r="I22" s="804">
        <f t="shared" si="1"/>
        <v>365871.24894384621</v>
      </c>
      <c r="J22" s="804">
        <f t="shared" si="1"/>
        <v>0</v>
      </c>
      <c r="K22" s="804">
        <f t="shared" si="1"/>
        <v>0</v>
      </c>
      <c r="L22" s="804">
        <f t="shared" si="1"/>
        <v>0</v>
      </c>
      <c r="M22" s="804">
        <f t="shared" si="1"/>
        <v>0</v>
      </c>
      <c r="N22" s="804">
        <f t="shared" si="1"/>
        <v>126746.70318907793</v>
      </c>
      <c r="O22" s="804">
        <f t="shared" si="1"/>
        <v>0</v>
      </c>
      <c r="P22" s="804">
        <f t="shared" si="1"/>
        <v>0</v>
      </c>
      <c r="Q22" s="804">
        <f t="shared" si="1"/>
        <v>0</v>
      </c>
      <c r="R22" s="804">
        <f t="shared" si="1"/>
        <v>2973566.0114216255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22191.765792339946</v>
      </c>
      <c r="D24" s="686">
        <f>+landbouw!C8</f>
        <v>0</v>
      </c>
      <c r="E24" s="686">
        <f>+landbouw!D8</f>
        <v>18719.691347265634</v>
      </c>
      <c r="F24" s="686">
        <f>+landbouw!E8</f>
        <v>279.64483779051659</v>
      </c>
      <c r="G24" s="686">
        <f>+landbouw!F8</f>
        <v>76567.151353089765</v>
      </c>
      <c r="H24" s="686">
        <f>+landbouw!G8</f>
        <v>0</v>
      </c>
      <c r="I24" s="686">
        <f>+landbouw!H8</f>
        <v>0</v>
      </c>
      <c r="J24" s="686">
        <f>+landbouw!I8</f>
        <v>0</v>
      </c>
      <c r="K24" s="686">
        <f>+landbouw!J8</f>
        <v>3337.3893080777357</v>
      </c>
      <c r="L24" s="686">
        <f>+landbouw!K8</f>
        <v>0</v>
      </c>
      <c r="M24" s="686">
        <f>+landbouw!L8</f>
        <v>0</v>
      </c>
      <c r="N24" s="686">
        <f>+landbouw!M8</f>
        <v>0</v>
      </c>
      <c r="O24" s="686">
        <f>+landbouw!N8</f>
        <v>0</v>
      </c>
      <c r="P24" s="686">
        <f>+landbouw!O8</f>
        <v>0</v>
      </c>
      <c r="Q24" s="687">
        <f>+landbouw!P8</f>
        <v>0</v>
      </c>
      <c r="R24" s="689">
        <f>SUM(C24:Q24)</f>
        <v>121095.6426385636</v>
      </c>
      <c r="S24" s="67"/>
    </row>
    <row r="25" spans="1:19" s="454" customFormat="1" ht="15" thickBot="1">
      <c r="A25" s="823" t="s">
        <v>856</v>
      </c>
      <c r="B25" s="991"/>
      <c r="C25" s="992">
        <f>IF(Onbekend_ele_kWh="---",0,Onbekend_ele_kWh)/1000+IF(REST_rest_ele_kWh="---",0,REST_rest_ele_kWh)/1000</f>
        <v>43761.820908209505</v>
      </c>
      <c r="D25" s="992"/>
      <c r="E25" s="992">
        <f>IF(onbekend_gas_kWh="---",0,onbekend_gas_kWh)/1000+IF(REST_rest_gas_kWh="---",0,REST_rest_gas_kWh)/1000</f>
        <v>168132.10109293196</v>
      </c>
      <c r="F25" s="992"/>
      <c r="G25" s="992"/>
      <c r="H25" s="992"/>
      <c r="I25" s="992"/>
      <c r="J25" s="992"/>
      <c r="K25" s="992"/>
      <c r="L25" s="992"/>
      <c r="M25" s="992"/>
      <c r="N25" s="992"/>
      <c r="O25" s="992"/>
      <c r="P25" s="992"/>
      <c r="Q25" s="993"/>
      <c r="R25" s="689">
        <f>SUM(C25:Q25)</f>
        <v>211893.92200114147</v>
      </c>
      <c r="S25" s="67"/>
    </row>
    <row r="26" spans="1:19" s="454" customFormat="1" ht="15.75" thickBot="1">
      <c r="A26" s="694" t="s">
        <v>857</v>
      </c>
      <c r="B26" s="809"/>
      <c r="C26" s="804">
        <f>SUM(C24:C25)</f>
        <v>65953.586700549451</v>
      </c>
      <c r="D26" s="804">
        <f t="shared" ref="D26:R26" si="2">SUM(D24:D25)</f>
        <v>0</v>
      </c>
      <c r="E26" s="804">
        <f t="shared" si="2"/>
        <v>186851.79244019761</v>
      </c>
      <c r="F26" s="804">
        <f t="shared" si="2"/>
        <v>279.64483779051659</v>
      </c>
      <c r="G26" s="804">
        <f t="shared" si="2"/>
        <v>76567.151353089765</v>
      </c>
      <c r="H26" s="804">
        <f t="shared" si="2"/>
        <v>0</v>
      </c>
      <c r="I26" s="804">
        <f t="shared" si="2"/>
        <v>0</v>
      </c>
      <c r="J26" s="804">
        <f t="shared" si="2"/>
        <v>0</v>
      </c>
      <c r="K26" s="804">
        <f t="shared" si="2"/>
        <v>3337.3893080777357</v>
      </c>
      <c r="L26" s="804">
        <f t="shared" si="2"/>
        <v>0</v>
      </c>
      <c r="M26" s="804">
        <f t="shared" si="2"/>
        <v>0</v>
      </c>
      <c r="N26" s="804">
        <f t="shared" si="2"/>
        <v>0</v>
      </c>
      <c r="O26" s="804">
        <f t="shared" si="2"/>
        <v>0</v>
      </c>
      <c r="P26" s="804">
        <f t="shared" si="2"/>
        <v>0</v>
      </c>
      <c r="Q26" s="804">
        <f t="shared" si="2"/>
        <v>0</v>
      </c>
      <c r="R26" s="804">
        <f t="shared" si="2"/>
        <v>332989.56463970506</v>
      </c>
      <c r="S26" s="67"/>
    </row>
    <row r="27" spans="1:19" s="454" customFormat="1" ht="17.25" thickTop="1" thickBot="1">
      <c r="A27" s="695" t="s">
        <v>115</v>
      </c>
      <c r="B27" s="796"/>
      <c r="C27" s="696">
        <f ca="1">C22+C16+C26</f>
        <v>2445859.0491096582</v>
      </c>
      <c r="D27" s="696">
        <f t="shared" ref="D27:R27" ca="1" si="3">D22+D16+D26</f>
        <v>19845</v>
      </c>
      <c r="E27" s="696">
        <f t="shared" ca="1" si="3"/>
        <v>4628298.2552442038</v>
      </c>
      <c r="F27" s="696">
        <f t="shared" si="3"/>
        <v>102509.335240532</v>
      </c>
      <c r="G27" s="696">
        <f t="shared" ca="1" si="3"/>
        <v>721893.92328543903</v>
      </c>
      <c r="H27" s="696">
        <f t="shared" si="3"/>
        <v>2438488.3439018065</v>
      </c>
      <c r="I27" s="696">
        <f t="shared" si="3"/>
        <v>365871.24894384621</v>
      </c>
      <c r="J27" s="696">
        <f t="shared" si="3"/>
        <v>0</v>
      </c>
      <c r="K27" s="696">
        <f t="shared" si="3"/>
        <v>3516.2054206761668</v>
      </c>
      <c r="L27" s="696">
        <f t="shared" si="3"/>
        <v>0</v>
      </c>
      <c r="M27" s="696">
        <f t="shared" ca="1" si="3"/>
        <v>0</v>
      </c>
      <c r="N27" s="696">
        <f t="shared" si="3"/>
        <v>126746.70318907793</v>
      </c>
      <c r="O27" s="696">
        <f t="shared" ca="1" si="3"/>
        <v>191110.59523919201</v>
      </c>
      <c r="P27" s="696">
        <f t="shared" si="3"/>
        <v>812.93333333333339</v>
      </c>
      <c r="Q27" s="696">
        <f t="shared" si="3"/>
        <v>1563.4666666666667</v>
      </c>
      <c r="R27" s="696">
        <f t="shared" ca="1" si="3"/>
        <v>11046515.059574431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267195.25844288483</v>
      </c>
      <c r="D40" s="686">
        <f ca="1">tertiair!C20</f>
        <v>3484.75462184874</v>
      </c>
      <c r="E40" s="686">
        <f ca="1">tertiair!D20</f>
        <v>348370.63699442049</v>
      </c>
      <c r="F40" s="686">
        <f>tertiair!E20</f>
        <v>2876.7073698044283</v>
      </c>
      <c r="G40" s="686">
        <f ca="1">tertiair!F20</f>
        <v>60234.433564456158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682161.79099341459</v>
      </c>
    </row>
    <row r="41" spans="1:18">
      <c r="A41" s="814" t="s">
        <v>224</v>
      </c>
      <c r="B41" s="821"/>
      <c r="C41" s="686">
        <f ca="1">huishoudens!B12</f>
        <v>143221.86645324269</v>
      </c>
      <c r="D41" s="686">
        <f ca="1">huishoudens!C12</f>
        <v>0</v>
      </c>
      <c r="E41" s="686">
        <f>huishoudens!D12</f>
        <v>484359.07569401345</v>
      </c>
      <c r="F41" s="686">
        <f>huishoudens!E12</f>
        <v>9822.146435563589</v>
      </c>
      <c r="G41" s="686">
        <f>huishoudens!F12</f>
        <v>37090.904562278658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674493.99314509833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80644.117629976608</v>
      </c>
      <c r="D43" s="686">
        <f ca="1">industrie!C22</f>
        <v>1231.3512605042019</v>
      </c>
      <c r="E43" s="686">
        <f>industrie!D22</f>
        <v>64402.982388053977</v>
      </c>
      <c r="F43" s="686">
        <f>industrie!E22</f>
        <v>8733.2234404190076</v>
      </c>
      <c r="G43" s="686">
        <f>industrie!F22</f>
        <v>74976.90997920245</v>
      </c>
      <c r="H43" s="686">
        <f>industrie!G22</f>
        <v>0</v>
      </c>
      <c r="I43" s="686">
        <f>industrie!H22</f>
        <v>0</v>
      </c>
      <c r="J43" s="686">
        <f>industrie!I22</f>
        <v>0</v>
      </c>
      <c r="K43" s="686">
        <f>industrie!J22</f>
        <v>63.30090385984456</v>
      </c>
      <c r="L43" s="686">
        <f>industrie!K22</f>
        <v>0</v>
      </c>
      <c r="M43" s="686">
        <f>industrie!L22</f>
        <v>0</v>
      </c>
      <c r="N43" s="686">
        <f>industrie!M22</f>
        <v>0</v>
      </c>
      <c r="O43" s="686">
        <f>industrie!N22</f>
        <v>0</v>
      </c>
      <c r="P43" s="686">
        <f>industrie!O22</f>
        <v>0</v>
      </c>
      <c r="Q43" s="763">
        <f>industrie!P22</f>
        <v>0</v>
      </c>
      <c r="R43" s="841">
        <f t="shared" ca="1" si="4"/>
        <v>230051.88560201606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491061.24252610409</v>
      </c>
      <c r="D46" s="721">
        <f t="shared" ref="D46:Q46" ca="1" si="5">SUM(D39:D45)</f>
        <v>4716.105882352942</v>
      </c>
      <c r="E46" s="721">
        <f t="shared" ca="1" si="5"/>
        <v>897132.69507648796</v>
      </c>
      <c r="F46" s="721">
        <f t="shared" si="5"/>
        <v>21432.077245787026</v>
      </c>
      <c r="G46" s="721">
        <f t="shared" ca="1" si="5"/>
        <v>172302.24810593727</v>
      </c>
      <c r="H46" s="721">
        <f t="shared" si="5"/>
        <v>0</v>
      </c>
      <c r="I46" s="721">
        <f t="shared" si="5"/>
        <v>0</v>
      </c>
      <c r="J46" s="721">
        <f t="shared" si="5"/>
        <v>0</v>
      </c>
      <c r="K46" s="721">
        <f t="shared" si="5"/>
        <v>63.30090385984456</v>
      </c>
      <c r="L46" s="721">
        <f t="shared" si="5"/>
        <v>0</v>
      </c>
      <c r="M46" s="721">
        <f t="shared" ca="1" si="5"/>
        <v>0</v>
      </c>
      <c r="N46" s="721">
        <f t="shared" si="5"/>
        <v>0</v>
      </c>
      <c r="O46" s="721">
        <f t="shared" ca="1" si="5"/>
        <v>0</v>
      </c>
      <c r="P46" s="721">
        <f t="shared" si="5"/>
        <v>0</v>
      </c>
      <c r="Q46" s="721">
        <f t="shared" si="5"/>
        <v>0</v>
      </c>
      <c r="R46" s="721">
        <f ca="1">SUM(R39:R45)</f>
        <v>1586707.6697405288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7187.2150737629736</v>
      </c>
      <c r="D49" s="686">
        <f ca="1">transport!C58</f>
        <v>0</v>
      </c>
      <c r="E49" s="686">
        <f>transport!D58</f>
        <v>0</v>
      </c>
      <c r="F49" s="686">
        <f>transport!E58</f>
        <v>0</v>
      </c>
      <c r="G49" s="686">
        <f>transport!F58</f>
        <v>0</v>
      </c>
      <c r="H49" s="686">
        <f>transport!G58</f>
        <v>13134.91198229663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20322.127056059602</v>
      </c>
    </row>
    <row r="50" spans="1:18">
      <c r="A50" s="817" t="s">
        <v>306</v>
      </c>
      <c r="B50" s="827"/>
      <c r="C50" s="692">
        <f ca="1">transport!B18</f>
        <v>25.262169304622127</v>
      </c>
      <c r="D50" s="692">
        <f>transport!C18</f>
        <v>0</v>
      </c>
      <c r="E50" s="692">
        <f>transport!D18</f>
        <v>39.490409921329309</v>
      </c>
      <c r="F50" s="692">
        <f>transport!E18</f>
        <v>1774.0624756352943</v>
      </c>
      <c r="G50" s="692">
        <f>transport!F18</f>
        <v>0</v>
      </c>
      <c r="H50" s="692">
        <f>transport!G18</f>
        <v>637941.47583948576</v>
      </c>
      <c r="I50" s="692">
        <f>transport!H18</f>
        <v>91101.940987017704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730882.23188136471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7212.4772430675957</v>
      </c>
      <c r="D52" s="721">
        <f t="shared" ref="D52:Q52" ca="1" si="6">SUM(D48:D51)</f>
        <v>0</v>
      </c>
      <c r="E52" s="721">
        <f t="shared" si="6"/>
        <v>39.490409921329309</v>
      </c>
      <c r="F52" s="721">
        <f t="shared" si="6"/>
        <v>1774.0624756352943</v>
      </c>
      <c r="G52" s="721">
        <f t="shared" si="6"/>
        <v>0</v>
      </c>
      <c r="H52" s="721">
        <f t="shared" si="6"/>
        <v>651076.38782178238</v>
      </c>
      <c r="I52" s="721">
        <f t="shared" si="6"/>
        <v>91101.940987017704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751204.35893742437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4646.2239211814012</v>
      </c>
      <c r="D54" s="692">
        <f ca="1">+landbouw!C12</f>
        <v>0</v>
      </c>
      <c r="E54" s="692">
        <f>+landbouw!D12</f>
        <v>3781.3776521476584</v>
      </c>
      <c r="F54" s="692">
        <f>+landbouw!E12</f>
        <v>63.47937817844727</v>
      </c>
      <c r="G54" s="692">
        <f>+landbouw!F12</f>
        <v>20443.429411274967</v>
      </c>
      <c r="H54" s="692">
        <f>+landbouw!G12</f>
        <v>0</v>
      </c>
      <c r="I54" s="692">
        <f>+landbouw!H12</f>
        <v>0</v>
      </c>
      <c r="J54" s="692">
        <f>+landbouw!I12</f>
        <v>0</v>
      </c>
      <c r="K54" s="692">
        <f>+landbouw!J12</f>
        <v>1181.4358150595183</v>
      </c>
      <c r="L54" s="692">
        <f>+landbouw!K12</f>
        <v>0</v>
      </c>
      <c r="M54" s="692">
        <f>+landbouw!L12</f>
        <v>0</v>
      </c>
      <c r="N54" s="692">
        <f>+landbouw!M12</f>
        <v>0</v>
      </c>
      <c r="O54" s="692">
        <f>+landbouw!N12</f>
        <v>0</v>
      </c>
      <c r="P54" s="692">
        <f>+landbouw!O12</f>
        <v>0</v>
      </c>
      <c r="Q54" s="693">
        <f>+landbouw!P12</f>
        <v>0</v>
      </c>
      <c r="R54" s="720">
        <f ca="1">SUM(C54:Q54)</f>
        <v>30115.94617784199</v>
      </c>
    </row>
    <row r="55" spans="1:18" ht="15" thickBot="1">
      <c r="A55" s="817" t="s">
        <v>856</v>
      </c>
      <c r="B55" s="827"/>
      <c r="C55" s="692">
        <f ca="1">C25*'EF ele_warmte'!B12</f>
        <v>9162.2821293636298</v>
      </c>
      <c r="D55" s="692"/>
      <c r="E55" s="692">
        <f>E25*EF_CO2_aardgas</f>
        <v>33962.684420772261</v>
      </c>
      <c r="F55" s="692"/>
      <c r="G55" s="692"/>
      <c r="H55" s="692"/>
      <c r="I55" s="692"/>
      <c r="J55" s="692"/>
      <c r="K55" s="692"/>
      <c r="L55" s="692"/>
      <c r="M55" s="692"/>
      <c r="N55" s="692"/>
      <c r="O55" s="692"/>
      <c r="P55" s="692"/>
      <c r="Q55" s="693"/>
      <c r="R55" s="720">
        <f ca="1">SUM(C55:Q55)</f>
        <v>43124.96655013589</v>
      </c>
    </row>
    <row r="56" spans="1:18" ht="15.75" thickBot="1">
      <c r="A56" s="815" t="s">
        <v>857</v>
      </c>
      <c r="B56" s="828"/>
      <c r="C56" s="721">
        <f ca="1">SUM(C54:C55)</f>
        <v>13808.506050545031</v>
      </c>
      <c r="D56" s="721">
        <f t="shared" ref="D56:Q56" ca="1" si="7">SUM(D54:D55)</f>
        <v>0</v>
      </c>
      <c r="E56" s="721">
        <f t="shared" si="7"/>
        <v>37744.062072919922</v>
      </c>
      <c r="F56" s="721">
        <f t="shared" si="7"/>
        <v>63.47937817844727</v>
      </c>
      <c r="G56" s="721">
        <f t="shared" si="7"/>
        <v>20443.429411274967</v>
      </c>
      <c r="H56" s="721">
        <f t="shared" si="7"/>
        <v>0</v>
      </c>
      <c r="I56" s="721">
        <f t="shared" si="7"/>
        <v>0</v>
      </c>
      <c r="J56" s="721">
        <f t="shared" si="7"/>
        <v>0</v>
      </c>
      <c r="K56" s="721">
        <f t="shared" si="7"/>
        <v>1181.4358150595183</v>
      </c>
      <c r="L56" s="721">
        <f t="shared" si="7"/>
        <v>0</v>
      </c>
      <c r="M56" s="721">
        <f t="shared" si="7"/>
        <v>0</v>
      </c>
      <c r="N56" s="721">
        <f t="shared" si="7"/>
        <v>0</v>
      </c>
      <c r="O56" s="721">
        <f t="shared" si="7"/>
        <v>0</v>
      </c>
      <c r="P56" s="721">
        <f t="shared" si="7"/>
        <v>0</v>
      </c>
      <c r="Q56" s="722">
        <f t="shared" si="7"/>
        <v>0</v>
      </c>
      <c r="R56" s="723">
        <f ca="1">SUM(R54:R55)</f>
        <v>73240.912727977877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512082.2258197167</v>
      </c>
      <c r="D61" s="729">
        <f t="shared" ref="D61:Q61" ca="1" si="8">D46+D52+D56</f>
        <v>4716.105882352942</v>
      </c>
      <c r="E61" s="729">
        <f t="shared" ca="1" si="8"/>
        <v>934916.24755932915</v>
      </c>
      <c r="F61" s="729">
        <f t="shared" si="8"/>
        <v>23269.619099600768</v>
      </c>
      <c r="G61" s="729">
        <f t="shared" ca="1" si="8"/>
        <v>192745.67751721223</v>
      </c>
      <c r="H61" s="729">
        <f t="shared" si="8"/>
        <v>651076.38782178238</v>
      </c>
      <c r="I61" s="729">
        <f t="shared" si="8"/>
        <v>91101.940987017704</v>
      </c>
      <c r="J61" s="729">
        <f t="shared" si="8"/>
        <v>0</v>
      </c>
      <c r="K61" s="729">
        <f t="shared" si="8"/>
        <v>1244.7367189193628</v>
      </c>
      <c r="L61" s="729">
        <f t="shared" si="8"/>
        <v>0</v>
      </c>
      <c r="M61" s="729">
        <f t="shared" ca="1" si="8"/>
        <v>0</v>
      </c>
      <c r="N61" s="729">
        <f t="shared" si="8"/>
        <v>0</v>
      </c>
      <c r="O61" s="729">
        <f t="shared" ca="1" si="8"/>
        <v>0</v>
      </c>
      <c r="P61" s="729">
        <f t="shared" si="8"/>
        <v>0</v>
      </c>
      <c r="Q61" s="729">
        <f t="shared" si="8"/>
        <v>0</v>
      </c>
      <c r="R61" s="729">
        <f ca="1">R46+R52+R56</f>
        <v>2411152.9414059315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0.20936702219456388</v>
      </c>
      <c r="D63" s="772">
        <f t="shared" ca="1" si="9"/>
        <v>0.23764705882352946</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55940.698409999997</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54082.098654094087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13891.5</v>
      </c>
      <c r="D76" s="1008">
        <f>'lokale energieproductie'!C8</f>
        <v>16342.941176470587</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3301.274117647059</v>
      </c>
      <c r="R76" s="844">
        <v>0</v>
      </c>
    </row>
    <row r="77" spans="1:18" ht="30.75" thickBot="1">
      <c r="A77" s="742" t="s">
        <v>352</v>
      </c>
      <c r="B77" s="739">
        <f>'lokale energieproductie'!B9*IFERROR(SUM(I77:O77)/SUM(D77:O77),0)</f>
        <v>19768.5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56481.428571428572</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129791.29706409408</v>
      </c>
      <c r="C78" s="744">
        <f>SUM(C72:C77)</f>
        <v>13891.5</v>
      </c>
      <c r="D78" s="745">
        <f t="shared" ref="D78:H78" si="10">SUM(D76:D77)</f>
        <v>16342.941176470587</v>
      </c>
      <c r="E78" s="745">
        <f t="shared" si="10"/>
        <v>0</v>
      </c>
      <c r="F78" s="745">
        <f t="shared" si="10"/>
        <v>0</v>
      </c>
      <c r="G78" s="745">
        <f t="shared" si="10"/>
        <v>0</v>
      </c>
      <c r="H78" s="745">
        <f t="shared" si="10"/>
        <v>0</v>
      </c>
      <c r="I78" s="745">
        <f>SUM(I76:I77)</f>
        <v>0</v>
      </c>
      <c r="J78" s="745">
        <f>SUM(J76:J77)</f>
        <v>56481.428571428572</v>
      </c>
      <c r="K78" s="745">
        <f t="shared" ref="K78:L78" si="11">SUM(K76:K77)</f>
        <v>0</v>
      </c>
      <c r="L78" s="745">
        <f t="shared" si="11"/>
        <v>0</v>
      </c>
      <c r="M78" s="745">
        <f>SUM(M76:M77)</f>
        <v>0</v>
      </c>
      <c r="N78" s="745">
        <f>SUM(N76:N77)</f>
        <v>0</v>
      </c>
      <c r="O78" s="852">
        <f>SUM(O76:O77)</f>
        <v>0</v>
      </c>
      <c r="P78" s="746">
        <v>0</v>
      </c>
      <c r="Q78" s="746">
        <f>SUM(Q76:Q77)</f>
        <v>3301.274117647059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19845</v>
      </c>
      <c r="D87" s="766">
        <f>'lokale energieproductie'!C17</f>
        <v>23347.058823529413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4716.105882352942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19845</v>
      </c>
      <c r="D90" s="744">
        <f t="shared" ref="D90:H90" si="12">SUM(D87:D89)</f>
        <v>23347.058823529413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4716.105882352942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67"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55940.698409999997</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54082.098654094087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N36</f>
        <v>13891.5</v>
      </c>
      <c r="C8" s="556">
        <f>B56</f>
        <v>16342.941176470587</v>
      </c>
      <c r="D8" s="1015"/>
      <c r="E8" s="1015">
        <f>E56</f>
        <v>0</v>
      </c>
      <c r="F8" s="1016"/>
      <c r="G8" s="557"/>
      <c r="H8" s="1015">
        <f>I56</f>
        <v>0</v>
      </c>
      <c r="I8" s="1015">
        <f>G56+F56</f>
        <v>0</v>
      </c>
      <c r="J8" s="1015">
        <f>H56+D56+C56</f>
        <v>0</v>
      </c>
      <c r="K8" s="1015"/>
      <c r="L8" s="1015"/>
      <c r="M8" s="1015"/>
      <c r="N8" s="558"/>
      <c r="O8" s="559">
        <f>C8*$C$12+D8*$D$12+E8*$E$12+F8*$F$12+G8*$G$12+H8*$H$12+I8*$I$12+J8*$J$12</f>
        <v>3301.274117647059</v>
      </c>
      <c r="P8" s="1254"/>
      <c r="Q8" s="1255"/>
      <c r="S8" s="1027"/>
      <c r="T8" s="1275"/>
      <c r="U8" s="1275"/>
    </row>
    <row r="9" spans="1:21" s="544" customFormat="1" ht="17.45" customHeight="1" thickBot="1">
      <c r="A9" s="560" t="s">
        <v>247</v>
      </c>
      <c r="B9" s="561">
        <f>N44+'Eigen informatie GS &amp; warmtenet'!B12</f>
        <v>19768.5</v>
      </c>
      <c r="C9" s="562">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143682.79706409408</v>
      </c>
      <c r="C10" s="569">
        <f t="shared" ref="C10:L10" si="0">SUM(C8:C9)</f>
        <v>16342.941176470587</v>
      </c>
      <c r="D10" s="569">
        <f t="shared" si="0"/>
        <v>0</v>
      </c>
      <c r="E10" s="569">
        <f t="shared" si="0"/>
        <v>0</v>
      </c>
      <c r="F10" s="569">
        <f t="shared" si="0"/>
        <v>0</v>
      </c>
      <c r="G10" s="569">
        <f t="shared" si="0"/>
        <v>0</v>
      </c>
      <c r="H10" s="569">
        <f t="shared" si="0"/>
        <v>0</v>
      </c>
      <c r="I10" s="569">
        <f t="shared" si="0"/>
        <v>0</v>
      </c>
      <c r="J10" s="569">
        <f t="shared" si="0"/>
        <v>56481.428571428572</v>
      </c>
      <c r="K10" s="569">
        <f t="shared" si="0"/>
        <v>0</v>
      </c>
      <c r="L10" s="569">
        <f t="shared" si="0"/>
        <v>0</v>
      </c>
      <c r="M10" s="1018"/>
      <c r="N10" s="1018"/>
      <c r="O10" s="570">
        <f>SUM(O4:O9)</f>
        <v>3301.274117647059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O36</f>
        <v>19845</v>
      </c>
      <c r="C17" s="581">
        <f>B57</f>
        <v>23347.058823529413</v>
      </c>
      <c r="D17" s="582"/>
      <c r="E17" s="582">
        <f>E57</f>
        <v>0</v>
      </c>
      <c r="F17" s="1021"/>
      <c r="G17" s="583"/>
      <c r="H17" s="581">
        <f>I57</f>
        <v>0</v>
      </c>
      <c r="I17" s="582">
        <f>G57+F57</f>
        <v>0</v>
      </c>
      <c r="J17" s="582">
        <f>H57+D57+C57</f>
        <v>0</v>
      </c>
      <c r="K17" s="582"/>
      <c r="L17" s="582"/>
      <c r="M17" s="582"/>
      <c r="N17" s="1022"/>
      <c r="O17" s="584">
        <f>C17*$C$22+E17*$E$22+H17*$H$22+I17*$I$22+J17*$J$22+D17*$D$22+F17*$F$22+G17*$G$22+K17*$K$22+L17*$L$22</f>
        <v>4716.105882352942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19845</v>
      </c>
      <c r="C20" s="568">
        <f>SUM(C17:C19)</f>
        <v>23347.058823529413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4716.105882352942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11002</v>
      </c>
      <c r="C28" s="787">
        <v>2610</v>
      </c>
      <c r="D28" s="640" t="s">
        <v>920</v>
      </c>
      <c r="E28" s="639" t="s">
        <v>921</v>
      </c>
      <c r="F28" s="639" t="s">
        <v>922</v>
      </c>
      <c r="G28" s="639" t="s">
        <v>923</v>
      </c>
      <c r="H28" s="639" t="s">
        <v>924</v>
      </c>
      <c r="I28" s="639" t="s">
        <v>925</v>
      </c>
      <c r="J28" s="786">
        <v>37264</v>
      </c>
      <c r="K28" s="786">
        <v>38504</v>
      </c>
      <c r="L28" s="639" t="s">
        <v>926</v>
      </c>
      <c r="M28" s="639">
        <v>828</v>
      </c>
      <c r="N28" s="639">
        <v>3726</v>
      </c>
      <c r="O28" s="639">
        <v>5322.8571428571431</v>
      </c>
      <c r="P28" s="639">
        <v>10645.714285714286</v>
      </c>
      <c r="Q28" s="639">
        <v>0</v>
      </c>
      <c r="R28" s="639">
        <v>0</v>
      </c>
      <c r="S28" s="639">
        <v>0</v>
      </c>
      <c r="T28" s="639">
        <v>0</v>
      </c>
      <c r="U28" s="639">
        <v>0</v>
      </c>
      <c r="V28" s="639">
        <v>0</v>
      </c>
      <c r="W28" s="639">
        <v>0</v>
      </c>
      <c r="X28" s="639">
        <v>1500</v>
      </c>
      <c r="Y28" s="639" t="s">
        <v>50</v>
      </c>
      <c r="Z28" s="641" t="s">
        <v>155</v>
      </c>
    </row>
    <row r="29" spans="1:26" s="593" customFormat="1" ht="51">
      <c r="A29" s="592"/>
      <c r="B29" s="787">
        <v>11002</v>
      </c>
      <c r="C29" s="787">
        <v>2018</v>
      </c>
      <c r="D29" s="640" t="s">
        <v>927</v>
      </c>
      <c r="E29" s="639" t="s">
        <v>928</v>
      </c>
      <c r="F29" s="639" t="s">
        <v>929</v>
      </c>
      <c r="G29" s="639" t="s">
        <v>923</v>
      </c>
      <c r="H29" s="639" t="s">
        <v>924</v>
      </c>
      <c r="I29" s="639" t="s">
        <v>928</v>
      </c>
      <c r="J29" s="786">
        <v>39370</v>
      </c>
      <c r="K29" s="786">
        <v>39448</v>
      </c>
      <c r="L29" s="639" t="s">
        <v>926</v>
      </c>
      <c r="M29" s="639">
        <v>220</v>
      </c>
      <c r="N29" s="639">
        <v>990</v>
      </c>
      <c r="O29" s="639">
        <v>1414.2857142857142</v>
      </c>
      <c r="P29" s="639">
        <v>2828.5714285714289</v>
      </c>
      <c r="Q29" s="639">
        <v>0</v>
      </c>
      <c r="R29" s="639">
        <v>0</v>
      </c>
      <c r="S29" s="639">
        <v>0</v>
      </c>
      <c r="T29" s="639">
        <v>0</v>
      </c>
      <c r="U29" s="639">
        <v>0</v>
      </c>
      <c r="V29" s="639">
        <v>0</v>
      </c>
      <c r="W29" s="639">
        <v>0</v>
      </c>
      <c r="X29" s="639">
        <v>1500</v>
      </c>
      <c r="Y29" s="639" t="s">
        <v>50</v>
      </c>
      <c r="Z29" s="641" t="s">
        <v>155</v>
      </c>
    </row>
    <row r="30" spans="1:26" s="593" customFormat="1" ht="25.5">
      <c r="A30" s="592"/>
      <c r="B30" s="787">
        <v>11002</v>
      </c>
      <c r="C30" s="787">
        <v>2170</v>
      </c>
      <c r="D30" s="640" t="s">
        <v>930</v>
      </c>
      <c r="E30" s="639" t="s">
        <v>931</v>
      </c>
      <c r="F30" s="639" t="s">
        <v>932</v>
      </c>
      <c r="G30" s="639" t="s">
        <v>923</v>
      </c>
      <c r="H30" s="639" t="s">
        <v>924</v>
      </c>
      <c r="I30" s="639" t="s">
        <v>931</v>
      </c>
      <c r="J30" s="786">
        <v>39797</v>
      </c>
      <c r="K30" s="786">
        <v>39812</v>
      </c>
      <c r="L30" s="639" t="s">
        <v>926</v>
      </c>
      <c r="M30" s="639">
        <v>806</v>
      </c>
      <c r="N30" s="639">
        <v>3627</v>
      </c>
      <c r="O30" s="639">
        <v>5181.4285714285716</v>
      </c>
      <c r="P30" s="639">
        <v>10362.857142857143</v>
      </c>
      <c r="Q30" s="639">
        <v>0</v>
      </c>
      <c r="R30" s="639">
        <v>0</v>
      </c>
      <c r="S30" s="639">
        <v>0</v>
      </c>
      <c r="T30" s="639">
        <v>0</v>
      </c>
      <c r="U30" s="639">
        <v>0</v>
      </c>
      <c r="V30" s="639">
        <v>0</v>
      </c>
      <c r="W30" s="639">
        <v>0</v>
      </c>
      <c r="X30" s="639">
        <v>500</v>
      </c>
      <c r="Y30" s="639" t="s">
        <v>40</v>
      </c>
      <c r="Z30" s="641" t="s">
        <v>389</v>
      </c>
    </row>
    <row r="31" spans="1:26" s="593" customFormat="1" ht="51">
      <c r="A31" s="592"/>
      <c r="B31" s="787">
        <v>11002</v>
      </c>
      <c r="C31" s="787">
        <v>2018</v>
      </c>
      <c r="D31" s="640" t="s">
        <v>933</v>
      </c>
      <c r="E31" s="639" t="s">
        <v>934</v>
      </c>
      <c r="F31" s="639" t="s">
        <v>935</v>
      </c>
      <c r="G31" s="639" t="s">
        <v>923</v>
      </c>
      <c r="H31" s="639" t="s">
        <v>924</v>
      </c>
      <c r="I31" s="639" t="s">
        <v>934</v>
      </c>
      <c r="J31" s="786">
        <v>40470</v>
      </c>
      <c r="K31" s="786">
        <v>40756</v>
      </c>
      <c r="L31" s="639" t="s">
        <v>926</v>
      </c>
      <c r="M31" s="639">
        <v>60</v>
      </c>
      <c r="N31" s="639">
        <v>270</v>
      </c>
      <c r="O31" s="639">
        <v>385.71428571428572</v>
      </c>
      <c r="P31" s="639">
        <v>771.42857142857144</v>
      </c>
      <c r="Q31" s="639">
        <v>0</v>
      </c>
      <c r="R31" s="639">
        <v>0</v>
      </c>
      <c r="S31" s="639">
        <v>0</v>
      </c>
      <c r="T31" s="639">
        <v>0</v>
      </c>
      <c r="U31" s="639">
        <v>0</v>
      </c>
      <c r="V31" s="639">
        <v>0</v>
      </c>
      <c r="W31" s="639">
        <v>0</v>
      </c>
      <c r="X31" s="639">
        <v>1500</v>
      </c>
      <c r="Y31" s="639" t="s">
        <v>50</v>
      </c>
      <c r="Z31" s="641" t="s">
        <v>155</v>
      </c>
    </row>
    <row r="32" spans="1:26" s="593" customFormat="1" ht="51">
      <c r="A32" s="592"/>
      <c r="B32" s="787">
        <v>11002</v>
      </c>
      <c r="C32" s="787">
        <v>2020</v>
      </c>
      <c r="D32" s="640" t="s">
        <v>936</v>
      </c>
      <c r="E32" s="639" t="s">
        <v>937</v>
      </c>
      <c r="F32" s="639" t="s">
        <v>938</v>
      </c>
      <c r="G32" s="639" t="s">
        <v>923</v>
      </c>
      <c r="H32" s="639" t="s">
        <v>924</v>
      </c>
      <c r="I32" s="639" t="s">
        <v>937</v>
      </c>
      <c r="J32" s="786">
        <v>40483</v>
      </c>
      <c r="K32" s="786">
        <v>40603</v>
      </c>
      <c r="L32" s="639" t="s">
        <v>926</v>
      </c>
      <c r="M32" s="639">
        <v>834</v>
      </c>
      <c r="N32" s="639">
        <v>3753</v>
      </c>
      <c r="O32" s="639">
        <v>5361.4285714285716</v>
      </c>
      <c r="P32" s="639">
        <v>10722.857142857143</v>
      </c>
      <c r="Q32" s="639">
        <v>0</v>
      </c>
      <c r="R32" s="639">
        <v>0</v>
      </c>
      <c r="S32" s="639">
        <v>0</v>
      </c>
      <c r="T32" s="639">
        <v>0</v>
      </c>
      <c r="U32" s="639">
        <v>0</v>
      </c>
      <c r="V32" s="639">
        <v>0</v>
      </c>
      <c r="W32" s="639">
        <v>0</v>
      </c>
      <c r="X32" s="639">
        <v>1500</v>
      </c>
      <c r="Y32" s="639" t="s">
        <v>50</v>
      </c>
      <c r="Z32" s="641" t="s">
        <v>155</v>
      </c>
    </row>
    <row r="33" spans="1:26" s="593" customFormat="1" ht="63.75">
      <c r="A33" s="592"/>
      <c r="B33" s="787">
        <v>11002</v>
      </c>
      <c r="C33" s="787">
        <v>2610</v>
      </c>
      <c r="D33" s="640" t="s">
        <v>939</v>
      </c>
      <c r="E33" s="639" t="s">
        <v>940</v>
      </c>
      <c r="F33" s="639" t="s">
        <v>941</v>
      </c>
      <c r="G33" s="639" t="s">
        <v>923</v>
      </c>
      <c r="H33" s="639" t="s">
        <v>924</v>
      </c>
      <c r="I33" s="639" t="s">
        <v>942</v>
      </c>
      <c r="J33" s="786">
        <v>40963</v>
      </c>
      <c r="K33" s="786">
        <v>41153</v>
      </c>
      <c r="L33" s="639" t="s">
        <v>926</v>
      </c>
      <c r="M33" s="639">
        <v>70</v>
      </c>
      <c r="N33" s="639">
        <v>315.00000000000006</v>
      </c>
      <c r="O33" s="639">
        <v>450.00000000000011</v>
      </c>
      <c r="P33" s="639">
        <v>900.00000000000023</v>
      </c>
      <c r="Q33" s="639">
        <v>0</v>
      </c>
      <c r="R33" s="639">
        <v>0</v>
      </c>
      <c r="S33" s="639">
        <v>0</v>
      </c>
      <c r="T33" s="639">
        <v>0</v>
      </c>
      <c r="U33" s="639">
        <v>0</v>
      </c>
      <c r="V33" s="639">
        <v>0</v>
      </c>
      <c r="W33" s="639">
        <v>0</v>
      </c>
      <c r="X33" s="639">
        <v>1600</v>
      </c>
      <c r="Y33" s="639" t="s">
        <v>49</v>
      </c>
      <c r="Z33" s="641" t="s">
        <v>155</v>
      </c>
    </row>
    <row r="34" spans="1:26" s="593" customFormat="1" ht="63.75">
      <c r="A34" s="592"/>
      <c r="B34" s="787">
        <v>11002</v>
      </c>
      <c r="C34" s="787">
        <v>2018</v>
      </c>
      <c r="D34" s="640" t="s">
        <v>939</v>
      </c>
      <c r="E34" s="639" t="s">
        <v>940</v>
      </c>
      <c r="F34" s="639" t="s">
        <v>943</v>
      </c>
      <c r="G34" s="639" t="s">
        <v>923</v>
      </c>
      <c r="H34" s="639" t="s">
        <v>924</v>
      </c>
      <c r="I34" s="639" t="s">
        <v>944</v>
      </c>
      <c r="J34" s="786">
        <v>40963</v>
      </c>
      <c r="K34" s="786">
        <v>41183</v>
      </c>
      <c r="L34" s="639" t="s">
        <v>926</v>
      </c>
      <c r="M34" s="639">
        <v>199</v>
      </c>
      <c r="N34" s="639">
        <v>895.5</v>
      </c>
      <c r="O34" s="639">
        <v>1279.2857142857142</v>
      </c>
      <c r="P34" s="639">
        <v>2558.5714285714289</v>
      </c>
      <c r="Q34" s="639">
        <v>0</v>
      </c>
      <c r="R34" s="639">
        <v>0</v>
      </c>
      <c r="S34" s="639">
        <v>0</v>
      </c>
      <c r="T34" s="639">
        <v>0</v>
      </c>
      <c r="U34" s="639">
        <v>0</v>
      </c>
      <c r="V34" s="639">
        <v>0</v>
      </c>
      <c r="W34" s="639">
        <v>0</v>
      </c>
      <c r="X34" s="639">
        <v>1600</v>
      </c>
      <c r="Y34" s="639" t="s">
        <v>49</v>
      </c>
      <c r="Z34" s="641" t="s">
        <v>155</v>
      </c>
    </row>
    <row r="35" spans="1:26" s="593" customFormat="1" ht="63.75">
      <c r="A35" s="592"/>
      <c r="B35" s="787">
        <v>11002</v>
      </c>
      <c r="C35" s="787">
        <v>2660</v>
      </c>
      <c r="D35" s="640" t="s">
        <v>939</v>
      </c>
      <c r="E35" s="639" t="s">
        <v>940</v>
      </c>
      <c r="F35" s="639" t="s">
        <v>945</v>
      </c>
      <c r="G35" s="639" t="s">
        <v>923</v>
      </c>
      <c r="H35" s="639" t="s">
        <v>924</v>
      </c>
      <c r="I35" s="639" t="s">
        <v>946</v>
      </c>
      <c r="J35" s="786">
        <v>41257</v>
      </c>
      <c r="K35" s="786">
        <v>41183</v>
      </c>
      <c r="L35" s="639" t="s">
        <v>947</v>
      </c>
      <c r="M35" s="639">
        <v>70</v>
      </c>
      <c r="N35" s="639">
        <v>315.00000000000006</v>
      </c>
      <c r="O35" s="639">
        <v>450.00000000000011</v>
      </c>
      <c r="P35" s="639">
        <v>900.00000000000023</v>
      </c>
      <c r="Q35" s="639">
        <v>0</v>
      </c>
      <c r="R35" s="639">
        <v>0</v>
      </c>
      <c r="S35" s="639">
        <v>0</v>
      </c>
      <c r="T35" s="639">
        <v>0</v>
      </c>
      <c r="U35" s="639">
        <v>0</v>
      </c>
      <c r="V35" s="639">
        <v>0</v>
      </c>
      <c r="W35" s="639">
        <v>0</v>
      </c>
      <c r="X35" s="639">
        <v>1600</v>
      </c>
      <c r="Y35" s="639" t="s">
        <v>49</v>
      </c>
      <c r="Z35" s="641" t="s">
        <v>155</v>
      </c>
    </row>
    <row r="36" spans="1:26" s="576" customFormat="1">
      <c r="A36" s="595" t="s">
        <v>279</v>
      </c>
      <c r="B36" s="596"/>
      <c r="C36" s="596"/>
      <c r="D36" s="596"/>
      <c r="E36" s="596"/>
      <c r="F36" s="596"/>
      <c r="G36" s="596"/>
      <c r="H36" s="596"/>
      <c r="I36" s="596"/>
      <c r="J36" s="596"/>
      <c r="K36" s="596"/>
      <c r="L36" s="597"/>
      <c r="M36" s="597">
        <f>SUM(M28:M35)</f>
        <v>3087</v>
      </c>
      <c r="N36" s="597">
        <f>SUM(N28:N35)</f>
        <v>13891.5</v>
      </c>
      <c r="O36" s="597">
        <f>SUM(O28:O35)</f>
        <v>19845</v>
      </c>
      <c r="P36" s="597">
        <f>SUM(P28:P35)</f>
        <v>39690</v>
      </c>
      <c r="Q36" s="597">
        <f>SUM(Q28:Q35)</f>
        <v>0</v>
      </c>
      <c r="R36" s="597">
        <f>SUM(R28:R35)</f>
        <v>0</v>
      </c>
      <c r="S36" s="597">
        <f>SUM(S28:S35)</f>
        <v>0</v>
      </c>
      <c r="T36" s="597">
        <f>SUM(T28:T35)</f>
        <v>0</v>
      </c>
      <c r="U36" s="597">
        <f>SUM(U28:U35)</f>
        <v>0</v>
      </c>
      <c r="V36" s="597">
        <f>SUM(V28:V35)</f>
        <v>0</v>
      </c>
      <c r="W36" s="597">
        <f>SUM(W28:W35)</f>
        <v>0</v>
      </c>
      <c r="X36" s="598"/>
      <c r="Y36" s="598"/>
      <c r="Z36" s="599"/>
    </row>
    <row r="37" spans="1:26" s="576" customFormat="1">
      <c r="A37" s="595" t="s">
        <v>286</v>
      </c>
      <c r="B37" s="596"/>
      <c r="C37" s="596"/>
      <c r="D37" s="596"/>
      <c r="E37" s="596"/>
      <c r="F37" s="596"/>
      <c r="G37" s="596"/>
      <c r="H37" s="596"/>
      <c r="I37" s="596"/>
      <c r="J37" s="596"/>
      <c r="K37" s="596"/>
      <c r="L37" s="597"/>
      <c r="M37" s="597">
        <f>SUMIF($Z$28:$Z$35,"industrie",M28:M35)</f>
        <v>806</v>
      </c>
      <c r="N37" s="597">
        <f>SUMIF($Z$28:$Z$35,"industrie",N28:N35)</f>
        <v>3627</v>
      </c>
      <c r="O37" s="597">
        <f>SUMIF($Z$28:$Z$35,"industrie",O28:O35)</f>
        <v>5181.4285714285716</v>
      </c>
      <c r="P37" s="597">
        <f>SUMIF($Z$28:$Z$35,"industrie",P28:P35)</f>
        <v>10362.857142857143</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6" s="576" customFormat="1">
      <c r="A38" s="595" t="s">
        <v>287</v>
      </c>
      <c r="B38" s="596"/>
      <c r="C38" s="596"/>
      <c r="D38" s="596"/>
      <c r="E38" s="596"/>
      <c r="F38" s="596"/>
      <c r="G38" s="596"/>
      <c r="H38" s="596"/>
      <c r="I38" s="596"/>
      <c r="J38" s="596"/>
      <c r="K38" s="596"/>
      <c r="L38" s="597"/>
      <c r="M38" s="597">
        <f ca="1">SUMIF($Z$28:AC35,"tertiair",M28:M35)</f>
        <v>2281</v>
      </c>
      <c r="N38" s="597">
        <f ca="1">SUMIF($Z$28:AD35,"tertiair",N28:N35)</f>
        <v>10264.5</v>
      </c>
      <c r="O38" s="597">
        <f ca="1">SUMIF($Z$28:AE35,"tertiair",O28:O35)</f>
        <v>14663.571428571428</v>
      </c>
      <c r="P38" s="597">
        <f ca="1">SUMIF($Z$28:AF35,"tertiair",P28:P35)</f>
        <v>29327.142857142855</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6" s="576" customFormat="1" ht="15.75" thickBot="1">
      <c r="A39" s="600" t="s">
        <v>288</v>
      </c>
      <c r="B39" s="601"/>
      <c r="C39" s="601"/>
      <c r="D39" s="601"/>
      <c r="E39" s="601"/>
      <c r="F39" s="601"/>
      <c r="G39" s="601"/>
      <c r="H39" s="601"/>
      <c r="I39" s="601"/>
      <c r="J39" s="601"/>
      <c r="K39" s="601"/>
      <c r="L39" s="602"/>
      <c r="M39" s="602">
        <f>SUMIF($Z$28:$Z$35,"landbouw",M28:M35)</f>
        <v>0</v>
      </c>
      <c r="N39" s="602">
        <f>SUMIF($Z$28:$Z$35,"landbouw",N28:N35)</f>
        <v>0</v>
      </c>
      <c r="O39" s="602">
        <f>SUMIF($Z$28:$Z$35,"landbouw",O28:O35)</f>
        <v>0</v>
      </c>
      <c r="P39" s="602">
        <f>SUMIF($Z$28:$Z$35,"landbouw",P28:P35)</f>
        <v>0</v>
      </c>
      <c r="Q39" s="602">
        <f>SUMIF($Z$28:$Z$35,"landbouw",Q28:Q35)</f>
        <v>0</v>
      </c>
      <c r="R39" s="602">
        <f>SUMIF($Z$28:$Z$35,"landbouw",R28:R35)</f>
        <v>0</v>
      </c>
      <c r="S39" s="602">
        <f>SUMIF($Z$28:$Z$35,"landbouw",S28:S35)</f>
        <v>0</v>
      </c>
      <c r="T39" s="602">
        <f>SUMIF($Z$28:$Z$35,"landbouw",T28:T35)</f>
        <v>0</v>
      </c>
      <c r="U39" s="602">
        <f>SUMIF($Z$28:$Z$35,"landbouw",U28:U35)</f>
        <v>0</v>
      </c>
      <c r="V39" s="602">
        <f>SUMIF($Z$28:$Z$35,"landbouw",V28:V35)</f>
        <v>0</v>
      </c>
      <c r="W39" s="602">
        <f>SUMIF($Z$28:$Z$35,"landbouw",W28:W35)</f>
        <v>0</v>
      </c>
      <c r="X39" s="603"/>
      <c r="Y39" s="603"/>
      <c r="Z39" s="604"/>
    </row>
    <row r="40" spans="1:26" s="544" customFormat="1" ht="15.75" thickBot="1">
      <c r="A40" s="605"/>
      <c r="B40" s="606"/>
      <c r="C40" s="606"/>
      <c r="D40" s="606"/>
      <c r="E40" s="606"/>
      <c r="F40" s="606"/>
      <c r="G40" s="606"/>
      <c r="H40" s="606"/>
      <c r="I40" s="606"/>
      <c r="J40" s="606"/>
      <c r="K40" s="606"/>
      <c r="L40" s="589"/>
      <c r="M40" s="589"/>
      <c r="N40" s="589"/>
      <c r="O40" s="590"/>
      <c r="P40" s="590"/>
    </row>
    <row r="41" spans="1:26" s="54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546</v>
      </c>
      <c r="Q41" s="637" t="s">
        <v>102</v>
      </c>
      <c r="R41" s="637" t="s">
        <v>103</v>
      </c>
      <c r="S41" s="637" t="s">
        <v>104</v>
      </c>
      <c r="T41" s="637" t="s">
        <v>105</v>
      </c>
      <c r="U41" s="637" t="s">
        <v>106</v>
      </c>
      <c r="V41" s="637" t="s">
        <v>107</v>
      </c>
      <c r="W41" s="636" t="s">
        <v>108</v>
      </c>
      <c r="X41" s="636" t="s">
        <v>298</v>
      </c>
      <c r="Y41" s="636" t="s">
        <v>109</v>
      </c>
      <c r="Z41" s="638" t="s">
        <v>299</v>
      </c>
    </row>
    <row r="42" spans="1:26" s="608" customFormat="1" ht="63.75">
      <c r="A42" s="594"/>
      <c r="B42" s="787">
        <v>11002</v>
      </c>
      <c r="C42" s="787">
        <v>2020</v>
      </c>
      <c r="D42" s="642" t="s">
        <v>948</v>
      </c>
      <c r="E42" s="642" t="s">
        <v>949</v>
      </c>
      <c r="F42" s="642" t="s">
        <v>950</v>
      </c>
      <c r="G42" s="642" t="s">
        <v>951</v>
      </c>
      <c r="H42" s="642" t="s">
        <v>952</v>
      </c>
      <c r="I42" s="642" t="s">
        <v>953</v>
      </c>
      <c r="J42" s="786">
        <v>38200</v>
      </c>
      <c r="K42" s="786">
        <v>38261</v>
      </c>
      <c r="L42" s="642" t="s">
        <v>947</v>
      </c>
      <c r="M42" s="642">
        <v>300</v>
      </c>
      <c r="N42" s="642">
        <v>1350</v>
      </c>
      <c r="O42" s="642">
        <v>0</v>
      </c>
      <c r="P42" s="642">
        <v>0</v>
      </c>
      <c r="Q42" s="642">
        <v>3857.1428571428573</v>
      </c>
      <c r="R42" s="642">
        <v>0</v>
      </c>
      <c r="S42" s="642">
        <v>0</v>
      </c>
      <c r="T42" s="642">
        <v>0</v>
      </c>
      <c r="U42" s="642">
        <v>0</v>
      </c>
      <c r="V42" s="642">
        <v>0</v>
      </c>
      <c r="W42" s="642">
        <v>0</v>
      </c>
      <c r="X42" s="642">
        <v>1600</v>
      </c>
      <c r="Y42" s="642" t="s">
        <v>49</v>
      </c>
      <c r="Z42" s="643" t="s">
        <v>155</v>
      </c>
    </row>
    <row r="43" spans="1:26" s="608" customFormat="1" ht="63.75">
      <c r="A43" s="594"/>
      <c r="B43" s="787">
        <v>11002</v>
      </c>
      <c r="C43" s="787">
        <v>2030</v>
      </c>
      <c r="D43" s="642" t="s">
        <v>954</v>
      </c>
      <c r="E43" s="642" t="s">
        <v>955</v>
      </c>
      <c r="F43" s="642" t="s">
        <v>956</v>
      </c>
      <c r="G43" s="642" t="s">
        <v>957</v>
      </c>
      <c r="H43" s="642" t="s">
        <v>952</v>
      </c>
      <c r="I43" s="642" t="s">
        <v>955</v>
      </c>
      <c r="J43" s="786">
        <v>38183</v>
      </c>
      <c r="K43" s="786">
        <v>38200</v>
      </c>
      <c r="L43" s="642" t="s">
        <v>926</v>
      </c>
      <c r="M43" s="642">
        <v>4093</v>
      </c>
      <c r="N43" s="642">
        <v>18418.5</v>
      </c>
      <c r="O43" s="642">
        <v>0</v>
      </c>
      <c r="P43" s="642">
        <v>0</v>
      </c>
      <c r="Q43" s="642">
        <v>0</v>
      </c>
      <c r="R43" s="642">
        <v>52624.285714285717</v>
      </c>
      <c r="S43" s="642">
        <v>0</v>
      </c>
      <c r="T43" s="642">
        <v>0</v>
      </c>
      <c r="U43" s="642">
        <v>0</v>
      </c>
      <c r="V43" s="642">
        <v>0</v>
      </c>
      <c r="W43" s="642">
        <v>0</v>
      </c>
      <c r="X43" s="642">
        <v>1600</v>
      </c>
      <c r="Y43" s="642" t="s">
        <v>49</v>
      </c>
      <c r="Z43" s="643" t="s">
        <v>155</v>
      </c>
    </row>
    <row r="44" spans="1:26" s="576" customFormat="1">
      <c r="A44" s="595" t="s">
        <v>279</v>
      </c>
      <c r="B44" s="596"/>
      <c r="C44" s="596"/>
      <c r="D44" s="596"/>
      <c r="E44" s="596"/>
      <c r="F44" s="596"/>
      <c r="G44" s="596"/>
      <c r="H44" s="596"/>
      <c r="I44" s="596"/>
      <c r="J44" s="596"/>
      <c r="K44" s="596"/>
      <c r="L44" s="597"/>
      <c r="M44" s="597">
        <f>SUM(M42:M43)</f>
        <v>4393</v>
      </c>
      <c r="N44" s="597">
        <f>SUM(N42:N43)</f>
        <v>19768.5</v>
      </c>
      <c r="O44" s="597">
        <f>SUM(O42:O43)</f>
        <v>0</v>
      </c>
      <c r="P44" s="597">
        <f>SUM(P42:P43)</f>
        <v>0</v>
      </c>
      <c r="Q44" s="597">
        <f>SUM(Q42:Q43)</f>
        <v>3857.1428571428573</v>
      </c>
      <c r="R44" s="597">
        <f>SUM(R42:R43)</f>
        <v>52624.285714285717</v>
      </c>
      <c r="S44" s="597">
        <f>SUM(S42:S43)</f>
        <v>0</v>
      </c>
      <c r="T44" s="597">
        <f>SUM(T42:T43)</f>
        <v>0</v>
      </c>
      <c r="U44" s="597">
        <f>SUM(U42:U43)</f>
        <v>0</v>
      </c>
      <c r="V44" s="597">
        <f>SUM(V42:V43)</f>
        <v>0</v>
      </c>
      <c r="W44" s="597">
        <f>SUM(W42:W43)</f>
        <v>0</v>
      </c>
      <c r="X44" s="598"/>
      <c r="Y44" s="598"/>
      <c r="Z44" s="599"/>
    </row>
    <row r="45" spans="1:26" s="576" customFormat="1">
      <c r="A45" s="595" t="s">
        <v>286</v>
      </c>
      <c r="B45" s="596"/>
      <c r="C45" s="596"/>
      <c r="D45" s="596"/>
      <c r="E45" s="596"/>
      <c r="F45" s="596"/>
      <c r="G45" s="596"/>
      <c r="H45" s="596"/>
      <c r="I45" s="596"/>
      <c r="J45" s="596"/>
      <c r="K45" s="596"/>
      <c r="L45" s="597"/>
      <c r="M45" s="597">
        <f>SUMIF($Z$42:$Z$43,"industrie",M42:M43)</f>
        <v>0</v>
      </c>
      <c r="N45" s="597">
        <f>SUMIF($Z$42:$Z$43,"industrie",N42:N43)</f>
        <v>0</v>
      </c>
      <c r="O45" s="597">
        <f>SUMIF($Z$42:$Z$43,"industrie",O42:O43)</f>
        <v>0</v>
      </c>
      <c r="P45" s="597">
        <f>SUMIF($Z$42:$Z$43,"industrie",P42:P43)</f>
        <v>0</v>
      </c>
      <c r="Q45" s="597">
        <f>SUMIF($Z$42:$Z$43,"industrie",Q42:Q43)</f>
        <v>0</v>
      </c>
      <c r="R45" s="597">
        <f>SUMIF($Z$42:$Z$43,"industrie",R42:R43)</f>
        <v>0</v>
      </c>
      <c r="S45" s="597">
        <f>SUMIF($Z$42:$Z$43,"industrie",S42:S43)</f>
        <v>0</v>
      </c>
      <c r="T45" s="597">
        <f>SUMIF($Z$42:$Z$43,"industrie",T42:T43)</f>
        <v>0</v>
      </c>
      <c r="U45" s="597">
        <f>SUMIF($Z$42:$Z$43,"industrie",U42:U43)</f>
        <v>0</v>
      </c>
      <c r="V45" s="597">
        <f>SUMIF($Z$42:$Z$43,"industrie",V42:V43)</f>
        <v>0</v>
      </c>
      <c r="W45" s="597">
        <f>SUMIF($Z$42:$Z$43,"industrie",W42:W43)</f>
        <v>0</v>
      </c>
      <c r="X45" s="598"/>
      <c r="Y45" s="598"/>
      <c r="Z45" s="599"/>
    </row>
    <row r="46" spans="1:26" s="576" customFormat="1">
      <c r="A46" s="595" t="s">
        <v>287</v>
      </c>
      <c r="B46" s="596"/>
      <c r="C46" s="596"/>
      <c r="D46" s="596"/>
      <c r="E46" s="596"/>
      <c r="F46" s="596"/>
      <c r="G46" s="596"/>
      <c r="H46" s="596"/>
      <c r="I46" s="596"/>
      <c r="J46" s="596"/>
      <c r="K46" s="596"/>
      <c r="L46" s="597"/>
      <c r="M46" s="597">
        <f>SUMIF($Z$42:$Z$44,"tertiair",M42:M44)</f>
        <v>4393</v>
      </c>
      <c r="N46" s="597">
        <f>SUMIF($Z$42:$Z$44,"tertiair",N42:N44)</f>
        <v>19768.5</v>
      </c>
      <c r="O46" s="597">
        <f>SUMIF($Z$42:$Z$44,"tertiair",O42:O44)</f>
        <v>0</v>
      </c>
      <c r="P46" s="597">
        <f>SUMIF($Z$42:$Z$44,"tertiair",P42:P44)</f>
        <v>0</v>
      </c>
      <c r="Q46" s="597">
        <f>SUMIF($Z$42:$Z$44,"tertiair",Q42:Q44)</f>
        <v>3857.1428571428573</v>
      </c>
      <c r="R46" s="597">
        <f>SUMIF($Z$42:$Z$44,"tertiair",R42:R44)</f>
        <v>52624.285714285717</v>
      </c>
      <c r="S46" s="597">
        <f>SUMIF($Z$42:$Z$44,"tertiair",S42:S44)</f>
        <v>0</v>
      </c>
      <c r="T46" s="597">
        <f>SUMIF($Z$42:$Z$44,"tertiair",T42:T44)</f>
        <v>0</v>
      </c>
      <c r="U46" s="597">
        <f>SUMIF($Z$42:$Z$44,"tertiair",U42:U44)</f>
        <v>0</v>
      </c>
      <c r="V46" s="597">
        <f>SUMIF($Z$42:$Z$44,"tertiair",V42:V44)</f>
        <v>0</v>
      </c>
      <c r="W46" s="597">
        <f>SUMIF($Z$42:$Z$44,"tertiair",W42:W44)</f>
        <v>0</v>
      </c>
      <c r="X46" s="598"/>
      <c r="Y46" s="598"/>
      <c r="Z46" s="599"/>
    </row>
    <row r="47" spans="1:26" s="576" customFormat="1" ht="15.75" thickBot="1">
      <c r="A47" s="600" t="s">
        <v>288</v>
      </c>
      <c r="B47" s="601"/>
      <c r="C47" s="601"/>
      <c r="D47" s="601"/>
      <c r="E47" s="601"/>
      <c r="F47" s="601"/>
      <c r="G47" s="601"/>
      <c r="H47" s="601"/>
      <c r="I47" s="601"/>
      <c r="J47" s="601"/>
      <c r="K47" s="601"/>
      <c r="L47" s="602"/>
      <c r="M47" s="602">
        <f>SUMIF($Z$42:$Z$45,"landbouw",M42:M45)</f>
        <v>0</v>
      </c>
      <c r="N47" s="602">
        <f>SUMIF($Z$42:$Z$45,"landbouw",N42:N45)</f>
        <v>0</v>
      </c>
      <c r="O47" s="602">
        <f>SUMIF($Z$42:$Z$45,"landbouw",O42:O45)</f>
        <v>0</v>
      </c>
      <c r="P47" s="602">
        <f>SUMIF($Z$42:$Z$45,"landbouw",P42:P45)</f>
        <v>0</v>
      </c>
      <c r="Q47" s="602">
        <f>SUMIF($Z$42:$Z$45,"landbouw",Q42:Q45)</f>
        <v>0</v>
      </c>
      <c r="R47" s="602">
        <f>SUMIF($Z$42:$Z$45,"landbouw",R42:R45)</f>
        <v>0</v>
      </c>
      <c r="S47" s="602">
        <f>SUMIF($Z$42:$Z$45,"landbouw",S42:S45)</f>
        <v>0</v>
      </c>
      <c r="T47" s="602">
        <f>SUMIF($Z$42:$Z$45,"landbouw",T42:T45)</f>
        <v>0</v>
      </c>
      <c r="U47" s="602">
        <f>SUMIF($Z$42:$Z$45,"landbouw",U42:U45)</f>
        <v>0</v>
      </c>
      <c r="V47" s="602">
        <f>SUMIF($Z$42:$Z$45,"landbouw",V42:V45)</f>
        <v>0</v>
      </c>
      <c r="W47" s="602">
        <f>SUMIF($Z$42:$Z$45,"landbouw",W42:W45)</f>
        <v>0</v>
      </c>
      <c r="X47" s="603"/>
      <c r="Y47" s="603"/>
      <c r="Z47" s="604"/>
    </row>
    <row r="48" spans="1:26" s="609" customForma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row>
    <row r="49" spans="1:27" s="609" customFormat="1" ht="15.75" thickBo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row>
    <row r="50" spans="1:27">
      <c r="A50" s="610" t="s">
        <v>281</v>
      </c>
      <c r="B50" s="611"/>
      <c r="C50" s="611"/>
      <c r="D50" s="611"/>
      <c r="E50" s="611"/>
      <c r="F50" s="611"/>
      <c r="G50" s="611"/>
      <c r="H50" s="611"/>
      <c r="I50" s="612"/>
      <c r="J50" s="613"/>
      <c r="K50" s="613"/>
      <c r="L50" s="614"/>
      <c r="M50" s="614"/>
      <c r="N50" s="614"/>
      <c r="O50" s="614"/>
      <c r="P50" s="614"/>
    </row>
    <row r="51" spans="1:27">
      <c r="A51" s="616"/>
      <c r="B51" s="606"/>
      <c r="C51" s="606"/>
      <c r="D51" s="606"/>
      <c r="E51" s="606"/>
      <c r="F51" s="606"/>
      <c r="G51" s="606"/>
      <c r="H51" s="606"/>
      <c r="I51" s="617"/>
      <c r="J51" s="606"/>
      <c r="K51" s="606"/>
      <c r="L51" s="614"/>
      <c r="M51" s="614"/>
      <c r="N51" s="614"/>
      <c r="O51" s="614"/>
      <c r="P51" s="614"/>
    </row>
    <row r="52" spans="1:27">
      <c r="A52" s="618"/>
      <c r="B52" s="619" t="s">
        <v>282</v>
      </c>
      <c r="C52" s="619" t="s">
        <v>283</v>
      </c>
      <c r="D52" s="619"/>
      <c r="E52" s="619"/>
      <c r="F52" s="619"/>
      <c r="G52" s="619"/>
      <c r="H52" s="619"/>
      <c r="I52" s="620"/>
      <c r="J52" s="619"/>
      <c r="K52" s="619"/>
      <c r="L52" s="619"/>
      <c r="M52" s="619"/>
      <c r="N52" s="619"/>
      <c r="O52" s="619"/>
      <c r="P52" s="614"/>
    </row>
    <row r="53" spans="1:27">
      <c r="A53" s="616" t="s">
        <v>279</v>
      </c>
      <c r="B53" s="621">
        <f>IF(ISERROR(O36/(O36+N36)),0,O36/(O36+N36))</f>
        <v>0.58823529411764708</v>
      </c>
      <c r="C53" s="622">
        <f>IF(ISERROR(N36/(O36+N36)),0,N36/(N36+O36))</f>
        <v>0.41176470588235292</v>
      </c>
      <c r="D53" s="589"/>
      <c r="E53" s="589"/>
      <c r="F53" s="589"/>
      <c r="G53" s="589"/>
      <c r="H53" s="589"/>
      <c r="I53" s="623"/>
      <c r="J53" s="589"/>
      <c r="K53" s="589"/>
      <c r="L53" s="624"/>
      <c r="M53" s="624"/>
      <c r="N53" s="624"/>
      <c r="O53" s="624"/>
      <c r="P53" s="614"/>
    </row>
    <row r="54" spans="1:27">
      <c r="A54" s="616"/>
      <c r="B54" s="625"/>
      <c r="C54" s="625"/>
      <c r="D54" s="625"/>
      <c r="E54" s="625"/>
      <c r="F54" s="625"/>
      <c r="G54" s="625"/>
      <c r="H54" s="625"/>
      <c r="I54" s="626"/>
      <c r="J54" s="625"/>
      <c r="K54" s="625"/>
      <c r="L54" s="627"/>
      <c r="M54" s="627"/>
      <c r="N54" s="627"/>
      <c r="O54" s="627"/>
      <c r="P54" s="614"/>
    </row>
    <row r="55" spans="1:27" ht="30">
      <c r="A55" s="628"/>
      <c r="B55" s="629" t="s">
        <v>546</v>
      </c>
      <c r="C55" s="629" t="s">
        <v>102</v>
      </c>
      <c r="D55" s="629" t="s">
        <v>103</v>
      </c>
      <c r="E55" s="629" t="s">
        <v>104</v>
      </c>
      <c r="F55" s="629" t="s">
        <v>105</v>
      </c>
      <c r="G55" s="629" t="s">
        <v>106</v>
      </c>
      <c r="H55" s="629" t="s">
        <v>107</v>
      </c>
      <c r="I55" s="630" t="s">
        <v>108</v>
      </c>
      <c r="J55" s="619"/>
      <c r="K55" s="619"/>
      <c r="L55" s="627"/>
      <c r="M55" s="627"/>
      <c r="N55" s="627"/>
      <c r="O55" s="614"/>
      <c r="P55" s="614"/>
    </row>
    <row r="56" spans="1:27">
      <c r="A56" s="618" t="s">
        <v>284</v>
      </c>
      <c r="B56" s="631">
        <f t="shared" ref="B56:I56" si="2">$C$53*P36</f>
        <v>16342.941176470587</v>
      </c>
      <c r="C56" s="631">
        <f t="shared" si="2"/>
        <v>0</v>
      </c>
      <c r="D56" s="631">
        <f t="shared" si="2"/>
        <v>0</v>
      </c>
      <c r="E56" s="631">
        <f t="shared" si="2"/>
        <v>0</v>
      </c>
      <c r="F56" s="631">
        <f t="shared" si="2"/>
        <v>0</v>
      </c>
      <c r="G56" s="631">
        <f t="shared" si="2"/>
        <v>0</v>
      </c>
      <c r="H56" s="631">
        <f t="shared" si="2"/>
        <v>0</v>
      </c>
      <c r="I56" s="632">
        <f t="shared" si="2"/>
        <v>0</v>
      </c>
      <c r="J56" s="589"/>
      <c r="K56" s="589"/>
      <c r="L56" s="627"/>
      <c r="M56" s="627"/>
      <c r="N56" s="627"/>
      <c r="O56" s="614"/>
      <c r="P56" s="614"/>
    </row>
    <row r="57" spans="1:27" ht="15.75" thickBot="1">
      <c r="A57" s="633" t="s">
        <v>285</v>
      </c>
      <c r="B57" s="634">
        <f t="shared" ref="B57:I57" si="3">$B$53*P36</f>
        <v>23347.058823529413</v>
      </c>
      <c r="C57" s="634">
        <f t="shared" si="3"/>
        <v>0</v>
      </c>
      <c r="D57" s="634">
        <f t="shared" si="3"/>
        <v>0</v>
      </c>
      <c r="E57" s="634">
        <f t="shared" si="3"/>
        <v>0</v>
      </c>
      <c r="F57" s="634">
        <f t="shared" si="3"/>
        <v>0</v>
      </c>
      <c r="G57" s="634">
        <f t="shared" si="3"/>
        <v>0</v>
      </c>
      <c r="H57" s="634">
        <f t="shared" si="3"/>
        <v>0</v>
      </c>
      <c r="I57" s="635">
        <f t="shared" si="3"/>
        <v>0</v>
      </c>
      <c r="J57" s="589"/>
      <c r="K57" s="589"/>
      <c r="L57" s="627"/>
      <c r="M57" s="627"/>
      <c r="N57" s="627"/>
      <c r="O57" s="614"/>
      <c r="P57" s="614"/>
    </row>
    <row r="58" spans="1:27">
      <c r="J58" s="574"/>
      <c r="K58" s="574"/>
      <c r="L58" s="574"/>
      <c r="M58" s="574"/>
      <c r="N58" s="574"/>
    </row>
    <row r="59" spans="1:27">
      <c r="J59" s="574"/>
      <c r="K59" s="574"/>
      <c r="L59" s="574"/>
      <c r="M59" s="574"/>
      <c r="N59"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684070.80041548854</v>
      </c>
      <c r="C4" s="458">
        <f>huishoudens!C8</f>
        <v>0</v>
      </c>
      <c r="D4" s="458">
        <f>huishoudens!D8</f>
        <v>2397817.2064060071</v>
      </c>
      <c r="E4" s="458">
        <f>huishoudens!E8</f>
        <v>43269.367557548845</v>
      </c>
      <c r="F4" s="458">
        <f>huishoudens!F8</f>
        <v>138917.24555160545</v>
      </c>
      <c r="G4" s="458">
        <f>huishoudens!G8</f>
        <v>0</v>
      </c>
      <c r="H4" s="458">
        <f>huishoudens!H8</f>
        <v>0</v>
      </c>
      <c r="I4" s="458">
        <f>huishoudens!I8</f>
        <v>0</v>
      </c>
      <c r="J4" s="458">
        <f>huishoudens!J8</f>
        <v>0</v>
      </c>
      <c r="K4" s="458">
        <f>huishoudens!K8</f>
        <v>0</v>
      </c>
      <c r="L4" s="458">
        <f>huishoudens!L8</f>
        <v>0</v>
      </c>
      <c r="M4" s="458">
        <f>huishoudens!M8</f>
        <v>0</v>
      </c>
      <c r="N4" s="458">
        <f>huishoudens!N8</f>
        <v>141938.7376249856</v>
      </c>
      <c r="O4" s="458">
        <f>huishoudens!O8</f>
        <v>792.61</v>
      </c>
      <c r="P4" s="459">
        <f>huishoudens!P8</f>
        <v>800.8</v>
      </c>
      <c r="Q4" s="460">
        <f>SUM(B4:P4)</f>
        <v>3407606.767555635</v>
      </c>
    </row>
    <row r="5" spans="1:17">
      <c r="A5" s="457" t="s">
        <v>155</v>
      </c>
      <c r="B5" s="458">
        <f ca="1">tertiair!B16</f>
        <v>1248659.5904149387</v>
      </c>
      <c r="C5" s="458">
        <f ca="1">tertiair!C16</f>
        <v>14663.571428571428</v>
      </c>
      <c r="D5" s="458">
        <f ca="1">tertiair!D16</f>
        <v>1724607.1138337648</v>
      </c>
      <c r="E5" s="458">
        <f>tertiair!E16</f>
        <v>12672.719690768407</v>
      </c>
      <c r="F5" s="458">
        <f ca="1">tertiair!F16</f>
        <v>225597.12945489195</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20.323333333333334</v>
      </c>
      <c r="P5" s="459">
        <f>tertiair!P16</f>
        <v>762.66666666666674</v>
      </c>
      <c r="Q5" s="457">
        <f t="shared" ref="Q5:Q14" ca="1" si="0">SUM(B5:P5)</f>
        <v>3226983.1148229353</v>
      </c>
    </row>
    <row r="6" spans="1:17">
      <c r="A6" s="457" t="s">
        <v>193</v>
      </c>
      <c r="B6" s="458">
        <f>'openbare verlichting'!B8</f>
        <v>27545.494999999999</v>
      </c>
      <c r="C6" s="458"/>
      <c r="D6" s="458"/>
      <c r="E6" s="458"/>
      <c r="F6" s="458"/>
      <c r="G6" s="458"/>
      <c r="H6" s="458"/>
      <c r="I6" s="458"/>
      <c r="J6" s="458"/>
      <c r="K6" s="458"/>
      <c r="L6" s="458"/>
      <c r="M6" s="458"/>
      <c r="N6" s="458"/>
      <c r="O6" s="458"/>
      <c r="P6" s="459"/>
      <c r="Q6" s="457">
        <f t="shared" si="0"/>
        <v>27545.494999999999</v>
      </c>
    </row>
    <row r="7" spans="1:17">
      <c r="A7" s="457" t="s">
        <v>111</v>
      </c>
      <c r="B7" s="458">
        <f>landbouw!B8</f>
        <v>22191.765792339946</v>
      </c>
      <c r="C7" s="458">
        <f>landbouw!C8</f>
        <v>0</v>
      </c>
      <c r="D7" s="458">
        <f>landbouw!D8</f>
        <v>18719.691347265634</v>
      </c>
      <c r="E7" s="458">
        <f>landbouw!E8</f>
        <v>279.64483779051659</v>
      </c>
      <c r="F7" s="458">
        <f>landbouw!F8</f>
        <v>76567.151353089765</v>
      </c>
      <c r="G7" s="458">
        <f>landbouw!G8</f>
        <v>0</v>
      </c>
      <c r="H7" s="458">
        <f>landbouw!H8</f>
        <v>0</v>
      </c>
      <c r="I7" s="458">
        <f>landbouw!I8</f>
        <v>0</v>
      </c>
      <c r="J7" s="458">
        <f>landbouw!J8</f>
        <v>3337.3893080777357</v>
      </c>
      <c r="K7" s="458">
        <f>landbouw!K8</f>
        <v>0</v>
      </c>
      <c r="L7" s="458">
        <f>landbouw!L8</f>
        <v>0</v>
      </c>
      <c r="M7" s="458">
        <f>landbouw!M8</f>
        <v>0</v>
      </c>
      <c r="N7" s="458">
        <f>landbouw!N8</f>
        <v>0</v>
      </c>
      <c r="O7" s="458">
        <f>landbouw!O8</f>
        <v>0</v>
      </c>
      <c r="P7" s="459">
        <f>landbouw!P8</f>
        <v>0</v>
      </c>
      <c r="Q7" s="457">
        <f t="shared" si="0"/>
        <v>121095.6426385636</v>
      </c>
    </row>
    <row r="8" spans="1:17">
      <c r="A8" s="457" t="s">
        <v>655</v>
      </c>
      <c r="B8" s="458">
        <f>industrie!B18</f>
        <v>385180.61146723654</v>
      </c>
      <c r="C8" s="458">
        <f>industrie!C18</f>
        <v>5181.4285714285716</v>
      </c>
      <c r="D8" s="458">
        <f>industrie!D18</f>
        <v>318826.64548541571</v>
      </c>
      <c r="E8" s="458">
        <f>industrie!E18</f>
        <v>38472.349957792983</v>
      </c>
      <c r="F8" s="458">
        <f>industrie!F18</f>
        <v>280812.39692585188</v>
      </c>
      <c r="G8" s="458">
        <f>industrie!G18</f>
        <v>0</v>
      </c>
      <c r="H8" s="458">
        <f>industrie!H18</f>
        <v>0</v>
      </c>
      <c r="I8" s="458">
        <f>industrie!I18</f>
        <v>0</v>
      </c>
      <c r="J8" s="458">
        <f>industrie!J18</f>
        <v>178.81611259843098</v>
      </c>
      <c r="K8" s="458">
        <f>industrie!K18</f>
        <v>0</v>
      </c>
      <c r="L8" s="458">
        <f>industrie!L18</f>
        <v>0</v>
      </c>
      <c r="M8" s="458">
        <f>industrie!M18</f>
        <v>0</v>
      </c>
      <c r="N8" s="458">
        <f>industrie!N18</f>
        <v>49171.857614206405</v>
      </c>
      <c r="O8" s="458">
        <f>industrie!O18</f>
        <v>0</v>
      </c>
      <c r="P8" s="459">
        <f>industrie!P18</f>
        <v>0</v>
      </c>
      <c r="Q8" s="457">
        <f t="shared" si="0"/>
        <v>1077824.1061345306</v>
      </c>
    </row>
    <row r="9" spans="1:17" s="463" customFormat="1">
      <c r="A9" s="461" t="s">
        <v>573</v>
      </c>
      <c r="B9" s="462">
        <f>transport!B14</f>
        <v>120.65973446929048</v>
      </c>
      <c r="C9" s="462">
        <f>transport!C14</f>
        <v>0</v>
      </c>
      <c r="D9" s="462">
        <f>transport!D14</f>
        <v>195.49707881846192</v>
      </c>
      <c r="E9" s="462">
        <f>transport!E14</f>
        <v>7815.2531966312517</v>
      </c>
      <c r="F9" s="462">
        <f>transport!F14</f>
        <v>0</v>
      </c>
      <c r="G9" s="462">
        <f>transport!G14</f>
        <v>2389293.9170018192</v>
      </c>
      <c r="H9" s="462">
        <f>transport!H14</f>
        <v>365871.24894384621</v>
      </c>
      <c r="I9" s="462">
        <f>transport!I14</f>
        <v>0</v>
      </c>
      <c r="J9" s="462">
        <f>transport!J14</f>
        <v>0</v>
      </c>
      <c r="K9" s="462">
        <f>transport!K14</f>
        <v>0</v>
      </c>
      <c r="L9" s="462">
        <f>transport!L14</f>
        <v>0</v>
      </c>
      <c r="M9" s="462">
        <f>transport!M14</f>
        <v>124557.01854959462</v>
      </c>
      <c r="N9" s="462">
        <f>transport!N14</f>
        <v>0</v>
      </c>
      <c r="O9" s="462">
        <f>transport!O14</f>
        <v>0</v>
      </c>
      <c r="P9" s="462">
        <f>transport!P14</f>
        <v>0</v>
      </c>
      <c r="Q9" s="461">
        <f>SUM(B9:P9)</f>
        <v>2887853.5945051792</v>
      </c>
    </row>
    <row r="10" spans="1:17">
      <c r="A10" s="457" t="s">
        <v>563</v>
      </c>
      <c r="B10" s="458">
        <f>transport!B54</f>
        <v>34328.30537697539</v>
      </c>
      <c r="C10" s="458">
        <f>transport!C54</f>
        <v>0</v>
      </c>
      <c r="D10" s="458">
        <f>transport!D54</f>
        <v>0</v>
      </c>
      <c r="E10" s="458">
        <f>transport!E54</f>
        <v>0</v>
      </c>
      <c r="F10" s="458">
        <f>transport!F54</f>
        <v>0</v>
      </c>
      <c r="G10" s="458">
        <f>transport!G54</f>
        <v>49194.426899987375</v>
      </c>
      <c r="H10" s="458">
        <f>transport!H54</f>
        <v>0</v>
      </c>
      <c r="I10" s="458">
        <f>transport!I54</f>
        <v>0</v>
      </c>
      <c r="J10" s="458">
        <f>transport!J54</f>
        <v>0</v>
      </c>
      <c r="K10" s="458">
        <f>transport!K54</f>
        <v>0</v>
      </c>
      <c r="L10" s="458">
        <f>transport!L54</f>
        <v>0</v>
      </c>
      <c r="M10" s="458">
        <f>transport!M54</f>
        <v>2189.6846394833101</v>
      </c>
      <c r="N10" s="458">
        <f>transport!N54</f>
        <v>0</v>
      </c>
      <c r="O10" s="458">
        <f>transport!O54</f>
        <v>0</v>
      </c>
      <c r="P10" s="459">
        <f>transport!P54</f>
        <v>0</v>
      </c>
      <c r="Q10" s="457">
        <f t="shared" si="0"/>
        <v>85712.416916446076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43761.820908209505</v>
      </c>
      <c r="C14" s="465"/>
      <c r="D14" s="465">
        <f>'SEAP template'!E25</f>
        <v>168132.10109293196</v>
      </c>
      <c r="E14" s="465"/>
      <c r="F14" s="465"/>
      <c r="G14" s="465"/>
      <c r="H14" s="465"/>
      <c r="I14" s="465"/>
      <c r="J14" s="465"/>
      <c r="K14" s="465"/>
      <c r="L14" s="465"/>
      <c r="M14" s="465"/>
      <c r="N14" s="465"/>
      <c r="O14" s="465"/>
      <c r="P14" s="466"/>
      <c r="Q14" s="457">
        <f t="shared" si="0"/>
        <v>211893.92200114147</v>
      </c>
    </row>
    <row r="15" spans="1:17" s="470" customFormat="1">
      <c r="A15" s="467" t="s">
        <v>567</v>
      </c>
      <c r="B15" s="468">
        <f ca="1">SUM(B4:B14)</f>
        <v>2445859.0491096582</v>
      </c>
      <c r="C15" s="468">
        <f t="shared" ref="C15:Q15" ca="1" si="1">SUM(C4:C14)</f>
        <v>19845</v>
      </c>
      <c r="D15" s="468">
        <f t="shared" ca="1" si="1"/>
        <v>4628298.2552442038</v>
      </c>
      <c r="E15" s="468">
        <f t="shared" si="1"/>
        <v>102509.335240532</v>
      </c>
      <c r="F15" s="468">
        <f t="shared" ca="1" si="1"/>
        <v>721893.92328543903</v>
      </c>
      <c r="G15" s="468">
        <f t="shared" si="1"/>
        <v>2438488.3439018065</v>
      </c>
      <c r="H15" s="468">
        <f t="shared" si="1"/>
        <v>365871.24894384621</v>
      </c>
      <c r="I15" s="468">
        <f t="shared" si="1"/>
        <v>0</v>
      </c>
      <c r="J15" s="468">
        <f t="shared" si="1"/>
        <v>3516.2054206761668</v>
      </c>
      <c r="K15" s="468">
        <f t="shared" si="1"/>
        <v>0</v>
      </c>
      <c r="L15" s="468">
        <f t="shared" ca="1" si="1"/>
        <v>0</v>
      </c>
      <c r="M15" s="468">
        <f t="shared" si="1"/>
        <v>126746.70318907793</v>
      </c>
      <c r="N15" s="468">
        <f t="shared" ca="1" si="1"/>
        <v>191110.59523919201</v>
      </c>
      <c r="O15" s="468">
        <f t="shared" si="1"/>
        <v>812.93333333333339</v>
      </c>
      <c r="P15" s="468">
        <f t="shared" si="1"/>
        <v>1563.4666666666667</v>
      </c>
      <c r="Q15" s="468">
        <f t="shared" ca="1" si="1"/>
        <v>11046515.059574433</v>
      </c>
    </row>
    <row r="17" spans="1:17">
      <c r="A17" s="471" t="s">
        <v>568</v>
      </c>
      <c r="B17" s="777">
        <f ca="1">huishoudens!B10</f>
        <v>0.20936702219456391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143221.86645324269</v>
      </c>
      <c r="C22" s="458">
        <f t="shared" ref="C22:C32" ca="1" si="3">C4*$C$17</f>
        <v>0</v>
      </c>
      <c r="D22" s="458">
        <f t="shared" ref="D22:D32" si="4">D4*$D$17</f>
        <v>484359.07569401345</v>
      </c>
      <c r="E22" s="458">
        <f t="shared" ref="E22:E32" si="5">E4*$E$17</f>
        <v>9822.146435563589</v>
      </c>
      <c r="F22" s="458">
        <f t="shared" ref="F22:F32" si="6">F4*$F$17</f>
        <v>37090.904562278658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674493.99314509833</v>
      </c>
    </row>
    <row r="23" spans="1:17">
      <c r="A23" s="457" t="s">
        <v>155</v>
      </c>
      <c r="B23" s="458">
        <f t="shared" ca="1" si="2"/>
        <v>261428.14017985956</v>
      </c>
      <c r="C23" s="458">
        <f t="shared" ca="1" si="3"/>
        <v>3484.75462184874</v>
      </c>
      <c r="D23" s="458">
        <f t="shared" ca="1" si="4"/>
        <v>348370.63699442049</v>
      </c>
      <c r="E23" s="458">
        <f t="shared" si="5"/>
        <v>2876.7073698044283</v>
      </c>
      <c r="F23" s="458">
        <f t="shared" ca="1" si="6"/>
        <v>60234.433564456158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676394.67273038928</v>
      </c>
    </row>
    <row r="24" spans="1:17">
      <c r="A24" s="457" t="s">
        <v>193</v>
      </c>
      <c r="B24" s="458">
        <f t="shared" ca="1" si="2"/>
        <v>5767.1182630252488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5767.1182630252488</v>
      </c>
    </row>
    <row r="25" spans="1:17">
      <c r="A25" s="457" t="s">
        <v>111</v>
      </c>
      <c r="B25" s="458">
        <f t="shared" ca="1" si="2"/>
        <v>4646.2239211814012</v>
      </c>
      <c r="C25" s="458">
        <f t="shared" ca="1" si="3"/>
        <v>0</v>
      </c>
      <c r="D25" s="458">
        <f t="shared" si="4"/>
        <v>3781.3776521476584</v>
      </c>
      <c r="E25" s="458">
        <f t="shared" si="5"/>
        <v>63.47937817844727</v>
      </c>
      <c r="F25" s="458">
        <f t="shared" si="6"/>
        <v>20443.429411274967</v>
      </c>
      <c r="G25" s="458">
        <f t="shared" si="7"/>
        <v>0</v>
      </c>
      <c r="H25" s="458">
        <f t="shared" si="8"/>
        <v>0</v>
      </c>
      <c r="I25" s="458">
        <f t="shared" si="9"/>
        <v>0</v>
      </c>
      <c r="J25" s="458">
        <f t="shared" si="10"/>
        <v>1181.4358150595183</v>
      </c>
      <c r="K25" s="458">
        <f t="shared" si="11"/>
        <v>0</v>
      </c>
      <c r="L25" s="458">
        <f t="shared" si="12"/>
        <v>0</v>
      </c>
      <c r="M25" s="458">
        <f t="shared" si="13"/>
        <v>0</v>
      </c>
      <c r="N25" s="458">
        <f t="shared" si="14"/>
        <v>0</v>
      </c>
      <c r="O25" s="458">
        <f t="shared" si="15"/>
        <v>0</v>
      </c>
      <c r="P25" s="459">
        <f t="shared" si="16"/>
        <v>0</v>
      </c>
      <c r="Q25" s="457">
        <f t="shared" ca="1" si="17"/>
        <v>30115.94617784199</v>
      </c>
    </row>
    <row r="26" spans="1:17">
      <c r="A26" s="457" t="s">
        <v>655</v>
      </c>
      <c r="B26" s="458">
        <f t="shared" ca="1" si="2"/>
        <v>80644.117629976608</v>
      </c>
      <c r="C26" s="458">
        <f t="shared" ca="1" si="3"/>
        <v>1231.3512605042019</v>
      </c>
      <c r="D26" s="458">
        <f t="shared" si="4"/>
        <v>64402.982388053977</v>
      </c>
      <c r="E26" s="458">
        <f t="shared" si="5"/>
        <v>8733.2234404190076</v>
      </c>
      <c r="F26" s="458">
        <f t="shared" si="6"/>
        <v>74976.90997920245</v>
      </c>
      <c r="G26" s="458">
        <f t="shared" si="7"/>
        <v>0</v>
      </c>
      <c r="H26" s="458">
        <f t="shared" si="8"/>
        <v>0</v>
      </c>
      <c r="I26" s="458">
        <f t="shared" si="9"/>
        <v>0</v>
      </c>
      <c r="J26" s="458">
        <f t="shared" si="10"/>
        <v>63.30090385984456</v>
      </c>
      <c r="K26" s="458">
        <f t="shared" si="11"/>
        <v>0</v>
      </c>
      <c r="L26" s="458">
        <f t="shared" si="12"/>
        <v>0</v>
      </c>
      <c r="M26" s="458">
        <f t="shared" si="13"/>
        <v>0</v>
      </c>
      <c r="N26" s="458">
        <f t="shared" si="14"/>
        <v>0</v>
      </c>
      <c r="O26" s="458">
        <f t="shared" si="15"/>
        <v>0</v>
      </c>
      <c r="P26" s="459">
        <f t="shared" si="16"/>
        <v>0</v>
      </c>
      <c r="Q26" s="457">
        <f t="shared" ca="1" si="17"/>
        <v>230051.88560201606</v>
      </c>
    </row>
    <row r="27" spans="1:17" s="463" customFormat="1">
      <c r="A27" s="461" t="s">
        <v>573</v>
      </c>
      <c r="B27" s="771">
        <f t="shared" ca="1" si="2"/>
        <v>25.262169304622127</v>
      </c>
      <c r="C27" s="462">
        <f t="shared" ca="1" si="3"/>
        <v>0</v>
      </c>
      <c r="D27" s="462">
        <f t="shared" si="4"/>
        <v>39.490409921329309</v>
      </c>
      <c r="E27" s="462">
        <f t="shared" si="5"/>
        <v>1774.0624756352943</v>
      </c>
      <c r="F27" s="462">
        <f t="shared" si="6"/>
        <v>0</v>
      </c>
      <c r="G27" s="462">
        <f t="shared" si="7"/>
        <v>637941.47583948576</v>
      </c>
      <c r="H27" s="462">
        <f t="shared" si="8"/>
        <v>91101.940987017704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730882.23188136471</v>
      </c>
    </row>
    <row r="28" spans="1:17">
      <c r="A28" s="457" t="s">
        <v>563</v>
      </c>
      <c r="B28" s="458">
        <f t="shared" ca="1" si="2"/>
        <v>7187.2150737629736</v>
      </c>
      <c r="C28" s="458">
        <f t="shared" ca="1" si="3"/>
        <v>0</v>
      </c>
      <c r="D28" s="458">
        <f t="shared" si="4"/>
        <v>0</v>
      </c>
      <c r="E28" s="458">
        <f t="shared" si="5"/>
        <v>0</v>
      </c>
      <c r="F28" s="458">
        <f t="shared" si="6"/>
        <v>0</v>
      </c>
      <c r="G28" s="458">
        <f t="shared" si="7"/>
        <v>13134.91198229663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20322.127056059602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9162.2821293636298</v>
      </c>
      <c r="C32" s="458">
        <f t="shared" ca="1" si="3"/>
        <v>0</v>
      </c>
      <c r="D32" s="458">
        <f t="shared" si="4"/>
        <v>33962.684420772261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43124.96655013589</v>
      </c>
    </row>
    <row r="33" spans="1:17" s="470" customFormat="1">
      <c r="A33" s="467" t="s">
        <v>567</v>
      </c>
      <c r="B33" s="468">
        <f ca="1">SUM(B22:B32)</f>
        <v>512082.2258197167</v>
      </c>
      <c r="C33" s="468">
        <f t="shared" ref="C33:Q33" ca="1" si="18">SUM(C22:C32)</f>
        <v>4716.105882352942</v>
      </c>
      <c r="D33" s="468">
        <f t="shared" ca="1" si="18"/>
        <v>934916.24755932915</v>
      </c>
      <c r="E33" s="468">
        <f t="shared" si="18"/>
        <v>23269.619099600768</v>
      </c>
      <c r="F33" s="468">
        <f t="shared" ca="1" si="18"/>
        <v>192745.67751721223</v>
      </c>
      <c r="G33" s="468">
        <f t="shared" si="18"/>
        <v>651076.38782178238</v>
      </c>
      <c r="H33" s="468">
        <f t="shared" si="18"/>
        <v>91101.940987017704</v>
      </c>
      <c r="I33" s="468">
        <f t="shared" si="18"/>
        <v>0</v>
      </c>
      <c r="J33" s="468">
        <f t="shared" si="18"/>
        <v>1244.7367189193628</v>
      </c>
      <c r="K33" s="468">
        <f t="shared" si="18"/>
        <v>0</v>
      </c>
      <c r="L33" s="468">
        <f t="shared" ca="1" si="18"/>
        <v>0</v>
      </c>
      <c r="M33" s="468">
        <f t="shared" si="18"/>
        <v>0</v>
      </c>
      <c r="N33" s="468">
        <f t="shared" ca="1" si="18"/>
        <v>0</v>
      </c>
      <c r="O33" s="468">
        <f t="shared" si="18"/>
        <v>0</v>
      </c>
      <c r="P33" s="468">
        <f t="shared" si="18"/>
        <v>0</v>
      </c>
      <c r="Q33" s="468">
        <f t="shared" ca="1" si="18"/>
        <v>2411152.941405931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55940.698409999997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54082.098654094087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13891.5</v>
      </c>
      <c r="D8" s="1034">
        <f>'SEAP template'!D76</f>
        <v>16342.941176470587</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3301.274117647059</v>
      </c>
    </row>
    <row r="9" spans="1:16">
      <c r="A9" s="1037" t="s">
        <v>871</v>
      </c>
      <c r="B9" s="1034">
        <f>'SEAP template'!B77</f>
        <v>19768.5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56481.428571428572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129791.29706409408</v>
      </c>
      <c r="C10" s="1038">
        <f>SUM(C4:C9)</f>
        <v>13891.5</v>
      </c>
      <c r="D10" s="1038">
        <f t="shared" ref="D10:H10" si="0">SUM(D8:D9)</f>
        <v>16342.941176470587</v>
      </c>
      <c r="E10" s="1038">
        <f t="shared" si="0"/>
        <v>0</v>
      </c>
      <c r="F10" s="1038">
        <f t="shared" si="0"/>
        <v>0</v>
      </c>
      <c r="G10" s="1038">
        <f t="shared" si="0"/>
        <v>0</v>
      </c>
      <c r="H10" s="1038">
        <f t="shared" si="0"/>
        <v>0</v>
      </c>
      <c r="I10" s="1038">
        <f>SUM(I8:I9)</f>
        <v>0</v>
      </c>
      <c r="J10" s="1038">
        <f>SUM(J8:J9)</f>
        <v>56481.428571428572</v>
      </c>
      <c r="K10" s="1038">
        <f t="shared" ref="K10:L10" si="1">SUM(K8:K9)</f>
        <v>0</v>
      </c>
      <c r="L10" s="1038">
        <f t="shared" si="1"/>
        <v>0</v>
      </c>
      <c r="M10" s="1038">
        <f>SUM(M8:M9)</f>
        <v>0</v>
      </c>
      <c r="N10" s="1038">
        <f>SUM(N8:N9)</f>
        <v>0</v>
      </c>
      <c r="O10" s="1038">
        <f>SUM(O8:O9)</f>
        <v>0</v>
      </c>
      <c r="P10" s="1038">
        <f>SUM(P8:P9)</f>
        <v>3301.274117647059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0.20936702219456391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19845</v>
      </c>
      <c r="D17" s="1035">
        <f>'SEAP template'!D87</f>
        <v>23347.058823529413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4716.105882352942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19845</v>
      </c>
      <c r="D20" s="1038">
        <f t="shared" ref="D20:H20" si="2">SUM(D17:D19)</f>
        <v>23347.058823529413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4716.105882352942</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0.20936702219456391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2020-06-20T16:13:07Z</dcterms:modified>
</cp:coreProperties>
</file>