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C45" i="18" s="1"/>
  <c r="M29" i="18"/>
  <c r="G22" i="18"/>
  <c r="F22" i="18"/>
  <c r="E22" i="18"/>
  <c r="D22" i="18"/>
  <c r="C22" i="18"/>
  <c r="L20" i="18"/>
  <c r="D20" i="18"/>
  <c r="G12" i="18"/>
  <c r="F12" i="18"/>
  <c r="E12" i="18"/>
  <c r="D12" i="18"/>
  <c r="C12" i="18"/>
  <c r="L10" i="18"/>
  <c r="K10" i="18"/>
  <c r="G10" i="18"/>
  <c r="D10" i="18"/>
  <c r="B8" i="18"/>
  <c r="B6" i="18"/>
  <c r="B5" i="18"/>
  <c r="B4" i="18"/>
  <c r="F20" i="18" l="1"/>
  <c r="B45" i="18"/>
  <c r="B49" i="18" s="1"/>
  <c r="C17" i="18" s="1"/>
  <c r="G20" i="18"/>
  <c r="K20" i="18"/>
  <c r="B10" i="18"/>
  <c r="O9" i="18"/>
  <c r="O19" i="18"/>
  <c r="O18" i="18"/>
  <c r="B20" i="18"/>
  <c r="I49" i="18"/>
  <c r="H17" i="18" s="1"/>
  <c r="H20" i="18" s="1"/>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O4" i="48"/>
  <c r="O22" i="48" s="1"/>
  <c r="P11" i="14"/>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E7" i="48" l="1"/>
  <c r="E25" i="48" s="1"/>
  <c r="F24" i="14"/>
  <c r="F26" i="14"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K16" i="14"/>
  <c r="K27" i="14" s="1"/>
  <c r="Q5" i="48"/>
  <c r="F13" i="14"/>
  <c r="F16" i="14" s="1"/>
  <c r="F27" i="14" s="1"/>
  <c r="E8" i="48"/>
  <c r="E26" i="48" s="1"/>
  <c r="E33" i="48" s="1"/>
  <c r="J8" i="48"/>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F63" i="14" l="1"/>
  <c r="J26" i="48"/>
  <c r="J33" i="48" s="1"/>
  <c r="J15" i="48"/>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<sst xmlns="http://schemas.openxmlformats.org/spreadsheetml/2006/main" count="2507" uniqueCount="960">
  <si>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</si>
  <si>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</si>
  <si>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</si>
  <si>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</si>
  <si>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</si>
  <si>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</si>
  <si>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</si>
  <si>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</si>
  <si>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</si>
  <si>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</si>
  <si>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</si>
  <si>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</si>
  <si>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</si>
  <si>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</si>
  <si>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</si>
  <si>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</si>
  <si>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</si>
  <si>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</si>
  <si>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</si>
  <si>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</si>
  <si>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</si>
  <si>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</si>
  <si>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</si>
  <si>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</si>
  <si>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</si>
  <si>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</si>
  <si>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</si>
  <si>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</si>
  <si>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</si>
  <si>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</si>
  <si>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</si>
  <si>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</si>
  <si>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</si>
  <si>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</si>
  <si>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</si>
  <si>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</si>
  <si>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</si>
  <si>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</si>
  <si>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</si>
  <si>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</si>
  <si>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</si>
  <si>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</si>
  <si>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</si>
  <si>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</si>
  <si>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</si>
  <si>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</si>
  <si>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</si>
  <si>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</si>
  <si>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</si>
  <si>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</si>
  <si>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</si>
  <si>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</si>
  <si>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</si>
  <si>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</si>
  <si>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</si>
  <si>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</si>
  <si>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</si>
  <si>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</si>
  <si>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</si>
  <si>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</si>
  <si>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</si>
  <si>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</si>
  <si>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</si>
  <si>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</si>
  <si>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</si>
  <si>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</si>
  <si>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</si>
  <si>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</si>
  <si>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</si>
  <si>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</si>
  <si>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</si>
  <si>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</si>
  <si>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</si>
  <si>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</si>
  <si>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</si>
  <si>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</si>
  <si>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</si>
  <si>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</si>
  <si>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</si>
  <si>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</si>
  <si>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</si>
  <si>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</si>
  <si>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</si>
  <si>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</si>
  <si>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</si>
  <si>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</si>
  <si>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</si>
  <si>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</si>
  <si>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</si>
  <si>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</si>
  <si>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</si>
  <si>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</si>
  <si>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</si>
  <si>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</si>
  <si>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</si>
  <si>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</si>
  <si>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</si>
  <si>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</si>
  <si>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</si>
  <si>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</si>
  <si>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</si>
  <si>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</si>
  <si>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</si>
  <si>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</si>
  <si>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</si>
  <si>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</si>
  <si>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</si>
  <si>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</si>
  <si>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</si>
  <si>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</si>
  <si>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</si>
  <si>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</si>
  <si>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</si>
  <si>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</si>
  <si>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</si>
  <si>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</si>
  <si>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</si>
  <si>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</si>
  <si>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</si>
  <si>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</si>
  <si>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</si>
  <si>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</si>
  <si>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</si>
  <si>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</si>
  <si>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</si>
  <si>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</si>
  <si>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</si>
  <si>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</si>
  <si>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</si>
  <si>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</si>
  <si>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</si>
  <si>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</si>
  <si>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</si>
  <si>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</si>
  <si>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</si>
  <si>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</si>
  <si>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</si>
  <si>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</si>
  <si>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</si>
  <si>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</si>
  <si>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</si>
  <si>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</si>
  <si>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</si>
  <si>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</si>
  <si>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</si>
  <si>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</si>
  <si>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</si>
  <si>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</si>
  <si>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</si>
  <si>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</si>
  <si>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</si>
  <si>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</si>
  <si>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</si>
  <si>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</si>
  <si>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</si>
  <si>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</si>
  <si>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</si>
  <si>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</si>
  <si>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</si>
  <si>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</si>
  <si>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</si>
  <si>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</si>
  <si>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</si>
  <si>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</si>
  <si>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</si>
  <si>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</si>
  <si>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</si>
  <si>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</si>
  <si>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</si>
  <si>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</si>
  <si>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</si>
  <si>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</si>
  <si>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</si>
  <si>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</si>
  <si>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</si>
  <si>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</si>
  <si>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</si>
  <si>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</si>
  <si>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</si>
  <si>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</si>
  <si>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</si>
  <si>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</si>
  <si>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</si>
  <si>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</si>
  <si>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</si>
  <si>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</si>
  <si>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</si>
  <si>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</si>
  <si>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</si>
  <si>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</si>
  <si>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</si>
  <si>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</si>
  <si>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</si>
  <si>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</si>
  <si>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</si>
  <si>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</si>
  <si>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</si>
  <si>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</si>
  <si>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</si>
  <si>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</si>
  <si>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</si>
  <si>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</si>
  <si>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</si>
  <si>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</si>
  <si>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</si>
  <si>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</si>
  <si>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</si>
  <si>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</si>
  <si>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</si>
  <si>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</si>
  <si>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</si>
  <si>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</si>
  <si>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</si>
  <si>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</si>
  <si>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</si>
  <si>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</si>
  <si>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</si>
  <si>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</si>
  <si>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</si>
  <si>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</si>
  <si>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</si>
  <si>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</si>
  <si>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</si>
  <si>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</si>
  <si>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</si>
  <si>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</si>
  <si>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</si>
  <si>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</si>
  <si>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</si>
  <si>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</si>
  <si>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</si>
  <si>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</si>
  <si>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</si>
  <si>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</si>
  <si>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</si>
  <si>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</si>
  <si>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</si>
  <si>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</si>
  <si>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</si>
  <si>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</si>
  <si>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</si>
  <si>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</si>
  <si>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</si>
  <si>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</si>
  <si>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</si>
  <si>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</si>
  <si>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</si>
  <si>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</si>
  <si>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</si>
  <si>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</si>
  <si>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</si>
  <si>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</si>
  <si>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</si>
  <si>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</si>
  <si>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</si>
  <si>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</si>
  <si>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</si>
  <si>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</si>
  <si>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</si>
  <si>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</si>
  <si>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</si>
  <si>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</si>
  <si>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</si>
  <si>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</si>
  <si>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</si>
  <si>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</si>
  <si>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</si>
  <si>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</si>
  <si>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</si>
  <si>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</si>
  <si>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</si>
  <si>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</si>
  <si>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</si>
  <si>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</si>
  <si>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</si>
  <si>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</si>
  <si>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</si>
  <si>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</si>
  <si>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</si>
  <si>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</si>
  <si>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</si>
  <si>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</si>
  <si>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</si>
  <si>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</si>
  <si>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</si>
  <si>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</si>
  <si>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</si>
  <si>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</si>
  <si>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</si>
  <si>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</si>
  <si>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</si>
  <si>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</si>
  <si>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</si>
  <si>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</si>
  <si>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</si>
  <si>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</si>
  <si>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</si>
  <si>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</si>
  <si>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</si>
  <si>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</si>
  <si>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</si>
  <si>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</si>
  <si>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</si>
  <si>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</si>
  <si>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</si>
  <si>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</si>
  <si>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</si>
  <si>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</si>
  <si>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</si>
  <si>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</si>
  <si>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</si>
  <si>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</si>
  <si>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</si>
  <si>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</si>
  <si>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</si>
  <si>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</si>
  <si>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</si>
  <si>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</si>
  <si>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</si>
  <si>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</si>
  <si>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</si>
  <si>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</si>
  <si>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</si>
  <si>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</si>
  <si>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</si>
  <si>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</si>
  <si>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</si>
  <si>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</si>
  <si>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</si>
  <si>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</si>
  <si>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</si>
  <si>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</si>
  <si>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</si>
  <si>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</si>
  <si>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</si>
  <si>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</si>
  <si>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</si>
  <si>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</si>
  <si>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</si>
  <si>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</si>
  <si>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</si>
  <si>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</si>
  <si>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</si>
  <si>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</si>
  <si>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</si>
  <si>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</si>
  <si>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</si>
  <si>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</si>
  <si>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</si>
  <si>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</si>
  <si>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</si>
  <si>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</si>
  <si>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</si>
  <si>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</si>
  <si>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</si>
  <si>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</si>
  <si>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</si>
  <si>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</si>
  <si>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</si>
  <si>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</si>
  <si>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</si>
  <si>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</si>
  <si>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</si>
  <si>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</si>
  <si>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</si>
  <si>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</si>
  <si>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</si>
  <si>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</si>
  <si>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</si>
  <si>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</si>
  <si>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</si>
  <si>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</si>
  <si>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</si>
  <si>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</si>
  <si>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</si>
  <si>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</si>
  <si>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</si>
  <si>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</si>
  <si>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</si>
  <si>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</si>
  <si>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</si>
  <si>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</si>
  <si>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</si>
  <si>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</si>
  <si>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</si>
  <si>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</si>
  <si>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</si>
  <si>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</si>
  <si>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</si>
  <si>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</si>
  <si>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</si>
  <si>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</si>
  <si>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</si>
  <si>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</si>
  <si>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</si>
  <si>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</si>
  <si>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</si>
  <si>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</si>
  <si>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</si>
  <si>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</si>
  <si>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</si>
  <si>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</si>
  <si>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</si>
  <si>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</si>
  <si>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</si>
  <si>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</si>
  <si>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</si>
  <si>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</si>
  <si>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</si>
  <si>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</si>
  <si>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</si>
  <si>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</si>
  <si>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</si>
  <si>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</si>
  <si>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</si>
  <si>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</si>
  <si>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</si>
  <si>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</si>
  <si>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</si>
  <si>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</si>
  <si>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</si>
  <si>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</si>
  <si>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</si>
  <si>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</si>
  <si>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</si>
  <si>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</si>
  <si>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</si>
  <si>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</si>
  <si>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</si>
  <si>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</si>
  <si>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</si>
  <si>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</si>
  <si>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</si>
  <si>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</si>
  <si>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</si>
  <si>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</si>
  <si>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</si>
  <si>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</si>
  <si>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</si>
  <si>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</si>
  <si>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</si>
  <si>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</si>
  <si>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</si>
  <si>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</si>
  <si>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</si>
  <si>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</si>
  <si>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</si>
  <si>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</si>
  <si>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</si>
  <si>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</si>
  <si>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</si>
  <si>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</si>
  <si>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</si>
  <si>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</si>
  <si>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</si>
  <si>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</si>
  <si>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</si>
  <si>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</si>
  <si>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</si>
  <si>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</si>
  <si>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</si>
  <si>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</si>
  <si>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</si>
  <si>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</si>
  <si>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</si>
  <si>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</si>
  <si>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</si>
  <si>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</si>
  <si>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</si>
  <si>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</si>
  <si>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</si>
  <si>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</si>
  <si>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</si>
  <si>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</si>
  <si>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</si>
  <si>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</si>
  <si>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</si>
  <si>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</si>
  <si>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</si>
  <si>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</si>
  <si>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</si>
  <si>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</si>
  <si>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</si>
  <si>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</si>
  <si>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</si>
  <si>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</si>
  <si>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</si>
  <si>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</si>
  <si>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</si>
  <si>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</si>
  <si>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</si>
  <si>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</si>
  <si>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</si>
  <si>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</si>
  <si>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</si>
  <si>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</si>
  <si>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</si>
  <si>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</si>
  <si>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</si>
  <si>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</si>
  <si>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</si>
  <si>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</si>
  <si>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</si>
  <si>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</si>
  <si>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</si>
  <si>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</si>
  <si>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</si>
  <si>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</si>
  <si>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</si>
  <si>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</si>
  <si>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</si>
  <si>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</si>
  <si>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</si>
  <si>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</si>
  <si>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</si>
  <si>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</si>
  <si>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</si>
  <si>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</si>
  <si>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</si>
  <si>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</si>
  <si>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</si>
  <si>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</si>
  <si>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</si>
  <si>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</si>
  <si>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</si>
  <si>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</si>
  <si>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</si>
  <si>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</si>
  <si>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</si>
  <si>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</si>
  <si>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</si>
  <si>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</si>
  <si>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</si>
  <si>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</si>
  <si>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</si>
  <si>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</si>
  <si>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</si>
  <si>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</si>
  <si>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</si>
  <si>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</si>
  <si>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</si>
  <si>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</si>
  <si>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</si>
  <si>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</si>
  <si>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</si>
  <si>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</si>
  <si>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</si>
  <si>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</si>
  <si>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</si>
  <si>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</si>
  <si>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</si>
  <si>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</si>
  <si>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</si>
  <si>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</si>
  <si>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</si>
  <si>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</si>
  <si>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</si>
  <si>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</si>
  <si>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</si>
  <si>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</si>
  <si>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</si>
  <si>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</si>
  <si>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</si>
  <si>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</si>
  <si>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</si>
  <si>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</si>
  <si>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</si>
  <si>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</si>
  <si>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</si>
  <si>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</si>
  <si>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</si>
  <si>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</si>
  <si>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</si>
  <si>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</si>
  <si>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</si>
  <si>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</si>
  <si>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</si>
  <si>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</si>
  <si>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</si>
  <si>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</si>
  <si>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</si>
  <si>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</si>
  <si>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</si>
  <si>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</si>
  <si>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</si>
  <si>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</si>
  <si>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</si>
  <si>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</si>
  <si>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</si>
  <si>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</si>
  <si>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</si>
  <si>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</si>
  <si>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</si>
  <si>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</si>
  <si>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</si>
  <si>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</si>
  <si>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</si>
  <si>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</si>
  <si>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</si>
  <si>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</si>
  <si>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</si>
  <si>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</si>
  <si>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</si>
  <si>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</si>
  <si>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</si>
  <si>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</si>
  <si>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</si>
  <si>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</si>
  <si>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</si>
  <si>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</si>
  <si>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</si>
  <si>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</si>
  <si>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</si>
  <si>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</si>
  <si>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</si>
  <si>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</si>
  <si>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</si>
  <si>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</si>
  <si>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</si>
  <si>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</si>
  <si>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</si>
  <si>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</si>
  <si>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</si>
  <si>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</si>
  <si>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</si>
  <si>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</si>
  <si>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</si>
  <si>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</si>
  <si>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</si>
  <si>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</si>
  <si>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</si>
  <si>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</si>
  <si>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</si>
  <si>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</si>
  <si>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</si>
  <si>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</si>
  <si>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</si>
  <si>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</si>
  <si>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</si>
  <si>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</si>
  <si>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</si>
  <si>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</si>
  <si>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</si>
  <si>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</si>
  <si>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</si>
  <si>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</si>
  <si>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</si>
  <si>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</si>
  <si>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</si>
  <si>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</si>
  <si>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</si>
  <si>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</si>
  <si>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</si>
  <si>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</si>
  <si>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</si>
  <si>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</si>
  <si>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</si>
  <si>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</si>
  <si>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</si>
  <si>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</si>
  <si>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</si>
  <si>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</si>
  <si>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</si>
  <si>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</si>
  <si>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</si>
  <si>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</si>
  <si>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</si>
  <si>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</si>
  <si>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</si>
  <si>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</si>
  <si>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</si>
  <si>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</si>
  <si>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</si>
  <si>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</si>
  <si>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</si>
  <si>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</si>
  <si>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</si>
  <si>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</si>
  <si>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</si>
  <si>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</si>
  <si>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</si>
  <si>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</si>
  <si>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</si>
  <si>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</si>
  <si>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</si>
  <si>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</si>
  <si>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</si>
  <si>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</si>
  <si>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</si>
  <si>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</si>
  <si>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</si>
  <si>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</si>
  <si>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</si>
  <si>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</si>
  <si>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</si>
  <si>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</si>
  <si>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</si>
  <si>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</si>
  <si>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</si>
  <si>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</si>
  <si>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</si>
  <si>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</si>
  <si>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</si>
  <si>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</si>
  <si>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</si>
  <si>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</si>
  <si>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</si>
  <si>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</si>
  <si>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</si>
  <si>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</si>
  <si>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</si>
  <si>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</si>
  <si>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</si>
  <si>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</si>
  <si>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</si>
  <si>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</si>
  <si>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</si>
  <si>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</si>
  <si>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</si>
  <si>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</si>
  <si>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</si>
  <si>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</si>
  <si>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</si>
  <si>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</si>
  <si>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</si>
  <si>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</si>
  <si>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</si>
  <si>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</si>
  <si>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</si>
  <si>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</si>
  <si>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</si>
  <si>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</si>
  <si>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</si>
  <si>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</si>
  <si>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</si>
  <si>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</si>
  <si>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</si>
  <si>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</si>
  <si>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</si>
  <si>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</si>
  <si>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</si>
  <si>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</si>
  <si>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</si>
  <si>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</si>
  <si>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</si>
  <si>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</si>
  <si>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</si>
  <si>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</si>
  <si>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</si>
  <si>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</si>
  <si>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</si>
  <si>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</si>
  <si>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</si>
  <si>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</si>
  <si>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</si>
  <si>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</si>
  <si>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</si>
  <si>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</si>
  <si>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</si>
  <si>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</si>
  <si>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</si>
  <si>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</si>
  <si>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</si>
  <si>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</si>
  <si>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</si>
  <si>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</si>
  <si>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</si>
  <si>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</si>
  <si>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</si>
  <si>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</si>
  <si>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</si>
  <si>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</si>
  <si>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</si>
  <si>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</si>
  <si>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</si>
  <si>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</si>
  <si>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</si>
  <si>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</si>
  <si>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</si>
  <si>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</si>
  <si>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</si>
  <si>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</si>
  <si>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</si>
  <si>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</si>
  <si>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</si>
  <si>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</si>
  <si>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</si>
  <si>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</si>
  <si>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</si>
  <si>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</si>
  <si>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</si>
  <si>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</si>
  <si>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</si>
  <si>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</si>
  <si>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</si>
  <si>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</si>
  <si>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</si>
  <si>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</si>
  <si>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</si>
  <si>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</si>
  <si>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</si>
  <si>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</si>
  <si>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</si>
  <si>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</si>
  <si>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</si>
  <si>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</si>
  <si>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</si>
  <si>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</si>
  <si>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</si>
  <si>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</si>
  <si>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</si>
  <si>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</si>
  <si>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</si>
  <si>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</si>
  <si>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</si>
  <si>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</si>
  <si>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</si>
  <si>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</si>
  <si>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</si>
  <si>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</si>
  <si>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</si>
  <si>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</si>
  <si>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</si>
  <si>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</si>
  <si>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</si>
  <si>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</si>
  <si>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</si>
  <si>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</si>
  <si>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</si>
  <si>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</si>
  <si>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</si>
  <si>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</si>
  <si>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</si>
  <si>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</si>
  <si>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</si>
  <si>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</si>
  <si>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</si>
  <si>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</si>
  <si>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</si>
  <si>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</si>
  <si>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</si>
  <si>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</si>
  <si>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</si>
  <si>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</si>
  <si>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</si>
  <si>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</si>
  <si>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</si>
  <si>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</si>
  <si>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</si>
  <si>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</si>
  <si>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</si>
  <si>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</si>
  <si>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</si>
  <si>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</si>
  <si>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</si>
  <si>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</si>
  <si>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</si>
  <si>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</si>
  <si>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</si>
  <si>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</si>
  <si>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</si>
  <si>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</si>
  <si>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</si>
  <si>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</si>
  <si>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</si>
  <si>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</si>
  <si>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</si>
  <si>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</si>
  <si>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</si>
  <si>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</si>
  <si>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</si>
  <si>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</si>
  <si>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</si>
  <si>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</si>
  <si>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</si>
  <si>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</si>
  <si>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</si>
  <si>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</si>
  <si>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</si>
  <si>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</si>
  <si>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</si>
  <si>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</si>
  <si>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</si>
  <si>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</si>
  <si>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</si>
  <si>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</si>
  <si>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</si>
  <si>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</si>
  <si>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</si>
  <si>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</si>
  <si>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</si>
  <si>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</si>
  <si>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</si>
  <si>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</si>
  <si>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</si>
  <si>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</si>
  <si>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</si>
  <si>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</si>
  <si>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</si>
  <si>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</si>
  <si>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</si>
  <si>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</si>
  <si>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</si>
  <si>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</si>
  <si>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</si>
  <si>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</si>
  <si>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</si>
  <si>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</si>
  <si>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</si>
  <si>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</si>
  <si>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</si>
  <si>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</si>
  <si>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</si>
  <si>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</si>
  <si>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</si>
  <si>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</si>
  <si>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</si>
  <si>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</si>
  <si>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</si>
  <si>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</si>
  <si>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</si>
  <si>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</si>
  <si>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</si>
  <si>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</si>
  <si>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</si>
  <si>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</si>
  <si>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</si>
  <si>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</si>
  <si>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</si>
  <si>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</si>
  <si>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</si>
  <si>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</si>
  <si>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</si>
  <si>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</si>
  <si>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</si>
  <si>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</si>
  <si>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</si>
  <si>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</si>
  <si>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</si>
  <si>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</si>
  <si>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</si>
  <si>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</si>
  <si>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</si>
  <si>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</si>
  <si>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</si>
  <si>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</si>
  <si>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</si>
  <si>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</si>
  <si>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71037</t>
  </si>
  <si>
    <t>LUMMEN</t>
  </si>
  <si>
    <t>Paarden&amp;pony's 200 - 600 kg</t>
  </si>
  <si>
    <t>Paarden&amp;pony's &lt; 200 kg</t>
  </si>
  <si>
    <t>Fluvius</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</si>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</sst>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71037</v>
      </c>
      <c r="B6" s="394"/>
      <c r="C6" s="395"/>
    </row>
    <row r="7" spans="1:7" s="392" customFormat="1" ht="15.75" customHeight="1">
      <c r="A7" s="396" t="str">
        <f>txtMunicipality</f>
        <v>LUMMEN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0.1978390266362936</v>
      </c>
      <c r="C17" s="506">
        <f ca="1">'EF ele_warmte'!B22</f>
        <v>7.8529411764705875E-2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0.1978390266362936</v>
      </c>
      <c r="C29" s="507">
        <f ca="1">'EF ele_warmte'!B22</f>
        <v>7.8529411764705875E-2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5773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1694</v>
      </c>
      <c r="C14" s="332"/>
      <c r="D14" s="332"/>
      <c r="E14" s="332"/>
      <c r="F14" s="332"/>
    </row>
    <row r="15" spans="1:6">
      <c r="A15" s="1299" t="s">
        <v>183</v>
      </c>
      <c r="B15" s="1300">
        <v>666</v>
      </c>
      <c r="C15" s="332"/>
      <c r="D15" s="332"/>
      <c r="E15" s="332"/>
      <c r="F15" s="332"/>
    </row>
    <row r="16" spans="1:6">
      <c r="A16" s="1299" t="s">
        <v>6</v>
      </c>
      <c r="B16" s="1300">
        <v>523</v>
      </c>
      <c r="C16" s="332"/>
      <c r="D16" s="332"/>
      <c r="E16" s="332"/>
      <c r="F16" s="332"/>
    </row>
    <row r="17" spans="1:6">
      <c r="A17" s="1299" t="s">
        <v>7</v>
      </c>
      <c r="B17" s="1300">
        <v>214</v>
      </c>
      <c r="C17" s="332"/>
      <c r="D17" s="332"/>
      <c r="E17" s="332"/>
      <c r="F17" s="332"/>
    </row>
    <row r="18" spans="1:6">
      <c r="A18" s="1299" t="s">
        <v>8</v>
      </c>
      <c r="B18" s="1300">
        <v>396</v>
      </c>
      <c r="C18" s="332"/>
      <c r="D18" s="332"/>
      <c r="E18" s="332"/>
      <c r="F18" s="332"/>
    </row>
    <row r="19" spans="1:6">
      <c r="A19" s="1299" t="s">
        <v>9</v>
      </c>
      <c r="B19" s="1300">
        <v>383</v>
      </c>
      <c r="C19" s="332"/>
      <c r="D19" s="332"/>
      <c r="E19" s="332"/>
      <c r="F19" s="332"/>
    </row>
    <row r="20" spans="1:6">
      <c r="A20" s="1299" t="s">
        <v>10</v>
      </c>
      <c r="B20" s="1300">
        <v>281</v>
      </c>
      <c r="C20" s="332"/>
      <c r="D20" s="332"/>
      <c r="E20" s="332"/>
      <c r="F20" s="332"/>
    </row>
    <row r="21" spans="1:6">
      <c r="A21" s="1299" t="s">
        <v>11</v>
      </c>
      <c r="B21" s="1300">
        <v>5035</v>
      </c>
      <c r="C21" s="332"/>
      <c r="D21" s="332"/>
      <c r="E21" s="332"/>
      <c r="F21" s="332"/>
    </row>
    <row r="22" spans="1:6">
      <c r="A22" s="1299" t="s">
        <v>12</v>
      </c>
      <c r="B22" s="1300">
        <v>13040</v>
      </c>
      <c r="C22" s="332"/>
      <c r="D22" s="332"/>
      <c r="E22" s="332"/>
      <c r="F22" s="332"/>
    </row>
    <row r="23" spans="1:6">
      <c r="A23" s="1299" t="s">
        <v>13</v>
      </c>
      <c r="B23" s="1300">
        <v>322</v>
      </c>
      <c r="C23" s="332"/>
      <c r="D23" s="332"/>
      <c r="E23" s="332"/>
      <c r="F23" s="332"/>
    </row>
    <row r="24" spans="1:6">
      <c r="A24" s="1299" t="s">
        <v>14</v>
      </c>
      <c r="B24" s="1300">
        <v>47</v>
      </c>
      <c r="C24" s="332"/>
      <c r="D24" s="332"/>
      <c r="E24" s="332"/>
      <c r="F24" s="332"/>
    </row>
    <row r="25" spans="1:6">
      <c r="A25" s="1299" t="s">
        <v>15</v>
      </c>
      <c r="B25" s="1300">
        <v>1780</v>
      </c>
      <c r="C25" s="332"/>
      <c r="D25" s="332"/>
      <c r="E25" s="332"/>
      <c r="F25" s="332"/>
    </row>
    <row r="26" spans="1:6">
      <c r="A26" s="1299" t="s">
        <v>16</v>
      </c>
      <c r="B26" s="1300">
        <v>401</v>
      </c>
      <c r="C26" s="332"/>
      <c r="D26" s="332"/>
      <c r="E26" s="332"/>
      <c r="F26" s="332"/>
    </row>
    <row r="27" spans="1:6">
      <c r="A27" s="1299" t="s">
        <v>17</v>
      </c>
      <c r="B27" s="1300">
        <v>181</v>
      </c>
      <c r="C27" s="332"/>
      <c r="D27" s="332"/>
      <c r="E27" s="332"/>
      <c r="F27" s="332"/>
    </row>
    <row r="28" spans="1:6" s="44" customFormat="1">
      <c r="A28" s="1301" t="s">
        <v>18</v>
      </c>
      <c r="B28" s="1302">
        <v>156</v>
      </c>
      <c r="C28" s="338"/>
      <c r="D28" s="338"/>
      <c r="E28" s="338"/>
      <c r="F28" s="338"/>
    </row>
    <row r="29" spans="1:6">
      <c r="A29" s="1301" t="s">
        <v>950</v>
      </c>
      <c r="B29" s="1302">
        <v>149</v>
      </c>
      <c r="C29" s="338"/>
      <c r="D29" s="338"/>
      <c r="E29" s="338"/>
      <c r="F29" s="338"/>
    </row>
    <row r="30" spans="1:6">
      <c r="A30" s="1294" t="s">
        <v>951</v>
      </c>
      <c r="B30" s="1303">
        <v>25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2</v>
      </c>
      <c r="F38" s="1300">
        <v>17484</v>
      </c>
    </row>
    <row r="39" spans="1:6">
      <c r="A39" s="1299" t="s">
        <v>29</v>
      </c>
      <c r="B39" s="1299" t="s">
        <v>30</v>
      </c>
      <c r="C39" s="1300">
        <v>1888</v>
      </c>
      <c r="D39" s="1300">
        <v>30703815</v>
      </c>
      <c r="E39" s="1300">
        <v>5823</v>
      </c>
      <c r="F39" s="1300">
        <v>24470530</v>
      </c>
    </row>
    <row r="40" spans="1:6">
      <c r="A40" s="1299" t="s">
        <v>29</v>
      </c>
      <c r="B40" s="1299" t="s">
        <v>28</v>
      </c>
      <c r="C40" s="1300">
        <v>0</v>
      </c>
      <c r="D40" s="1300">
        <v>0</v>
      </c>
      <c r="E40" s="1300">
        <v>0</v>
      </c>
      <c r="F40" s="1300">
        <v>0</v>
      </c>
    </row>
    <row r="41" spans="1:6">
      <c r="A41" s="1299" t="s">
        <v>31</v>
      </c>
      <c r="B41" s="1299" t="s">
        <v>32</v>
      </c>
      <c r="C41" s="1300">
        <v>30</v>
      </c>
      <c r="D41" s="1300">
        <v>910085</v>
      </c>
      <c r="E41" s="1300">
        <v>123</v>
      </c>
      <c r="F41" s="1300">
        <v>2574364</v>
      </c>
    </row>
    <row r="42" spans="1:6">
      <c r="A42" s="1299" t="s">
        <v>31</v>
      </c>
      <c r="B42" s="1299" t="s">
        <v>33</v>
      </c>
      <c r="C42" s="1300">
        <v>0</v>
      </c>
      <c r="D42" s="1300">
        <v>0</v>
      </c>
      <c r="E42" s="1300">
        <v>3</v>
      </c>
      <c r="F42" s="1300">
        <v>381307</v>
      </c>
    </row>
    <row r="43" spans="1:6">
      <c r="A43" s="1299" t="s">
        <v>31</v>
      </c>
      <c r="B43" s="1299" t="s">
        <v>34</v>
      </c>
      <c r="C43" s="1300">
        <v>0</v>
      </c>
      <c r="D43" s="1300">
        <v>0</v>
      </c>
      <c r="E43" s="1300">
        <v>0</v>
      </c>
      <c r="F43" s="1300">
        <v>0</v>
      </c>
    </row>
    <row r="44" spans="1:6">
      <c r="A44" s="1299" t="s">
        <v>31</v>
      </c>
      <c r="B44" s="1299" t="s">
        <v>35</v>
      </c>
      <c r="C44" s="1300">
        <v>14</v>
      </c>
      <c r="D44" s="1300">
        <v>20252283</v>
      </c>
      <c r="E44" s="1300">
        <v>28</v>
      </c>
      <c r="F44" s="1300">
        <v>13098195</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9</v>
      </c>
      <c r="D47" s="1300">
        <v>1834166</v>
      </c>
      <c r="E47" s="1300">
        <v>5</v>
      </c>
      <c r="F47" s="1300">
        <v>347283</v>
      </c>
    </row>
    <row r="48" spans="1:6">
      <c r="A48" s="1299" t="s">
        <v>31</v>
      </c>
      <c r="B48" s="1299" t="s">
        <v>28</v>
      </c>
      <c r="C48" s="1300">
        <v>3</v>
      </c>
      <c r="D48" s="1300">
        <v>538223</v>
      </c>
      <c r="E48" s="1300">
        <v>4</v>
      </c>
      <c r="F48" s="1300">
        <v>396873</v>
      </c>
    </row>
    <row r="49" spans="1:6">
      <c r="A49" s="1299" t="s">
        <v>31</v>
      </c>
      <c r="B49" s="1299" t="s">
        <v>39</v>
      </c>
      <c r="C49" s="1300">
        <v>0</v>
      </c>
      <c r="D49" s="1300">
        <v>0</v>
      </c>
      <c r="E49" s="1300">
        <v>0</v>
      </c>
      <c r="F49" s="1300">
        <v>0</v>
      </c>
    </row>
    <row r="50" spans="1:6">
      <c r="A50" s="1299" t="s">
        <v>31</v>
      </c>
      <c r="B50" s="1299" t="s">
        <v>40</v>
      </c>
      <c r="C50" s="1300">
        <v>9</v>
      </c>
      <c r="D50" s="1300">
        <v>72160940</v>
      </c>
      <c r="E50" s="1300">
        <v>19</v>
      </c>
      <c r="F50" s="1300">
        <v>31769494</v>
      </c>
    </row>
    <row r="51" spans="1:6">
      <c r="A51" s="1299" t="s">
        <v>41</v>
      </c>
      <c r="B51" s="1299" t="s">
        <v>42</v>
      </c>
      <c r="C51" s="1300">
        <v>6</v>
      </c>
      <c r="D51" s="1300">
        <v>5194088</v>
      </c>
      <c r="E51" s="1300">
        <v>56</v>
      </c>
      <c r="F51" s="1300">
        <v>1492672</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77</v>
      </c>
      <c r="F54" s="1300">
        <v>1011622</v>
      </c>
    </row>
    <row r="55" spans="1:6">
      <c r="A55" s="1299" t="s">
        <v>45</v>
      </c>
      <c r="B55" s="1299" t="s">
        <v>28</v>
      </c>
      <c r="C55" s="1300">
        <v>0</v>
      </c>
      <c r="D55" s="1300">
        <v>0</v>
      </c>
      <c r="E55" s="1300">
        <v>0</v>
      </c>
      <c r="F55" s="1300">
        <v>0</v>
      </c>
    </row>
    <row r="56" spans="1:6">
      <c r="A56" s="1299" t="s">
        <v>47</v>
      </c>
      <c r="B56" s="1299" t="s">
        <v>28</v>
      </c>
      <c r="C56" s="1300">
        <v>26</v>
      </c>
      <c r="D56" s="1300">
        <v>1209162</v>
      </c>
      <c r="E56" s="1300">
        <v>85</v>
      </c>
      <c r="F56" s="1300">
        <v>432562</v>
      </c>
    </row>
    <row r="57" spans="1:6">
      <c r="A57" s="1299" t="s">
        <v>48</v>
      </c>
      <c r="B57" s="1299" t="s">
        <v>49</v>
      </c>
      <c r="C57" s="1300">
        <v>17</v>
      </c>
      <c r="D57" s="1300">
        <v>1269401</v>
      </c>
      <c r="E57" s="1300">
        <v>79</v>
      </c>
      <c r="F57" s="1300">
        <v>1354746</v>
      </c>
    </row>
    <row r="58" spans="1:6">
      <c r="A58" s="1299" t="s">
        <v>48</v>
      </c>
      <c r="B58" s="1299" t="s">
        <v>50</v>
      </c>
      <c r="C58" s="1300">
        <v>10</v>
      </c>
      <c r="D58" s="1300">
        <v>3533188</v>
      </c>
      <c r="E58" s="1300">
        <v>25</v>
      </c>
      <c r="F58" s="1300">
        <v>1232256</v>
      </c>
    </row>
    <row r="59" spans="1:6">
      <c r="A59" s="1299" t="s">
        <v>48</v>
      </c>
      <c r="B59" s="1299" t="s">
        <v>51</v>
      </c>
      <c r="C59" s="1300">
        <v>48</v>
      </c>
      <c r="D59" s="1300">
        <v>3516172</v>
      </c>
      <c r="E59" s="1300">
        <v>158</v>
      </c>
      <c r="F59" s="1300">
        <v>5304806</v>
      </c>
    </row>
    <row r="60" spans="1:6">
      <c r="A60" s="1299" t="s">
        <v>48</v>
      </c>
      <c r="B60" s="1299" t="s">
        <v>52</v>
      </c>
      <c r="C60" s="1300">
        <v>14</v>
      </c>
      <c r="D60" s="1300">
        <v>562428</v>
      </c>
      <c r="E60" s="1300">
        <v>42</v>
      </c>
      <c r="F60" s="1300">
        <v>1333190</v>
      </c>
    </row>
    <row r="61" spans="1:6">
      <c r="A61" s="1299" t="s">
        <v>48</v>
      </c>
      <c r="B61" s="1299" t="s">
        <v>53</v>
      </c>
      <c r="C61" s="1300">
        <v>62</v>
      </c>
      <c r="D61" s="1300">
        <v>7321784</v>
      </c>
      <c r="E61" s="1300">
        <v>249</v>
      </c>
      <c r="F61" s="1300">
        <v>10890875</v>
      </c>
    </row>
    <row r="62" spans="1:6">
      <c r="A62" s="1299" t="s">
        <v>48</v>
      </c>
      <c r="B62" s="1299" t="s">
        <v>54</v>
      </c>
      <c r="C62" s="1300">
        <v>3</v>
      </c>
      <c r="D62" s="1300">
        <v>584931</v>
      </c>
      <c r="E62" s="1300">
        <v>13</v>
      </c>
      <c r="F62" s="1300">
        <v>207819</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1</v>
      </c>
      <c r="D65" s="1300">
        <v>2844</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28016</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56983301</v>
      </c>
      <c r="E73" s="455"/>
      <c r="F73" s="332"/>
    </row>
    <row r="74" spans="1:6">
      <c r="A74" s="1299" t="s">
        <v>63</v>
      </c>
      <c r="B74" s="1299" t="s">
        <v>768</v>
      </c>
      <c r="C74" s="1313" t="s">
        <v>762</v>
      </c>
      <c r="D74" s="1314">
        <v>642796.32871429832</v>
      </c>
      <c r="E74" s="455"/>
      <c r="F74" s="332"/>
    </row>
    <row r="75" spans="1:6">
      <c r="A75" s="1299" t="s">
        <v>64</v>
      </c>
      <c r="B75" s="1299" t="s">
        <v>767</v>
      </c>
      <c r="C75" s="1313" t="s">
        <v>763</v>
      </c>
      <c r="D75" s="1314">
        <v>32409254</v>
      </c>
      <c r="E75" s="455"/>
      <c r="F75" s="332"/>
    </row>
    <row r="76" spans="1:6">
      <c r="A76" s="1299" t="s">
        <v>64</v>
      </c>
      <c r="B76" s="1299" t="s">
        <v>768</v>
      </c>
      <c r="C76" s="1313" t="s">
        <v>764</v>
      </c>
      <c r="D76" s="1314">
        <v>52263.328714298259</v>
      </c>
      <c r="E76" s="455"/>
      <c r="F76" s="332"/>
    </row>
    <row r="77" spans="1:6">
      <c r="A77" s="1299" t="s">
        <v>65</v>
      </c>
      <c r="B77" s="1299" t="s">
        <v>767</v>
      </c>
      <c r="C77" s="1313" t="s">
        <v>765</v>
      </c>
      <c r="D77" s="1314">
        <v>295087372</v>
      </c>
      <c r="E77" s="455"/>
      <c r="F77" s="332"/>
    </row>
    <row r="78" spans="1:6">
      <c r="A78" s="1294" t="s">
        <v>65</v>
      </c>
      <c r="B78" s="1294" t="s">
        <v>768</v>
      </c>
      <c r="C78" s="1294" t="s">
        <v>766</v>
      </c>
      <c r="D78" s="1315">
        <v>42459696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607697.34257140348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4288.2520329119261</v>
      </c>
      <c r="C91" s="332"/>
      <c r="D91" s="332"/>
      <c r="E91" s="332"/>
      <c r="F91" s="332"/>
    </row>
    <row r="92" spans="1:6">
      <c r="A92" s="1294" t="s">
        <v>68</v>
      </c>
      <c r="B92" s="1295">
        <v>4286.4266891690131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483</v>
      </c>
      <c r="C97" s="332"/>
      <c r="D97" s="332"/>
      <c r="E97" s="332"/>
      <c r="F97" s="332"/>
    </row>
    <row r="98" spans="1:6">
      <c r="A98" s="1299" t="s">
        <v>71</v>
      </c>
      <c r="B98" s="1300">
        <v>1</v>
      </c>
      <c r="C98" s="332"/>
      <c r="D98" s="332"/>
      <c r="E98" s="332"/>
      <c r="F98" s="332"/>
    </row>
    <row r="99" spans="1:6">
      <c r="A99" s="1299" t="s">
        <v>72</v>
      </c>
      <c r="B99" s="1300">
        <v>32</v>
      </c>
      <c r="C99" s="332"/>
      <c r="D99" s="332"/>
      <c r="E99" s="332"/>
      <c r="F99" s="332"/>
    </row>
    <row r="100" spans="1:6">
      <c r="A100" s="1299" t="s">
        <v>73</v>
      </c>
      <c r="B100" s="1300">
        <v>203</v>
      </c>
      <c r="C100" s="332"/>
      <c r="D100" s="332"/>
      <c r="E100" s="332"/>
      <c r="F100" s="332"/>
    </row>
    <row r="101" spans="1:6">
      <c r="A101" s="1299" t="s">
        <v>74</v>
      </c>
      <c r="B101" s="1300">
        <v>70</v>
      </c>
      <c r="C101" s="332"/>
      <c r="D101" s="332"/>
      <c r="E101" s="332"/>
      <c r="F101" s="332"/>
    </row>
    <row r="102" spans="1:6">
      <c r="A102" s="1299" t="s">
        <v>75</v>
      </c>
      <c r="B102" s="1300">
        <v>48</v>
      </c>
      <c r="C102" s="332"/>
      <c r="D102" s="332"/>
      <c r="E102" s="332"/>
      <c r="F102" s="332"/>
    </row>
    <row r="103" spans="1:6">
      <c r="A103" s="1299" t="s">
        <v>76</v>
      </c>
      <c r="B103" s="1300">
        <v>81</v>
      </c>
      <c r="C103" s="332"/>
      <c r="D103" s="332"/>
      <c r="E103" s="332"/>
      <c r="F103" s="332"/>
    </row>
    <row r="104" spans="1:6">
      <c r="A104" s="1299" t="s">
        <v>77</v>
      </c>
      <c r="B104" s="1300">
        <v>4055</v>
      </c>
      <c r="C104" s="332"/>
      <c r="D104" s="332"/>
      <c r="E104" s="332"/>
      <c r="F104" s="332"/>
    </row>
    <row r="105" spans="1:6">
      <c r="A105" s="1294" t="s">
        <v>78</v>
      </c>
      <c r="B105" s="1303">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11</v>
      </c>
      <c r="C123" s="1300">
        <v>15</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64</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11</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104240.40707549847</v>
      </c>
      <c r="C3" s="44" t="s">
        <v>169</v>
      </c>
      <c r="D3" s="44"/>
      <c r="E3" s="157"/>
      <c r="F3" s="44"/>
      <c r="G3" s="44"/>
      <c r="H3" s="44"/>
      <c r="I3" s="44"/>
      <c r="J3" s="44"/>
      <c r="K3" s="97"/>
    </row>
    <row r="4" spans="1:11">
      <c r="A4" s="362" t="s">
        <v>170</v>
      </c>
      <c r="B4" s="50">
        <f>IF(ISERROR('SEAP template'!B78+'SEAP template'!C78),0,'SEAP template'!B78+'SEAP template'!C78)</f>
        <v>12219.678722080938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286.23970588235295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0.1978390266362936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322.01966911764708</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4100.6250000000009</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7.8529411764705875E-2</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1011.622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1011.622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0.1978390266362936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200.1383118038606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24470.53</v>
      </c>
      <c r="C5" s="18">
        <f>IF(ISERROR('Eigen informatie GS &amp; warmtenet'!B57),0,'Eigen informatie GS &amp; warmtenet'!B57)</f>
        <v>0</v>
      </c>
      <c r="D5" s="31">
        <f>(SUM(HH_hh_gas_kWh,HH_rest_gas_kWh)/1000)*0.902</f>
        <v>27694.841130000001</v>
      </c>
      <c r="E5" s="18">
        <f>B46*B57</f>
        <v>2381.5116506595491</v>
      </c>
      <c r="F5" s="18">
        <f>B51*B62</f>
        <v>58806.277252234147</v>
      </c>
      <c r="G5" s="19"/>
      <c r="H5" s="18"/>
      <c r="I5" s="18"/>
      <c r="J5" s="18">
        <f>B50*B61+C50*C61</f>
        <v>0</v>
      </c>
      <c r="K5" s="18"/>
      <c r="L5" s="18"/>
      <c r="M5" s="18"/>
      <c r="N5" s="18">
        <f>B48*B59+C48*C59</f>
        <v>17704.768555119648</v>
      </c>
      <c r="O5" s="18">
        <f>B69*B70*B71</f>
        <v>123.50333333333334</v>
      </c>
      <c r="P5" s="18">
        <f>B77*B78*B79/1000-B77*B78*B79/1000/B80</f>
        <v>419.4666666666667</v>
      </c>
    </row>
    <row r="6" spans="1:16">
      <c r="A6" s="17" t="s">
        <v>638</v>
      </c>
      <c r="B6" s="776">
        <f>kWh_PV_kleiner_dan_10kW</f>
        <v>4288.2520329119261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28758.782032911924</v>
      </c>
      <c r="C8" s="22">
        <f>C5</f>
        <v>0</v>
      </c>
      <c r="D8" s="22">
        <f>D5</f>
        <v>27694.841130000001</v>
      </c>
      <c r="E8" s="22">
        <f>E5</f>
        <v>2381.5116506595491</v>
      </c>
      <c r="F8" s="22">
        <f>F5</f>
        <v>58806.277252234147</v>
      </c>
      <c r="G8" s="22"/>
      <c r="H8" s="22"/>
      <c r="I8" s="22"/>
      <c r="J8" s="22">
        <f>J5</f>
        <v>0</v>
      </c>
      <c r="K8" s="22"/>
      <c r="L8" s="22">
        <f>L5</f>
        <v>0</v>
      </c>
      <c r="M8" s="22">
        <f>M5</f>
        <v>0</v>
      </c>
      <c r="N8" s="22">
        <f>N5</f>
        <v>17704.768555119648</v>
      </c>
      <c r="O8" s="22">
        <f>O5</f>
        <v>123.50333333333334</v>
      </c>
      <c r="P8" s="22">
        <f>P5</f>
        <v>419.4666666666667</v>
      </c>
    </row>
    <row r="9" spans="1:16">
      <c r="B9" s="20"/>
      <c r="C9" s="20"/>
      <c r="D9" s="262"/>
      <c r="E9" s="20"/>
      <c r="F9" s="20"/>
      <c r="G9" s="20"/>
      <c r="H9" s="20"/>
      <c r="I9" s="20"/>
      <c r="J9" s="20"/>
      <c r="K9" s="20"/>
      <c r="L9" s="20"/>
      <c r="M9" s="20"/>
      <c r="N9" s="20"/>
      <c r="O9" s="20"/>
      <c r="P9" s="20"/>
    </row>
    <row r="10" spans="1:16">
      <c r="A10" s="25" t="s">
        <v>213</v>
      </c>
      <c r="B10" s="26">
        <f ca="1">'EF ele_warmte'!B12</f>
        <v>0.1978390266362936</v>
      </c>
      <c r="C10" s="26">
        <f ca="1">'EF ele_warmte'!B22</f>
        <v>7.8529411764705875E-2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5689.6094446366242</v>
      </c>
      <c r="C12" s="24">
        <f ca="1">C10*C8</f>
        <v>0</v>
      </c>
      <c r="D12" s="24">
        <f>D8*D10</f>
        <v>5594.3579082600008</v>
      </c>
      <c r="E12" s="24">
        <f>E10*E8</f>
        <v>540.60314469971763</v>
      </c>
      <c r="F12" s="24">
        <f>F10*F8</f>
        <v>15701.276026346519</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483</v>
      </c>
      <c r="C18" s="169" t="s">
        <v>110</v>
      </c>
      <c r="D18" s="231"/>
      <c r="E18" s="16"/>
    </row>
    <row r="19" spans="1:7">
      <c r="A19" s="174" t="s">
        <v>71</v>
      </c>
      <c r="B19" s="38">
        <f>aantalw2001_ander</f>
        <v>1</v>
      </c>
      <c r="C19" s="169" t="s">
        <v>110</v>
      </c>
      <c r="D19" s="232"/>
      <c r="E19" s="16"/>
    </row>
    <row r="20" spans="1:7">
      <c r="A20" s="174" t="s">
        <v>72</v>
      </c>
      <c r="B20" s="38">
        <f>aantalw2001_propaan</f>
        <v>32</v>
      </c>
      <c r="C20" s="170">
        <f>IF(ISERROR(B20/SUM($B$20,$B$21,$B$22)*100),0,B20/SUM($B$20,$B$21,$B$22)*100)</f>
        <v>10.491803278688524</v>
      </c>
      <c r="D20" s="232"/>
      <c r="E20" s="16"/>
    </row>
    <row r="21" spans="1:7">
      <c r="A21" s="174" t="s">
        <v>73</v>
      </c>
      <c r="B21" s="38">
        <f>aantalw2001_elektriciteit</f>
        <v>203</v>
      </c>
      <c r="C21" s="170">
        <f>IF(ISERROR(B21/SUM($B$20,$B$21,$B$22)*100),0,B21/SUM($B$20,$B$21,$B$22)*100)</f>
        <v>66.557377049180332</v>
      </c>
      <c r="D21" s="232"/>
      <c r="E21" s="16"/>
    </row>
    <row r="22" spans="1:7">
      <c r="A22" s="174" t="s">
        <v>74</v>
      </c>
      <c r="B22" s="38">
        <f>aantalw2001_hout</f>
        <v>70</v>
      </c>
      <c r="C22" s="170">
        <f>IF(ISERROR(B22/SUM($B$20,$B$21,$B$22)*100),0,B22/SUM($B$20,$B$21,$B$22)*100)</f>
        <v>22.950819672131146</v>
      </c>
      <c r="D22" s="232"/>
      <c r="E22" s="16"/>
    </row>
    <row r="23" spans="1:7">
      <c r="A23" s="174" t="s">
        <v>75</v>
      </c>
      <c r="B23" s="38">
        <f>aantalw2001_niet_gespec</f>
        <v>48</v>
      </c>
      <c r="C23" s="169" t="s">
        <v>110</v>
      </c>
      <c r="D23" s="231"/>
      <c r="E23" s="16"/>
    </row>
    <row r="24" spans="1:7">
      <c r="A24" s="174" t="s">
        <v>76</v>
      </c>
      <c r="B24" s="38">
        <f>aantalw2001_steenkool</f>
        <v>81</v>
      </c>
      <c r="C24" s="169" t="s">
        <v>110</v>
      </c>
      <c r="D24" s="232"/>
      <c r="E24" s="16"/>
    </row>
    <row r="25" spans="1:7">
      <c r="A25" s="174" t="s">
        <v>77</v>
      </c>
      <c r="B25" s="38">
        <f>aantalw2001_stookolie</f>
        <v>4055</v>
      </c>
      <c r="C25" s="169" t="s">
        <v>110</v>
      </c>
      <c r="D25" s="231"/>
      <c r="E25" s="53"/>
    </row>
    <row r="26" spans="1:7">
      <c r="A26" s="174" t="s">
        <v>78</v>
      </c>
      <c r="B26" s="38">
        <f>aantalw2001_WP</f>
        <v>10</v>
      </c>
      <c r="C26" s="169" t="s">
        <v>110</v>
      </c>
      <c r="D26" s="231"/>
      <c r="E26" s="16"/>
    </row>
    <row r="27" spans="1:7" s="16" customFormat="1">
      <c r="A27" s="174"/>
      <c r="B27" s="30"/>
      <c r="C27" s="37"/>
      <c r="D27" s="231"/>
    </row>
    <row r="28" spans="1:7" s="16" customFormat="1">
      <c r="A28" s="233" t="s">
        <v>663</v>
      </c>
      <c r="B28" s="38">
        <f>aantalHuishoudens</f>
        <v>5773</v>
      </c>
      <c r="C28" s="37"/>
      <c r="D28" s="231"/>
    </row>
    <row r="29" spans="1:7" s="16" customFormat="1">
      <c r="A29" s="233" t="s">
        <v>664</v>
      </c>
      <c r="B29" s="38">
        <f>SUM(HH_hh_gas_aantal,HH_rest_gas_aantal)</f>
        <v>1888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1888</v>
      </c>
      <c r="C32" s="170">
        <f>IF(ISERROR(B32/SUM($B$32,$B$34,$B$35,$B$36,$B$38,$B$39)*100),0,B32/SUM($B$32,$B$34,$B$35,$B$36,$B$38,$B$39)*100)</f>
        <v>32.829073204660055</v>
      </c>
      <c r="D32" s="236"/>
      <c r="G32" s="16"/>
    </row>
    <row r="33" spans="1:7">
      <c r="A33" s="174" t="s">
        <v>71</v>
      </c>
      <c r="B33" s="35" t="s">
        <v>110</v>
      </c>
      <c r="C33" s="170"/>
      <c r="D33" s="236"/>
      <c r="G33" s="16"/>
    </row>
    <row r="34" spans="1:7">
      <c r="A34" s="174" t="s">
        <v>72</v>
      </c>
      <c r="B34" s="34">
        <f>IF((($B$28-$B$32-$B$39-$B$77-$B$38)*C20/100)&lt;0,0,($B$28-$B$32-$B$39-$B$77-$B$38)*C20/100)</f>
        <v>112.52459016393442</v>
      </c>
      <c r="C34" s="170">
        <f>IF(ISERROR(B34/SUM($B$32,$B$34,$B$35,$B$36,$B$38,$B$39)*100),0,B34/SUM($B$32,$B$34,$B$35,$B$36,$B$38,$B$39)*100)</f>
        <v>1.9566091143094144</v>
      </c>
      <c r="D34" s="236"/>
      <c r="G34" s="16"/>
    </row>
    <row r="35" spans="1:7">
      <c r="A35" s="174" t="s">
        <v>73</v>
      </c>
      <c r="B35" s="34">
        <f>IF((($B$28-$B$32-$B$39-$B$77-$B$38)*C21/100)&lt;0,0,($B$28-$B$32-$B$39-$B$77-$B$38)*C21/100)</f>
        <v>713.82786885245912</v>
      </c>
      <c r="C35" s="170">
        <f>IF(ISERROR(B35/SUM($B$32,$B$34,$B$35,$B$36,$B$38,$B$39)*100),0,B35/SUM($B$32,$B$34,$B$35,$B$36,$B$38,$B$39)*100)</f>
        <v>12.41223906890035</v>
      </c>
      <c r="D35" s="236"/>
      <c r="G35" s="16"/>
    </row>
    <row r="36" spans="1:7">
      <c r="A36" s="174" t="s">
        <v>74</v>
      </c>
      <c r="B36" s="34">
        <f>IF((($B$28-$B$32-$B$39-$B$77-$B$38)*C22/100)&lt;0,0,($B$28-$B$32-$B$39-$B$77-$B$38)*C22/100)</f>
        <v>246.14754098360655</v>
      </c>
      <c r="C36" s="170">
        <f>IF(ISERROR(B36/SUM($B$32,$B$34,$B$35,$B$36,$B$38,$B$39)*100),0,B36/SUM($B$32,$B$34,$B$35,$B$36,$B$38,$B$39)*100)</f>
        <v>4.2800824375518438</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2790.5</v>
      </c>
      <c r="C39" s="170">
        <f>IF(ISERROR(B39/SUM($B$32,$B$34,$B$35,$B$36,$B$38,$B$39)*100),0,B39/SUM($B$32,$B$34,$B$35,$B$36,$B$38,$B$39)*100)</f>
        <v>48.521996174578334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1888</v>
      </c>
      <c r="C44" s="35" t="s">
        <v>110</v>
      </c>
      <c r="D44" s="177"/>
    </row>
    <row r="45" spans="1:7">
      <c r="A45" s="174" t="s">
        <v>71</v>
      </c>
      <c r="B45" s="34" t="str">
        <f t="shared" si="0"/>
        <v>-</v>
      </c>
      <c r="C45" s="35" t="s">
        <v>110</v>
      </c>
      <c r="D45" s="177"/>
    </row>
    <row r="46" spans="1:7">
      <c r="A46" s="174" t="s">
        <v>72</v>
      </c>
      <c r="B46" s="34">
        <f t="shared" si="0"/>
        <v>112.52459016393442</v>
      </c>
      <c r="C46" s="35" t="s">
        <v>110</v>
      </c>
      <c r="D46" s="177"/>
    </row>
    <row r="47" spans="1:7">
      <c r="A47" s="174" t="s">
        <v>73</v>
      </c>
      <c r="B47" s="34">
        <f t="shared" si="0"/>
        <v>713.82786885245912</v>
      </c>
      <c r="C47" s="35" t="s">
        <v>110</v>
      </c>
      <c r="D47" s="177"/>
    </row>
    <row r="48" spans="1:7">
      <c r="A48" s="174" t="s">
        <v>74</v>
      </c>
      <c r="B48" s="34">
        <f t="shared" si="0"/>
        <v>246.14754098360655</v>
      </c>
      <c r="C48" s="34">
        <f>B48*10</f>
        <v>2461.4754098360654</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2790.5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79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20323.691999999999</v>
      </c>
      <c r="C5" s="18">
        <f>IF(ISERROR('Eigen informatie GS &amp; warmtenet'!B58),0,'Eigen informatie GS &amp; warmtenet'!B58)</f>
        <v>0</v>
      </c>
      <c r="D5" s="31">
        <f>SUM(D6:D12)</f>
        <v>15142.689408000002</v>
      </c>
      <c r="E5" s="18">
        <f>SUM(E6:E12)</f>
        <v>128.05652603127444</v>
      </c>
      <c r="F5" s="18">
        <f>SUM(F6:F12)</f>
        <v>3573.7965084794159</v>
      </c>
      <c r="G5" s="19"/>
      <c r="H5" s="18"/>
      <c r="I5" s="18"/>
      <c r="J5" s="18">
        <f>SUM(J6:J12)</f>
        <v>0</v>
      </c>
      <c r="K5" s="18"/>
      <c r="L5" s="18"/>
      <c r="M5" s="18"/>
      <c r="N5" s="18">
        <f>SUM(N6:N12)</f>
        <v>821.52415100426538</v>
      </c>
      <c r="O5" s="18">
        <f>B38*B39*B40</f>
        <v>1.5633333333333335</v>
      </c>
      <c r="P5" s="18">
        <f>B46*B47*B48/1000-B46*B47*B48/1000/B49</f>
        <v>0</v>
      </c>
      <c r="R5" s="33"/>
    </row>
    <row r="6" spans="1:18">
      <c r="A6" s="33" t="s">
        <v>53</v>
      </c>
      <c r="B6" s="38">
        <f>B26</f>
        <v>10890.875</v>
      </c>
      <c r="C6" s="34"/>
      <c r="D6" s="38">
        <f>IF(ISERROR(TER_kantoor_gas_kWh/1000),0,TER_kantoor_gas_kWh/1000)*0.902</f>
        <v>6604.2491680000003</v>
      </c>
      <c r="E6" s="34">
        <f>$C$26*'E Balans VL '!I12/100/3.6*1000000</f>
        <v>17.874133192336757</v>
      </c>
      <c r="F6" s="34">
        <f>$C$26*('E Balans VL '!L12+'E Balans VL '!N12)/100/3.6*1000000</f>
        <v>1283.7779141267013</v>
      </c>
      <c r="G6" s="35"/>
      <c r="H6" s="34"/>
      <c r="I6" s="34"/>
      <c r="J6" s="34">
        <f>$C$26*('E Balans VL '!D12+'E Balans VL '!E12)/100/3.6*1000000</f>
        <v>0</v>
      </c>
      <c r="K6" s="34"/>
      <c r="L6" s="34"/>
      <c r="M6" s="34"/>
      <c r="N6" s="34">
        <f>$C$26*'E Balans VL '!Y12/100/3.6*1000000</f>
        <v>2.2004497212347678</v>
      </c>
      <c r="O6" s="34"/>
      <c r="P6" s="34"/>
      <c r="R6" s="33"/>
    </row>
    <row r="7" spans="1:18">
      <c r="A7" s="33" t="s">
        <v>52</v>
      </c>
      <c r="B7" s="38">
        <f t="shared" ref="B7:B12" si="0">B27</f>
        <v>1333.19</v>
      </c>
      <c r="C7" s="34"/>
      <c r="D7" s="38">
        <f>IF(ISERROR(TER_horeca_gas_kWh/1000),0,TER_horeca_gas_kWh/1000)*0.902</f>
        <v>507.31005600000003</v>
      </c>
      <c r="E7" s="34">
        <f>$C$27*'E Balans VL '!I9/100/3.6*1000000</f>
        <v>69.182913830718263</v>
      </c>
      <c r="F7" s="34">
        <f>$C$27*('E Balans VL '!L9+'E Balans VL '!N9)/100/3.6*1000000</f>
        <v>304.23492536745852</v>
      </c>
      <c r="G7" s="35"/>
      <c r="H7" s="34"/>
      <c r="I7" s="34"/>
      <c r="J7" s="34">
        <f>$C$27*('E Balans VL '!D9+'E Balans VL '!E9)/100/3.6*1000000</f>
        <v>0</v>
      </c>
      <c r="K7" s="34"/>
      <c r="L7" s="34"/>
      <c r="M7" s="34"/>
      <c r="N7" s="34">
        <f>$C$27*'E Balans VL '!Y9/100/3.6*1000000</f>
        <v>0.14078425303902789</v>
      </c>
      <c r="O7" s="34"/>
      <c r="P7" s="34"/>
      <c r="R7" s="33"/>
    </row>
    <row r="8" spans="1:18">
      <c r="A8" s="6" t="s">
        <v>51</v>
      </c>
      <c r="B8" s="38">
        <f t="shared" si="0"/>
        <v>5304.8059999999996</v>
      </c>
      <c r="C8" s="34"/>
      <c r="D8" s="38">
        <f>IF(ISERROR(TER_handel_gas_kWh/1000),0,TER_handel_gas_kWh/1000)*0.902</f>
        <v>3171.5871440000001</v>
      </c>
      <c r="E8" s="34">
        <f>$C$28*'E Balans VL '!I13/100/3.6*1000000</f>
        <v>28.567032184016337</v>
      </c>
      <c r="F8" s="34">
        <f>$C$28*('E Balans VL '!L13+'E Balans VL '!N13)/100/3.6*1000000</f>
        <v>1081.8075880357778</v>
      </c>
      <c r="G8" s="35"/>
      <c r="H8" s="34"/>
      <c r="I8" s="34"/>
      <c r="J8" s="34">
        <f>$C$28*('E Balans VL '!D13+'E Balans VL '!E13)/100/3.6*1000000</f>
        <v>0</v>
      </c>
      <c r="K8" s="34"/>
      <c r="L8" s="34"/>
      <c r="M8" s="34"/>
      <c r="N8" s="34">
        <f>$C$28*'E Balans VL '!Y13/100/3.6*1000000</f>
        <v>26.377998850212784</v>
      </c>
      <c r="O8" s="34"/>
      <c r="P8" s="34"/>
      <c r="R8" s="33"/>
    </row>
    <row r="9" spans="1:18">
      <c r="A9" s="33" t="s">
        <v>50</v>
      </c>
      <c r="B9" s="38">
        <f t="shared" si="0"/>
        <v>1232.2560000000001</v>
      </c>
      <c r="C9" s="34"/>
      <c r="D9" s="38">
        <f>IF(ISERROR(TER_gezond_gas_kWh/1000),0,TER_gezond_gas_kWh/1000)*0.902</f>
        <v>3186.9355760000003</v>
      </c>
      <c r="E9" s="34">
        <f>$C$29*'E Balans VL '!I10/100/3.6*1000000</f>
        <v>1.2211797091572372</v>
      </c>
      <c r="F9" s="34">
        <f>$C$29*('E Balans VL '!L10+'E Balans VL '!N10)/100/3.6*1000000</f>
        <v>427.55731358344121</v>
      </c>
      <c r="G9" s="35"/>
      <c r="H9" s="34"/>
      <c r="I9" s="34"/>
      <c r="J9" s="34">
        <f>$C$29*('E Balans VL '!D10+'E Balans VL '!E10)/100/3.6*1000000</f>
        <v>0</v>
      </c>
      <c r="K9" s="34"/>
      <c r="L9" s="34"/>
      <c r="M9" s="34"/>
      <c r="N9" s="34">
        <f>$C$29*'E Balans VL '!Y10/100/3.6*1000000</f>
        <v>10.618243202174511</v>
      </c>
      <c r="O9" s="34"/>
      <c r="P9" s="34"/>
      <c r="R9" s="33"/>
    </row>
    <row r="10" spans="1:18">
      <c r="A10" s="33" t="s">
        <v>49</v>
      </c>
      <c r="B10" s="38">
        <f t="shared" si="0"/>
        <v>1354.7460000000001</v>
      </c>
      <c r="C10" s="34"/>
      <c r="D10" s="38">
        <f>IF(ISERROR(TER_ander_gas_kWh/1000),0,TER_ander_gas_kWh/1000)*0.902</f>
        <v>1144.9997020000001</v>
      </c>
      <c r="E10" s="34">
        <f>$C$30*'E Balans VL '!I14/100/3.6*1000000</f>
        <v>11.08317625220003</v>
      </c>
      <c r="F10" s="34">
        <f>$C$30*('E Balans VL '!L14+'E Balans VL '!N14)/100/3.6*1000000</f>
        <v>396.07257640605468</v>
      </c>
      <c r="G10" s="35"/>
      <c r="H10" s="34"/>
      <c r="I10" s="34"/>
      <c r="J10" s="34">
        <f>$C$30*('E Balans VL '!D14+'E Balans VL '!E14)/100/3.6*1000000</f>
        <v>0</v>
      </c>
      <c r="K10" s="34"/>
      <c r="L10" s="34"/>
      <c r="M10" s="34"/>
      <c r="N10" s="34">
        <f>$C$30*'E Balans VL '!Y14/100/3.6*1000000</f>
        <v>781.51068430526516</v>
      </c>
      <c r="O10" s="34"/>
      <c r="P10" s="34"/>
      <c r="R10" s="33"/>
    </row>
    <row r="11" spans="1:18">
      <c r="A11" s="33" t="s">
        <v>54</v>
      </c>
      <c r="B11" s="38">
        <f t="shared" si="0"/>
        <v>207.81899999999999</v>
      </c>
      <c r="C11" s="34"/>
      <c r="D11" s="38">
        <f>IF(ISERROR(TER_onderwijs_gas_kWh/1000),0,TER_onderwijs_gas_kWh/1000)*0.902</f>
        <v>527.60776200000009</v>
      </c>
      <c r="E11" s="34">
        <f>$C$31*'E Balans VL '!I11/100/3.6*1000000</f>
        <v>0.12809086284581214</v>
      </c>
      <c r="F11" s="34">
        <f>$C$31*('E Balans VL '!L11+'E Balans VL '!N11)/100/3.6*1000000</f>
        <v>80.346190959982337</v>
      </c>
      <c r="G11" s="35"/>
      <c r="H11" s="34"/>
      <c r="I11" s="34"/>
      <c r="J11" s="34">
        <f>$C$31*('E Balans VL '!D11+'E Balans VL '!E11)/100/3.6*1000000</f>
        <v>0</v>
      </c>
      <c r="K11" s="34"/>
      <c r="L11" s="34"/>
      <c r="M11" s="34"/>
      <c r="N11" s="34">
        <f>$C$31*'E Balans VL '!Y11/100/3.6*1000000</f>
        <v>0.6759906723391792</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3645.0000000000005</v>
      </c>
      <c r="C13" s="250">
        <f ca="1">'lokale energieproductie'!O38+'lokale energieproductie'!O31</f>
        <v>4100.6250000000009</v>
      </c>
      <c r="D13" s="310">
        <f ca="1">('lokale energieproductie'!P31+'lokale energieproductie'!P38)*(-1)</f>
        <v>0</v>
      </c>
      <c r="E13" s="251"/>
      <c r="F13" s="310">
        <f ca="1">('lokale energieproductie'!S31+'lokale energieproductie'!S38)*(-1)</f>
        <v>-2278.125</v>
      </c>
      <c r="G13" s="252"/>
      <c r="H13" s="251"/>
      <c r="I13" s="251"/>
      <c r="J13" s="251"/>
      <c r="K13" s="251"/>
      <c r="L13" s="310">
        <f ca="1">('lokale energieproductie'!U31+'lokale energieproductie'!T31+'lokale energieproductie'!U38+'lokale energieproductie'!T38)*(-1)</f>
        <v>-6834.375</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23968.691999999999</v>
      </c>
      <c r="C16" s="22">
        <f t="shared" ca="1" si="1"/>
        <v>4100.6250000000009</v>
      </c>
      <c r="D16" s="22">
        <f t="shared" ca="1" si="1"/>
        <v>15142.689408000002</v>
      </c>
      <c r="E16" s="22">
        <f t="shared" si="1"/>
        <v>128.05652603127444</v>
      </c>
      <c r="F16" s="22">
        <f t="shared" ca="1" si="1"/>
        <v>1295.6715084794159</v>
      </c>
      <c r="G16" s="22">
        <f t="shared" si="1"/>
        <v>0</v>
      </c>
      <c r="H16" s="22">
        <f t="shared" si="1"/>
        <v>0</v>
      </c>
      <c r="I16" s="22">
        <f t="shared" si="1"/>
        <v>0</v>
      </c>
      <c r="J16" s="22">
        <f t="shared" si="1"/>
        <v>0</v>
      </c>
      <c r="K16" s="22">
        <f t="shared" si="1"/>
        <v>0</v>
      </c>
      <c r="L16" s="22">
        <f t="shared" ca="1" si="1"/>
        <v>0</v>
      </c>
      <c r="M16" s="22">
        <f t="shared" si="1"/>
        <v>0</v>
      </c>
      <c r="N16" s="22">
        <f t="shared" ca="1" si="1"/>
        <v>821.52415100426538</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0.1978390266362936</v>
      </c>
      <c r="C18" s="26">
        <f ca="1">'EF ele_warmte'!B22</f>
        <v>7.8529411764705875E-2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4741.9426950251172</v>
      </c>
      <c r="C20" s="24">
        <f t="shared" ref="C20:P20" ca="1" si="2">C16*C18</f>
        <v>322.01966911764708</v>
      </c>
      <c r="D20" s="24">
        <f t="shared" ca="1" si="2"/>
        <v>3058.8232604160007</v>
      </c>
      <c r="E20" s="24">
        <f t="shared" si="2"/>
        <v>29.0688314090993</v>
      </c>
      <c r="F20" s="24">
        <f t="shared" ca="1" si="2"/>
        <v>345.94429276400405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10890.875</v>
      </c>
      <c r="C26" s="40">
        <f>IF(ISERROR(B26*3.6/1000000/'E Balans VL '!Z12*100),0,B26*3.6/1000000/'E Balans VL '!Z12*100)</f>
        <v>0.23142328356544448</v>
      </c>
      <c r="D26" s="240" t="s">
        <v>703</v>
      </c>
      <c r="F26" s="6"/>
    </row>
    <row r="27" spans="1:18">
      <c r="A27" s="234" t="s">
        <v>52</v>
      </c>
      <c r="B27" s="34">
        <f>IF(ISERROR(TER_horeca_ele_kWh/1000),0,TER_horeca_ele_kWh/1000)</f>
        <v>1333.19</v>
      </c>
      <c r="C27" s="40">
        <f>IF(ISERROR(B27*3.6/1000000/'E Balans VL '!Z9*100),0,B27*3.6/1000000/'E Balans VL '!Z9*100)</f>
        <v>0.10493236251356117</v>
      </c>
      <c r="D27" s="240" t="s">
        <v>703</v>
      </c>
      <c r="F27" s="6"/>
    </row>
    <row r="28" spans="1:18">
      <c r="A28" s="174" t="s">
        <v>51</v>
      </c>
      <c r="B28" s="34">
        <f>IF(ISERROR(TER_handel_ele_kWh/1000),0,TER_handel_ele_kWh/1000)</f>
        <v>5304.8059999999996</v>
      </c>
      <c r="C28" s="40">
        <f>IF(ISERROR(B28*3.6/1000000/'E Balans VL '!Z13*100),0,B28*3.6/1000000/'E Balans VL '!Z13*100)</f>
        <v>0.1485904550800875</v>
      </c>
      <c r="D28" s="240" t="s">
        <v>703</v>
      </c>
      <c r="F28" s="6"/>
    </row>
    <row r="29" spans="1:18">
      <c r="A29" s="234" t="s">
        <v>50</v>
      </c>
      <c r="B29" s="34">
        <f>IF(ISERROR(TER_gezond_ele_kWh/1000),0,TER_gezond_ele_kWh/1000)</f>
        <v>1232.2560000000001</v>
      </c>
      <c r="C29" s="40">
        <f>IF(ISERROR(B29*3.6/1000000/'E Balans VL '!Z10*100),0,B29*3.6/1000000/'E Balans VL '!Z10*100)</f>
        <v>0.15764280432073882</v>
      </c>
      <c r="D29" s="240" t="s">
        <v>703</v>
      </c>
      <c r="F29" s="6"/>
    </row>
    <row r="30" spans="1:18">
      <c r="A30" s="234" t="s">
        <v>49</v>
      </c>
      <c r="B30" s="34">
        <f>IF(ISERROR(TER_ander_ele_kWh/1000),0,TER_ander_ele_kWh/1000)</f>
        <v>1354.7460000000001</v>
      </c>
      <c r="C30" s="40">
        <f>IF(ISERROR(B30*3.6/1000000/'E Balans VL '!Z14*100),0,B30*3.6/1000000/'E Balans VL '!Z14*100)</f>
        <v>0.10132358551079146</v>
      </c>
      <c r="D30" s="240" t="s">
        <v>703</v>
      </c>
      <c r="F30" s="6"/>
    </row>
    <row r="31" spans="1:18">
      <c r="A31" s="234" t="s">
        <v>54</v>
      </c>
      <c r="B31" s="34">
        <f>IF(ISERROR(TER_onderwijs_ele_kWh/1000),0,TER_onderwijs_ele_kWh/1000)</f>
        <v>207.81899999999999</v>
      </c>
      <c r="C31" s="40">
        <f>IF(ISERROR(B31*3.6/1000000/'E Balans VL '!Z11*100),0,B31*3.6/1000000/'E Balans VL '!Z11*100)</f>
        <v>4.3881251044412803E-2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48567.516000000003</v>
      </c>
      <c r="C5" s="18">
        <f>IF(ISERROR('Eigen informatie GS &amp; warmtenet'!B59),0,'Eigen informatie GS &amp; warmtenet'!B59)</f>
        <v>0</v>
      </c>
      <c r="D5" s="31">
        <f>SUM(D6:D15)</f>
        <v>86317.518694000013</v>
      </c>
      <c r="E5" s="18">
        <f>SUM(E6:E15)</f>
        <v>464.818375296792</v>
      </c>
      <c r="F5" s="18">
        <f>SUM(F6:F15)</f>
        <v>7446.5705238516584</v>
      </c>
      <c r="G5" s="19"/>
      <c r="H5" s="18"/>
      <c r="I5" s="18"/>
      <c r="J5" s="18">
        <f>SUM(J6:J15)</f>
        <v>217.15588753937706</v>
      </c>
      <c r="K5" s="18"/>
      <c r="L5" s="18"/>
      <c r="M5" s="18"/>
      <c r="N5" s="18">
        <f>SUM(N6:N15)</f>
        <v>850.5761563675344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13098.195</v>
      </c>
      <c r="C8" s="34"/>
      <c r="D8" s="38">
        <f>IF( ISERROR(IND_metaal_Gas_kWH/1000),0,IND_metaal_Gas_kWH/1000)*0.902</f>
        <v>18267.559266</v>
      </c>
      <c r="E8" s="34">
        <f>C30*'E Balans VL '!I18/100/3.6*1000000</f>
        <v>119.28290140844022</v>
      </c>
      <c r="F8" s="34">
        <f>C30*'E Balans VL '!L18/100/3.6*1000000+C30*'E Balans VL '!N18/100/3.6*1000000</f>
        <v>1727.5524510987293</v>
      </c>
      <c r="G8" s="35"/>
      <c r="H8" s="34"/>
      <c r="I8" s="34"/>
      <c r="J8" s="41">
        <f>C30*'E Balans VL '!D18/100/3.6*1000000+C30*'E Balans VL '!E18/100/3.6*1000000</f>
        <v>214.79138010567388</v>
      </c>
      <c r="K8" s="34"/>
      <c r="L8" s="34"/>
      <c r="M8" s="34"/>
      <c r="N8" s="34">
        <f>C30*'E Balans VL '!Y18/100/3.6*1000000</f>
        <v>45.013292970383581</v>
      </c>
      <c r="O8" s="34"/>
      <c r="P8" s="34"/>
      <c r="R8" s="33"/>
    </row>
    <row r="9" spans="1:18">
      <c r="A9" s="6" t="s">
        <v>32</v>
      </c>
      <c r="B9" s="38">
        <f t="shared" si="0"/>
        <v>2574.364</v>
      </c>
      <c r="C9" s="34"/>
      <c r="D9" s="38">
        <f>IF( ISERROR(IND_andere_gas_kWh/1000),0,IND_andere_gas_kWh/1000)*0.902</f>
        <v>820.89667000000009</v>
      </c>
      <c r="E9" s="34">
        <f>C31*'E Balans VL '!I19/100/3.6*1000000</f>
        <v>14.880208626879549</v>
      </c>
      <c r="F9" s="34">
        <f>C31*'E Balans VL '!L19/100/3.6*1000000+C31*'E Balans VL '!N19/100/3.6*1000000</f>
        <v>2048.0304354938262</v>
      </c>
      <c r="G9" s="35"/>
      <c r="H9" s="34"/>
      <c r="I9" s="34"/>
      <c r="J9" s="41">
        <f>C31*'E Balans VL '!D19/100/3.6*1000000+C31*'E Balans VL '!E19/100/3.6*1000000</f>
        <v>0.24350623917461342</v>
      </c>
      <c r="K9" s="34"/>
      <c r="L9" s="34"/>
      <c r="M9" s="34"/>
      <c r="N9" s="34">
        <f>C31*'E Balans VL '!Y19/100/3.6*1000000</f>
        <v>195.04703164138661</v>
      </c>
      <c r="O9" s="34"/>
      <c r="P9" s="34"/>
      <c r="R9" s="33"/>
    </row>
    <row r="10" spans="1:18">
      <c r="A10" s="6" t="s">
        <v>40</v>
      </c>
      <c r="B10" s="38">
        <f t="shared" si="0"/>
        <v>31769.493999999999</v>
      </c>
      <c r="C10" s="34"/>
      <c r="D10" s="38">
        <f>IF( ISERROR(IND_voed_gas_kWh/1000),0,IND_voed_gas_kWh/1000)*0.902</f>
        <v>65089.167880000001</v>
      </c>
      <c r="E10" s="34">
        <f>C32*'E Balans VL '!I20/100/3.6*1000000</f>
        <v>312.37723982349576</v>
      </c>
      <c r="F10" s="34">
        <f>C32*'E Balans VL '!L20/100/3.6*1000000+C32*'E Balans VL '!N20/100/3.6*1000000</f>
        <v>3528.4169846076829</v>
      </c>
      <c r="G10" s="35"/>
      <c r="H10" s="34"/>
      <c r="I10" s="34"/>
      <c r="J10" s="41">
        <f>C32*'E Balans VL '!D20/100/3.6*1000000+C32*'E Balans VL '!E20/100/3.6*1000000</f>
        <v>0.12521799833644198</v>
      </c>
      <c r="K10" s="34"/>
      <c r="L10" s="34"/>
      <c r="M10" s="34"/>
      <c r="N10" s="34">
        <f>C32*'E Balans VL '!Y20/100/3.6*1000000</f>
        <v>470.4314764130213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347.28300000000002</v>
      </c>
      <c r="C13" s="34"/>
      <c r="D13" s="38">
        <f>IF( ISERROR(IND_papier_gas_kWh/1000),0,IND_papier_gas_kWh/1000)*0.902</f>
        <v>1654.4177319999999</v>
      </c>
      <c r="E13" s="34">
        <f>C35*'E Balans VL '!I23/100/3.6*1000000</f>
        <v>11.828962507795667</v>
      </c>
      <c r="F13" s="34">
        <f>C35*'E Balans VL '!L23/100/3.6*1000000+C35*'E Balans VL '!N23/100/3.6*1000000</f>
        <v>57.363001043435368</v>
      </c>
      <c r="G13" s="35"/>
      <c r="H13" s="34"/>
      <c r="I13" s="34"/>
      <c r="J13" s="41">
        <f>C35*'E Balans VL '!D23/100/3.6*1000000+C35*'E Balans VL '!E23/100/3.6*1000000</f>
        <v>0</v>
      </c>
      <c r="K13" s="34"/>
      <c r="L13" s="34"/>
      <c r="M13" s="34"/>
      <c r="N13" s="34">
        <f>C35*'E Balans VL '!Y23/100/3.6*1000000</f>
        <v>127.79083059191588</v>
      </c>
      <c r="O13" s="34"/>
      <c r="P13" s="34"/>
      <c r="R13" s="33"/>
    </row>
    <row r="14" spans="1:18">
      <c r="A14" s="6" t="s">
        <v>33</v>
      </c>
      <c r="B14" s="38">
        <f t="shared" si="0"/>
        <v>381.30700000000002</v>
      </c>
      <c r="C14" s="34"/>
      <c r="D14" s="38">
        <f>IF( ISERROR(IND_chemie_gas_kWh/1000),0,IND_chemie_gas_kWh/1000)*0.902</f>
        <v>0</v>
      </c>
      <c r="E14" s="34">
        <f>C36*'E Balans VL '!I24/100/3.6*1000000</f>
        <v>2.8828848074638218</v>
      </c>
      <c r="F14" s="34">
        <f>C36*'E Balans VL '!L24/100/3.6*1000000+C36*'E Balans VL '!N24/100/3.6*1000000</f>
        <v>7.0552337428371983</v>
      </c>
      <c r="G14" s="35"/>
      <c r="H14" s="34"/>
      <c r="I14" s="34"/>
      <c r="J14" s="41">
        <f>C36*'E Balans VL '!D24/100/3.6*1000000+C36*'E Balans VL '!E24/100/3.6*1000000</f>
        <v>0</v>
      </c>
      <c r="K14" s="34"/>
      <c r="L14" s="34"/>
      <c r="M14" s="34"/>
      <c r="N14" s="34">
        <f>C36*'E Balans VL '!Y24/100/3.6*1000000</f>
        <v>0.11056919756489973</v>
      </c>
      <c r="O14" s="34"/>
      <c r="P14" s="34"/>
      <c r="R14" s="33"/>
    </row>
    <row r="15" spans="1:18">
      <c r="A15" s="6" t="s">
        <v>269</v>
      </c>
      <c r="B15" s="38">
        <f t="shared" si="0"/>
        <v>396.87299999999999</v>
      </c>
      <c r="C15" s="34"/>
      <c r="D15" s="38">
        <f>IF( ISERROR(IND_rest_gas_kWh/1000),0,IND_rest_gas_kWh/1000)*0.902</f>
        <v>485.47714599999995</v>
      </c>
      <c r="E15" s="34">
        <f>C37*'E Balans VL '!I15/100/3.6*1000000</f>
        <v>3.5661781227170182</v>
      </c>
      <c r="F15" s="34">
        <f>C37*'E Balans VL '!L15/100/3.6*1000000+C37*'E Balans VL '!N15/100/3.6*1000000</f>
        <v>78.15241786514801</v>
      </c>
      <c r="G15" s="35"/>
      <c r="H15" s="34"/>
      <c r="I15" s="34"/>
      <c r="J15" s="41">
        <f>C37*'E Balans VL '!D15/100/3.6*1000000+C37*'E Balans VL '!E15/100/3.6*1000000</f>
        <v>1.995783196192126</v>
      </c>
      <c r="K15" s="34"/>
      <c r="L15" s="34"/>
      <c r="M15" s="34"/>
      <c r="N15" s="34">
        <f>C37*'E Balans VL '!Y15/100/3.6*1000000</f>
        <v>12.182955553262069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48567.516000000003</v>
      </c>
      <c r="C18" s="22">
        <f>C5+C16</f>
        <v>0</v>
      </c>
      <c r="D18" s="22">
        <f>MAX((D5+D16),0)</f>
        <v>86317.518694000013</v>
      </c>
      <c r="E18" s="22">
        <f>MAX((E5+E16),0)</f>
        <v>464.818375296792</v>
      </c>
      <c r="F18" s="22">
        <f>MAX((F5+F16),0)</f>
        <v>7446.5705238516584</v>
      </c>
      <c r="G18" s="22"/>
      <c r="H18" s="22"/>
      <c r="I18" s="22"/>
      <c r="J18" s="22">
        <f>MAX((J5+J16),0)</f>
        <v>217.15588753937706</v>
      </c>
      <c r="K18" s="22"/>
      <c r="L18" s="22">
        <f>MAX((L5+L16),0)</f>
        <v>0</v>
      </c>
      <c r="M18" s="22"/>
      <c r="N18" s="22">
        <f>MAX((N5+N16),0)</f>
        <v>850.5761563675344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0.1978390266362936</v>
      </c>
      <c r="C20" s="26">
        <f ca="1">'EF ele_warmte'!B22</f>
        <v>7.8529411764705875E-2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9608.550091582616</v>
      </c>
      <c r="C22" s="24">
        <f ca="1">C18*C20</f>
        <v>0</v>
      </c>
      <c r="D22" s="24">
        <f>D18*D20</f>
        <v>17436.138776188003</v>
      </c>
      <c r="E22" s="24">
        <f>E18*E20</f>
        <v>105.51377119237179</v>
      </c>
      <c r="F22" s="24">
        <f>F18*F20</f>
        <v>1988.2343298683929</v>
      </c>
      <c r="G22" s="24"/>
      <c r="H22" s="24"/>
      <c r="I22" s="24"/>
      <c r="J22" s="24">
        <f>J18*J20</f>
        <v>76.873184188939476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13098.195</v>
      </c>
      <c r="C30" s="40">
        <f>IF(ISERROR(B30*3.6/1000000/'E Balans VL '!Z18*100),0,B30*3.6/1000000/'E Balans VL '!Z18*100)</f>
        <v>0.72882696487150767</v>
      </c>
      <c r="D30" s="240" t="s">
        <v>703</v>
      </c>
    </row>
    <row r="31" spans="1:18">
      <c r="A31" s="6" t="s">
        <v>32</v>
      </c>
      <c r="B31" s="38">
        <f>IF( ISERROR(IND_ander_ele_kWh/1000),0,IND_ander_ele_kWh/1000)</f>
        <v>2574.364</v>
      </c>
      <c r="C31" s="40">
        <f>IF(ISERROR(B31*3.6/1000000/'E Balans VL '!Z19*100),0,B31*3.6/1000000/'E Balans VL '!Z19*100)</f>
        <v>0.1196754213008339</v>
      </c>
      <c r="D31" s="240" t="s">
        <v>703</v>
      </c>
    </row>
    <row r="32" spans="1:18">
      <c r="A32" s="174" t="s">
        <v>40</v>
      </c>
      <c r="B32" s="38">
        <f>IF( ISERROR(IND_voed_ele_kWh/1000),0,IND_voed_ele_kWh/1000)</f>
        <v>31769.493999999999</v>
      </c>
      <c r="C32" s="40">
        <f>IF(ISERROR(B32*3.6/1000000/'E Balans VL '!Z20*100),0,B32*3.6/1000000/'E Balans VL '!Z20*100)</f>
        <v>1.1229874516896117</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347.28300000000002</v>
      </c>
      <c r="C35" s="40">
        <f>IF(ISERROR(B35*3.6/1000000/'E Balans VL '!Z22*100),0,B35*3.6/1000000/'E Balans VL '!Z22*100)</f>
        <v>6.9794089950249383E-2</v>
      </c>
      <c r="D35" s="240" t="s">
        <v>703</v>
      </c>
    </row>
    <row r="36" spans="1:5">
      <c r="A36" s="174" t="s">
        <v>33</v>
      </c>
      <c r="B36" s="38">
        <f>IF( ISERROR(IND_chemie_ele_kWh/1000),0,IND_chemie_ele_kWh/1000)</f>
        <v>381.30700000000002</v>
      </c>
      <c r="C36" s="40">
        <f>IF(ISERROR(B36*3.6/1000000/'E Balans VL '!Z24*100),0,B36*3.6/1000000/'E Balans VL '!Z24*100)</f>
        <v>9.3897702260805748E-3</v>
      </c>
      <c r="D36" s="240" t="s">
        <v>703</v>
      </c>
    </row>
    <row r="37" spans="1:5">
      <c r="A37" s="174" t="s">
        <v>269</v>
      </c>
      <c r="B37" s="38">
        <f>IF( ISERROR(IND_rest_ele_kWh/1000),0,IND_rest_ele_kWh/1000)</f>
        <v>396.87299999999999</v>
      </c>
      <c r="C37" s="40">
        <f>IF(ISERROR(B37*3.6/1000000/'E Balans VL '!Z15*100),0,B37*3.6/1000000/'E Balans VL '!Z15*100)</f>
        <v>2.9969774200738104E-3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1492.672</v>
      </c>
      <c r="C5" s="18">
        <f>'Eigen informatie GS &amp; warmtenet'!B60</f>
        <v>0</v>
      </c>
      <c r="D5" s="31">
        <f>IF(ISERROR(SUM(LB_lb_gas_kWh,LB_rest_gas_kWh)/1000),0,SUM(LB_lb_gas_kWh,LB_rest_gas_kWh)/1000)*0.902</f>
        <v>4685.067376</v>
      </c>
      <c r="E5" s="18">
        <f>B17*'E Balans VL '!I25/3.6*1000000/100</f>
        <v>14.061970363047134</v>
      </c>
      <c r="F5" s="18">
        <f>B17*('E Balans VL '!L25/3.6*1000000+'E Balans VL '!N25/3.6*1000000)/100</f>
        <v>4871.0841103314096</v>
      </c>
      <c r="G5" s="19"/>
      <c r="H5" s="18"/>
      <c r="I5" s="18"/>
      <c r="J5" s="18">
        <f>('E Balans VL '!D25+'E Balans VL '!E25)/3.6*1000000*landbouw!B17/100</f>
        <v>184.65078675521335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1492.672</v>
      </c>
      <c r="C8" s="22">
        <f>C5+C6</f>
        <v>0</v>
      </c>
      <c r="D8" s="22">
        <f>MAX((D5+D6),0)</f>
        <v>4685.067376</v>
      </c>
      <c r="E8" s="22">
        <f>MAX((E5+E6),0)</f>
        <v>14.061970363047134</v>
      </c>
      <c r="F8" s="22">
        <f>MAX((F5+F6),0)</f>
        <v>4871.0841103314096</v>
      </c>
      <c r="G8" s="22"/>
      <c r="H8" s="22"/>
      <c r="I8" s="22"/>
      <c r="J8" s="22">
        <f>MAX((J5+J6),0)</f>
        <v>184.65078675521335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0.1978390266362936</v>
      </c>
      <c r="C10" s="32">
        <f ca="1">'EF ele_warmte'!B22</f>
        <v>7.8529411764705875E-2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295.30877556724965</v>
      </c>
      <c r="C12" s="24">
        <f ca="1">C8*C10</f>
        <v>0</v>
      </c>
      <c r="D12" s="24">
        <f>D8*D10</f>
        <v>946.38360995200003</v>
      </c>
      <c r="E12" s="24">
        <f>E8*E10</f>
        <v>3.1920672724116996</v>
      </c>
      <c r="F12" s="24">
        <f>F8*F10</f>
        <v>1300.5794574584866</v>
      </c>
      <c r="G12" s="24"/>
      <c r="H12" s="24"/>
      <c r="I12" s="24"/>
      <c r="J12" s="24">
        <f>J8*J10</f>
        <v>65.366378511345516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0.20208393666392049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179.3894131586072</v>
      </c>
      <c r="C26" s="250">
        <f>B26*'GWP N2O_CH4'!B5</f>
        <v>3767.1776763307512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123.30349029812967</v>
      </c>
      <c r="C27" s="250">
        <f>B27*'GWP N2O_CH4'!B5</f>
        <v>2589.3732962607232</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2.9690810623876178</v>
      </c>
      <c r="C28" s="250">
        <f>B28*'GWP N2O_CH4'!B4</f>
        <v>920.41512934016157</v>
      </c>
      <c r="D28" s="51"/>
    </row>
    <row r="29" spans="1:4">
      <c r="A29" s="42" t="s">
        <v>276</v>
      </c>
      <c r="B29" s="250">
        <f>B34*'ha_N2O bodem landbouw'!B4</f>
        <v>9.3430280629139499</v>
      </c>
      <c r="C29" s="250">
        <f>B29*'GWP N2O_CH4'!B4</f>
        <v>2896.3386995033243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2.522323455970268E-3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3.081975331154993E-5</v>
      </c>
      <c r="C5" s="443" t="s">
        <v>210</v>
      </c>
      <c r="D5" s="428">
        <f>SUM(D6:D11)</f>
        <v>6.5656900797354104E-5</v>
      </c>
      <c r="E5" s="428">
        <f>SUM(E6:E11)</f>
        <v>4.9699071368658693E-3</v>
      </c>
      <c r="F5" s="441" t="s">
        <v>210</v>
      </c>
      <c r="G5" s="428">
        <f>SUM(G6:G11)</f>
        <v>1.1289478643730013</v>
      </c>
      <c r="H5" s="428">
        <f>SUM(H6:H11)</f>
        <v>0.17460560126831162</v>
      </c>
      <c r="I5" s="443" t="s">
        <v>210</v>
      </c>
      <c r="J5" s="443" t="s">
        <v>210</v>
      </c>
      <c r="K5" s="443" t="s">
        <v>210</v>
      </c>
      <c r="L5" s="443" t="s">
        <v>210</v>
      </c>
      <c r="M5" s="428">
        <f>SUM(M6:M11)</f>
        <v>5.8231148950489642E-2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4.5677580450065898E-6</v>
      </c>
      <c r="C6" s="429"/>
      <c r="D6" s="429">
        <f>vkm_GW_PW*SUMIFS(TableVerdeelsleutelVkm[CNG],TableVerdeelsleutelVkm[Voertuigtype],"Lichte voertuigen")*SUMIFS(TableECFTransport[EnergieConsumptieFactor (PJ per km)],TableECFTransport[Index],CONCATENATE($A6,"_CNG_CNG"))</f>
        <v>9.2417747619239973E-6</v>
      </c>
      <c r="E6" s="431">
        <f>vkm_GW_PW*SUMIFS(TableVerdeelsleutelVkm[LPG],TableVerdeelsleutelVkm[Voertuigtype],"Lichte voertuigen")*SUMIFS(TableECFTransport[EnergieConsumptieFactor (PJ per km)],TableECFTransport[Index],CONCATENATE($A6,"_LPG_LPG"))</f>
        <v>5.9664299861258399E-4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9.5272443177335076E-2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2.3873573624231665E-2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5.3327562948234765E-3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6.2259304562002765E-3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1.7028967215912988E-7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2.770337429310461E-4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2.59791251284586E-6</v>
      </c>
      <c r="C8" s="429"/>
      <c r="D8" s="431">
        <f>vkm_NGW_PW*SUMIFS(TableVerdeelsleutelVkm[CNG],TableVerdeelsleutelVkm[Voertuigtype],"Lichte voertuigen")*SUMIFS(TableECFTransport[EnergieConsumptieFactor (PJ per km)],TableECFTransport[Index],CONCATENATE($A8,"_CNG_CNG"))</f>
        <v>8.9213589137573315E-6</v>
      </c>
      <c r="E8" s="431">
        <f>vkm_NGW_PW*SUMIFS(TableVerdeelsleutelVkm[LPG],TableVerdeelsleutelVkm[Voertuigtype],"Lichte voertuigen")*SUMIFS(TableECFTransport[EnergieConsumptieFactor (PJ per km)],TableECFTransport[Index],CONCATENATE($A8,"_LPG_LPG"))</f>
        <v>5.4213976992636579E-4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8.2412166938022044E-2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2.1992923446526254E-2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4.6743861043416143E-3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6.4994665013642222E-4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2.0644470489430543E-8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2.892065245288866E-5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2.3654082753697481E-5</v>
      </c>
      <c r="C10" s="429"/>
      <c r="D10" s="431">
        <f>vkm_SW_PW*SUMIFS(TableVerdeelsleutelVkm[CNG],TableVerdeelsleutelVkm[Voertuigtype],"Lichte voertuigen")*SUMIFS(TableECFTransport[EnergieConsumptieFactor (PJ per km)],TableECFTransport[Index],CONCATENATE($A10,"_CNG_CNG"))</f>
        <v>4.7493767121672778E-5</v>
      </c>
      <c r="E10" s="431">
        <f>vkm_SW_PW*SUMIFS(TableVerdeelsleutelVkm[LPG],TableVerdeelsleutelVkm[Voertuigtype],"Lichte voertuigen")*SUMIFS(TableECFTransport[EnergieConsumptieFactor (PJ per km)],TableECFTransport[Index],CONCATENATE($A10,"_LPG_LPG"))</f>
        <v>3.8311243683269193E-3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0.5592250803425306</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0.12872742569467638</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3.0779533635982067E-2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0.38516229680877678</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1.1487568734671581E-5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1.7138518519958557E-2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8.5610425865416477</v>
      </c>
      <c r="C14" s="22"/>
      <c r="D14" s="22">
        <f t="shared" ref="D14:M14" si="0">((D5)*10^9/3600)+D12</f>
        <v>18.238027999265029</v>
      </c>
      <c r="E14" s="22">
        <f t="shared" si="0"/>
        <v>1380.5297602405192</v>
      </c>
      <c r="F14" s="22"/>
      <c r="G14" s="22">
        <f t="shared" si="0"/>
        <v>313596.62899250037</v>
      </c>
      <c r="H14" s="22">
        <f t="shared" si="0"/>
        <v>48501.555907864342</v>
      </c>
      <c r="I14" s="22"/>
      <c r="J14" s="22"/>
      <c r="K14" s="22"/>
      <c r="L14" s="22"/>
      <c r="M14" s="22">
        <f t="shared" si="0"/>
        <v>16175.319152913789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0.1978390266362936</v>
      </c>
      <c r="C16" s="57">
        <f ca="1">'EF ele_warmte'!B22</f>
        <v>7.8529411764705875E-2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1.6937083323132569</v>
      </c>
      <c r="C18" s="24"/>
      <c r="D18" s="24">
        <f t="shared" ref="D18:M18" si="1">D14*D16</f>
        <v>3.6840816558515361</v>
      </c>
      <c r="E18" s="24">
        <f t="shared" si="1"/>
        <v>313.38025557459787</v>
      </c>
      <c r="F18" s="24"/>
      <c r="G18" s="24">
        <f t="shared" si="1"/>
        <v>83730.299940997604</v>
      </c>
      <c r="H18" s="24">
        <f t="shared" si="1"/>
        <v>12076.887421058222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7.9620184929123546E-3</v>
      </c>
      <c r="H50" s="321">
        <f t="shared" si="2"/>
        <v>0</v>
      </c>
      <c r="I50" s="321">
        <f t="shared" si="2"/>
        <v>0</v>
      </c>
      <c r="J50" s="321">
        <f t="shared" si="2"/>
        <v>0</v>
      </c>
      <c r="K50" s="321">
        <f t="shared" si="2"/>
        <v>0</v>
      </c>
      <c r="L50" s="321">
        <f t="shared" si="2"/>
        <v>0</v>
      </c>
      <c r="M50" s="321">
        <f t="shared" si="2"/>
        <v>3.4934286086892074E-4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7.9620184929123546E-3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3.4934286086892074E-4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2211.6718035867652</v>
      </c>
      <c r="H54" s="22">
        <f t="shared" si="3"/>
        <v>0</v>
      </c>
      <c r="I54" s="22">
        <f t="shared" si="3"/>
        <v>0</v>
      </c>
      <c r="J54" s="22">
        <f t="shared" si="3"/>
        <v>0</v>
      </c>
      <c r="K54" s="22">
        <f t="shared" si="3"/>
        <v>0</v>
      </c>
      <c r="L54" s="22">
        <f t="shared" si="3"/>
        <v>0</v>
      </c>
      <c r="M54" s="22">
        <f t="shared" si="3"/>
        <v>97.039683574700206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0.1978390266362936</v>
      </c>
      <c r="C56" s="57">
        <f ca="1">'EF ele_warmte'!B22</f>
        <v>7.8529411764705875E-2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590.51637155766639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24980.313999999998</v>
      </c>
      <c r="D10" s="684">
        <f ca="1">tertiair!C16</f>
        <v>4100.6250000000009</v>
      </c>
      <c r="E10" s="684">
        <f ca="1">tertiair!D16</f>
        <v>15142.689408000002</v>
      </c>
      <c r="F10" s="684">
        <f>tertiair!E16</f>
        <v>128.05652603127444</v>
      </c>
      <c r="G10" s="684">
        <f ca="1">tertiair!F16</f>
        <v>1295.6715084794159</v>
      </c>
      <c r="H10" s="684">
        <f>tertiair!G16</f>
        <v>0</v>
      </c>
      <c r="I10" s="684">
        <f>tertiair!H16</f>
        <v>0</v>
      </c>
      <c r="J10" s="684">
        <f>tertiair!I16</f>
        <v>0</v>
      </c>
      <c r="K10" s="684">
        <f>tertiair!J16</f>
        <v>0</v>
      </c>
      <c r="L10" s="684">
        <f>tertiair!K16</f>
        <v>0</v>
      </c>
      <c r="M10" s="684">
        <f ca="1">tertiair!L16</f>
        <v>0</v>
      </c>
      <c r="N10" s="684">
        <f>tertiair!M16</f>
        <v>0</v>
      </c>
      <c r="O10" s="684">
        <f ca="1">tertiair!N16</f>
        <v>821.52415100426538</v>
      </c>
      <c r="P10" s="684">
        <f>tertiair!O16</f>
        <v>1.5633333333333335</v>
      </c>
      <c r="Q10" s="685">
        <f>tertiair!P16</f>
        <v>0</v>
      </c>
      <c r="R10" s="687">
        <f ca="1">SUM(C10:Q10)</f>
        <v>46470.443926848289</v>
      </c>
      <c r="S10" s="68"/>
    </row>
    <row r="11" spans="1:19" s="453" customFormat="1">
      <c r="A11" s="799" t="s">
        <v>224</v>
      </c>
      <c r="B11" s="804"/>
      <c r="C11" s="684">
        <f>huishoudens!B8</f>
        <v>28758.782032911924</v>
      </c>
      <c r="D11" s="684">
        <f>huishoudens!C8</f>
        <v>0</v>
      </c>
      <c r="E11" s="684">
        <f>huishoudens!D8</f>
        <v>27694.841130000001</v>
      </c>
      <c r="F11" s="684">
        <f>huishoudens!E8</f>
        <v>2381.5116506595491</v>
      </c>
      <c r="G11" s="684">
        <f>huishoudens!F8</f>
        <v>58806.277252234147</v>
      </c>
      <c r="H11" s="684">
        <f>huishoudens!G8</f>
        <v>0</v>
      </c>
      <c r="I11" s="684">
        <f>huishoudens!H8</f>
        <v>0</v>
      </c>
      <c r="J11" s="684">
        <f>huishoudens!I8</f>
        <v>0</v>
      </c>
      <c r="K11" s="684">
        <f>huishoudens!J8</f>
        <v>0</v>
      </c>
      <c r="L11" s="684">
        <f>huishoudens!K8</f>
        <v>0</v>
      </c>
      <c r="M11" s="684">
        <f>huishoudens!L8</f>
        <v>0</v>
      </c>
      <c r="N11" s="684">
        <f>huishoudens!M8</f>
        <v>0</v>
      </c>
      <c r="O11" s="684">
        <f>huishoudens!N8</f>
        <v>17704.768555119648</v>
      </c>
      <c r="P11" s="684">
        <f>huishoudens!O8</f>
        <v>123.50333333333334</v>
      </c>
      <c r="Q11" s="685">
        <f>huishoudens!P8</f>
        <v>419.4666666666667</v>
      </c>
      <c r="R11" s="687">
        <f>SUM(C11:Q11)</f>
        <v>135889.15062092527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48567.516000000003</v>
      </c>
      <c r="D13" s="684">
        <f>industrie!C18</f>
        <v>0</v>
      </c>
      <c r="E13" s="684">
        <f>industrie!D18</f>
        <v>86317.518694000013</v>
      </c>
      <c r="F13" s="684">
        <f>industrie!E18</f>
        <v>464.818375296792</v>
      </c>
      <c r="G13" s="684">
        <f>industrie!F18</f>
        <v>7446.5705238516584</v>
      </c>
      <c r="H13" s="684">
        <f>industrie!G18</f>
        <v>0</v>
      </c>
      <c r="I13" s="684">
        <f>industrie!H18</f>
        <v>0</v>
      </c>
      <c r="J13" s="684">
        <f>industrie!I18</f>
        <v>0</v>
      </c>
      <c r="K13" s="684">
        <f>industrie!J18</f>
        <v>217.15588753937706</v>
      </c>
      <c r="L13" s="684">
        <f>industrie!K18</f>
        <v>0</v>
      </c>
      <c r="M13" s="684">
        <f>industrie!L18</f>
        <v>0</v>
      </c>
      <c r="N13" s="684">
        <f>industrie!M18</f>
        <v>0</v>
      </c>
      <c r="O13" s="684">
        <f>industrie!N18</f>
        <v>850.5761563675344</v>
      </c>
      <c r="P13" s="684">
        <f>industrie!O18</f>
        <v>0</v>
      </c>
      <c r="Q13" s="685">
        <f>industrie!P18</f>
        <v>0</v>
      </c>
      <c r="R13" s="687">
        <f>SUM(C13:Q13)</f>
        <v>143864.15563705543</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102306.61203291193</v>
      </c>
      <c r="D16" s="717">
        <f t="shared" ref="D16:R16" ca="1" si="0">SUM(D9:D15)</f>
        <v>4100.6250000000009</v>
      </c>
      <c r="E16" s="717">
        <f t="shared" ca="1" si="0"/>
        <v>129155.04923200002</v>
      </c>
      <c r="F16" s="717">
        <f t="shared" si="0"/>
        <v>2974.3865519876158</v>
      </c>
      <c r="G16" s="717">
        <f t="shared" ca="1" si="0"/>
        <v>67548.51928456522</v>
      </c>
      <c r="H16" s="717">
        <f t="shared" si="0"/>
        <v>0</v>
      </c>
      <c r="I16" s="717">
        <f t="shared" si="0"/>
        <v>0</v>
      </c>
      <c r="J16" s="717">
        <f t="shared" si="0"/>
        <v>0</v>
      </c>
      <c r="K16" s="717">
        <f t="shared" si="0"/>
        <v>217.15588753937706</v>
      </c>
      <c r="L16" s="717">
        <f t="shared" si="0"/>
        <v>0</v>
      </c>
      <c r="M16" s="717">
        <f t="shared" ca="1" si="0"/>
        <v>0</v>
      </c>
      <c r="N16" s="717">
        <f t="shared" si="0"/>
        <v>0</v>
      </c>
      <c r="O16" s="717">
        <f t="shared" ca="1" si="0"/>
        <v>19376.868862491447</v>
      </c>
      <c r="P16" s="717">
        <f t="shared" si="0"/>
        <v>125.06666666666668</v>
      </c>
      <c r="Q16" s="717">
        <f t="shared" si="0"/>
        <v>419.4666666666667</v>
      </c>
      <c r="R16" s="717">
        <f t="shared" ca="1" si="0"/>
        <v>326223.750184829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2211.6718035867652</v>
      </c>
      <c r="I19" s="684">
        <f>transport!H54</f>
        <v>0</v>
      </c>
      <c r="J19" s="684">
        <f>transport!I54</f>
        <v>0</v>
      </c>
      <c r="K19" s="684">
        <f>transport!J54</f>
        <v>0</v>
      </c>
      <c r="L19" s="684">
        <f>transport!K54</f>
        <v>0</v>
      </c>
      <c r="M19" s="684">
        <f>transport!L54</f>
        <v>0</v>
      </c>
      <c r="N19" s="684">
        <f>transport!M54</f>
        <v>97.039683574700206</v>
      </c>
      <c r="O19" s="684">
        <f>transport!N54</f>
        <v>0</v>
      </c>
      <c r="P19" s="684">
        <f>transport!O54</f>
        <v>0</v>
      </c>
      <c r="Q19" s="685">
        <f>transport!P54</f>
        <v>0</v>
      </c>
      <c r="R19" s="687">
        <f>SUM(C19:Q19)</f>
        <v>2308.7114871614654</v>
      </c>
      <c r="S19" s="68"/>
    </row>
    <row r="20" spans="1:19" s="453" customFormat="1">
      <c r="A20" s="799" t="s">
        <v>306</v>
      </c>
      <c r="B20" s="804"/>
      <c r="C20" s="684">
        <f>transport!B14</f>
        <v>8.5610425865416477</v>
      </c>
      <c r="D20" s="684">
        <f>transport!C14</f>
        <v>0</v>
      </c>
      <c r="E20" s="684">
        <f>transport!D14</f>
        <v>18.238027999265029</v>
      </c>
      <c r="F20" s="684">
        <f>transport!E14</f>
        <v>1380.5297602405192</v>
      </c>
      <c r="G20" s="684">
        <f>transport!F14</f>
        <v>0</v>
      </c>
      <c r="H20" s="684">
        <f>transport!G14</f>
        <v>313596.62899250037</v>
      </c>
      <c r="I20" s="684">
        <f>transport!H14</f>
        <v>48501.555907864342</v>
      </c>
      <c r="J20" s="684">
        <f>transport!I14</f>
        <v>0</v>
      </c>
      <c r="K20" s="684">
        <f>transport!J14</f>
        <v>0</v>
      </c>
      <c r="L20" s="684">
        <f>transport!K14</f>
        <v>0</v>
      </c>
      <c r="M20" s="684">
        <f>transport!L14</f>
        <v>0</v>
      </c>
      <c r="N20" s="684">
        <f>transport!M14</f>
        <v>16175.319152913789</v>
      </c>
      <c r="O20" s="684">
        <f>transport!N14</f>
        <v>0</v>
      </c>
      <c r="P20" s="684">
        <f>transport!O14</f>
        <v>0</v>
      </c>
      <c r="Q20" s="685">
        <f>transport!P14</f>
        <v>0</v>
      </c>
      <c r="R20" s="687">
        <f>SUM(C20:Q20)</f>
        <v>379680.83288410486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8.5610425865416477</v>
      </c>
      <c r="D22" s="802">
        <f t="shared" ref="D22:R22" si="1">SUM(D18:D21)</f>
        <v>0</v>
      </c>
      <c r="E22" s="802">
        <f t="shared" si="1"/>
        <v>18.238027999265029</v>
      </c>
      <c r="F22" s="802">
        <f t="shared" si="1"/>
        <v>1380.5297602405192</v>
      </c>
      <c r="G22" s="802">
        <f t="shared" si="1"/>
        <v>0</v>
      </c>
      <c r="H22" s="802">
        <f t="shared" si="1"/>
        <v>315808.30079608713</v>
      </c>
      <c r="I22" s="802">
        <f t="shared" si="1"/>
        <v>48501.555907864342</v>
      </c>
      <c r="J22" s="802">
        <f t="shared" si="1"/>
        <v>0</v>
      </c>
      <c r="K22" s="802">
        <f t="shared" si="1"/>
        <v>0</v>
      </c>
      <c r="L22" s="802">
        <f t="shared" si="1"/>
        <v>0</v>
      </c>
      <c r="M22" s="802">
        <f t="shared" si="1"/>
        <v>0</v>
      </c>
      <c r="N22" s="802">
        <f t="shared" si="1"/>
        <v>16272.358836488489</v>
      </c>
      <c r="O22" s="802">
        <f t="shared" si="1"/>
        <v>0</v>
      </c>
      <c r="P22" s="802">
        <f t="shared" si="1"/>
        <v>0</v>
      </c>
      <c r="Q22" s="802">
        <f t="shared" si="1"/>
        <v>0</v>
      </c>
      <c r="R22" s="802">
        <f t="shared" si="1"/>
        <v>381989.54437126633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1492.672</v>
      </c>
      <c r="D24" s="684">
        <f>+landbouw!C8</f>
        <v>0</v>
      </c>
      <c r="E24" s="684">
        <f>+landbouw!D8</f>
        <v>4685.067376</v>
      </c>
      <c r="F24" s="684">
        <f>+landbouw!E8</f>
        <v>14.061970363047134</v>
      </c>
      <c r="G24" s="684">
        <f>+landbouw!F8</f>
        <v>4871.0841103314096</v>
      </c>
      <c r="H24" s="684">
        <f>+landbouw!G8</f>
        <v>0</v>
      </c>
      <c r="I24" s="684">
        <f>+landbouw!H8</f>
        <v>0</v>
      </c>
      <c r="J24" s="684">
        <f>+landbouw!I8</f>
        <v>0</v>
      </c>
      <c r="K24" s="684">
        <f>+landbouw!J8</f>
        <v>184.65078675521335</v>
      </c>
      <c r="L24" s="684">
        <f>+landbouw!K8</f>
        <v>0</v>
      </c>
      <c r="M24" s="684">
        <f>+landbouw!L8</f>
        <v>0</v>
      </c>
      <c r="N24" s="684">
        <f>+landbouw!M8</f>
        <v>0</v>
      </c>
      <c r="O24" s="684">
        <f>+landbouw!N8</f>
        <v>0</v>
      </c>
      <c r="P24" s="684">
        <f>+landbouw!O8</f>
        <v>0</v>
      </c>
      <c r="Q24" s="685">
        <f>+landbouw!P8</f>
        <v>0</v>
      </c>
      <c r="R24" s="687">
        <f>SUM(C24:Q24)</f>
        <v>11247.536243449671</v>
      </c>
      <c r="S24" s="68"/>
    </row>
    <row r="25" spans="1:19" s="453" customFormat="1" ht="15" thickBot="1">
      <c r="A25" s="821" t="s">
        <v>896</v>
      </c>
      <c r="B25" s="990"/>
      <c r="C25" s="991">
        <f>IF(Onbekend_ele_kWh="---",0,Onbekend_ele_kWh)/1000+IF(REST_rest_ele_kWh="---",0,REST_rest_ele_kWh)/1000</f>
        <v>432.56200000000001</v>
      </c>
      <c r="D25" s="991"/>
      <c r="E25" s="991">
        <f>IF(onbekend_gas_kWh="---",0,onbekend_gas_kWh)/1000+IF(REST_rest_gas_kWh="---",0,REST_rest_gas_kWh)/1000</f>
        <v>1209.162</v>
      </c>
      <c r="F25" s="991"/>
      <c r="G25" s="991"/>
      <c r="H25" s="991"/>
      <c r="I25" s="991"/>
      <c r="J25" s="991"/>
      <c r="K25" s="991"/>
      <c r="L25" s="991"/>
      <c r="M25" s="991"/>
      <c r="N25" s="991"/>
      <c r="O25" s="991"/>
      <c r="P25" s="991"/>
      <c r="Q25" s="992"/>
      <c r="R25" s="687">
        <f>SUM(C25:Q25)</f>
        <v>1641.7240000000002</v>
      </c>
      <c r="S25" s="68"/>
    </row>
    <row r="26" spans="1:19" s="453" customFormat="1" ht="15.75" thickBot="1">
      <c r="A26" s="690" t="s">
        <v>897</v>
      </c>
      <c r="B26" s="807"/>
      <c r="C26" s="802">
        <f>SUM(C24:C25)</f>
        <v>1925.2339999999999</v>
      </c>
      <c r="D26" s="802">
        <f t="shared" ref="D26:R26" si="2">SUM(D24:D25)</f>
        <v>0</v>
      </c>
      <c r="E26" s="802">
        <f t="shared" si="2"/>
        <v>5894.2293760000002</v>
      </c>
      <c r="F26" s="802">
        <f t="shared" si="2"/>
        <v>14.061970363047134</v>
      </c>
      <c r="G26" s="802">
        <f t="shared" si="2"/>
        <v>4871.0841103314096</v>
      </c>
      <c r="H26" s="802">
        <f t="shared" si="2"/>
        <v>0</v>
      </c>
      <c r="I26" s="802">
        <f t="shared" si="2"/>
        <v>0</v>
      </c>
      <c r="J26" s="802">
        <f t="shared" si="2"/>
        <v>0</v>
      </c>
      <c r="K26" s="802">
        <f t="shared" si="2"/>
        <v>184.65078675521335</v>
      </c>
      <c r="L26" s="802">
        <f t="shared" si="2"/>
        <v>0</v>
      </c>
      <c r="M26" s="802">
        <f t="shared" si="2"/>
        <v>0</v>
      </c>
      <c r="N26" s="802">
        <f t="shared" si="2"/>
        <v>0</v>
      </c>
      <c r="O26" s="802">
        <f t="shared" si="2"/>
        <v>0</v>
      </c>
      <c r="P26" s="802">
        <f t="shared" si="2"/>
        <v>0</v>
      </c>
      <c r="Q26" s="802">
        <f t="shared" si="2"/>
        <v>0</v>
      </c>
      <c r="R26" s="802">
        <f t="shared" si="2"/>
        <v>12889.260243449671</v>
      </c>
      <c r="S26" s="68"/>
    </row>
    <row r="27" spans="1:19" s="453" customFormat="1" ht="17.25" thickTop="1" thickBot="1">
      <c r="A27" s="691" t="s">
        <v>115</v>
      </c>
      <c r="B27" s="794"/>
      <c r="C27" s="692">
        <f ca="1">C22+C16+C26</f>
        <v>104240.40707549847</v>
      </c>
      <c r="D27" s="692">
        <f t="shared" ref="D27:R27" ca="1" si="3">D22+D16+D26</f>
        <v>4100.6250000000009</v>
      </c>
      <c r="E27" s="692">
        <f t="shared" ca="1" si="3"/>
        <v>135067.51663599929</v>
      </c>
      <c r="F27" s="692">
        <f t="shared" si="3"/>
        <v>4368.9782825911825</v>
      </c>
      <c r="G27" s="692">
        <f t="shared" ca="1" si="3"/>
        <v>72419.603394896636</v>
      </c>
      <c r="H27" s="692">
        <f t="shared" si="3"/>
        <v>315808.30079608713</v>
      </c>
      <c r="I27" s="692">
        <f t="shared" si="3"/>
        <v>48501.555907864342</v>
      </c>
      <c r="J27" s="692">
        <f t="shared" si="3"/>
        <v>0</v>
      </c>
      <c r="K27" s="692">
        <f t="shared" si="3"/>
        <v>401.80667429459038</v>
      </c>
      <c r="L27" s="692">
        <f t="shared" si="3"/>
        <v>0</v>
      </c>
      <c r="M27" s="692">
        <f t="shared" ca="1" si="3"/>
        <v>0</v>
      </c>
      <c r="N27" s="692">
        <f t="shared" si="3"/>
        <v>16272.358836488489</v>
      </c>
      <c r="O27" s="692">
        <f t="shared" ca="1" si="3"/>
        <v>19376.868862491447</v>
      </c>
      <c r="P27" s="692">
        <f t="shared" si="3"/>
        <v>125.06666666666668</v>
      </c>
      <c r="Q27" s="692">
        <f t="shared" si="3"/>
        <v>419.4666666666667</v>
      </c>
      <c r="R27" s="692">
        <f t="shared" ca="1" si="3"/>
        <v>721102.55479954497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4942.0810068289775</v>
      </c>
      <c r="D40" s="684">
        <f ca="1">tertiair!C20</f>
        <v>322.01966911764708</v>
      </c>
      <c r="E40" s="684">
        <f ca="1">tertiair!D20</f>
        <v>3058.8232604160007</v>
      </c>
      <c r="F40" s="684">
        <f>tertiair!E20</f>
        <v>29.0688314090993</v>
      </c>
      <c r="G40" s="684">
        <f ca="1">tertiair!F20</f>
        <v>345.94429276400405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8697.937060535729</v>
      </c>
    </row>
    <row r="41" spans="1:18">
      <c r="A41" s="812" t="s">
        <v>224</v>
      </c>
      <c r="B41" s="819"/>
      <c r="C41" s="684">
        <f ca="1">huishoudens!B12</f>
        <v>5689.6094446366242</v>
      </c>
      <c r="D41" s="684">
        <f ca="1">huishoudens!C12</f>
        <v>0</v>
      </c>
      <c r="E41" s="684">
        <f>huishoudens!D12</f>
        <v>5594.3579082600008</v>
      </c>
      <c r="F41" s="684">
        <f>huishoudens!E12</f>
        <v>540.60314469971763</v>
      </c>
      <c r="G41" s="684">
        <f>huishoudens!F12</f>
        <v>15701.276026346519</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27525.846523942862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9608.550091582616</v>
      </c>
      <c r="D43" s="684">
        <f ca="1">industrie!C22</f>
        <v>0</v>
      </c>
      <c r="E43" s="684">
        <f>industrie!D22</f>
        <v>17436.138776188003</v>
      </c>
      <c r="F43" s="684">
        <f>industrie!E22</f>
        <v>105.51377119237179</v>
      </c>
      <c r="G43" s="684">
        <f>industrie!F22</f>
        <v>1988.2343298683929</v>
      </c>
      <c r="H43" s="684">
        <f>industrie!G22</f>
        <v>0</v>
      </c>
      <c r="I43" s="684">
        <f>industrie!H22</f>
        <v>0</v>
      </c>
      <c r="J43" s="684">
        <f>industrie!I22</f>
        <v>0</v>
      </c>
      <c r="K43" s="684">
        <f>industrie!J22</f>
        <v>76.873184188939476</v>
      </c>
      <c r="L43" s="684">
        <f>industrie!K22</f>
        <v>0</v>
      </c>
      <c r="M43" s="684">
        <f>industrie!L22</f>
        <v>0</v>
      </c>
      <c r="N43" s="684">
        <f>industrie!M22</f>
        <v>0</v>
      </c>
      <c r="O43" s="684">
        <f>industrie!N22</f>
        <v>0</v>
      </c>
      <c r="P43" s="684">
        <f>industrie!O22</f>
        <v>0</v>
      </c>
      <c r="Q43" s="759">
        <f>industrie!P22</f>
        <v>0</v>
      </c>
      <c r="R43" s="839">
        <f t="shared" ca="1" si="4"/>
        <v>29215.31015302032</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20240.240543048218</v>
      </c>
      <c r="D46" s="717">
        <f t="shared" ref="D46:Q46" ca="1" si="5">SUM(D39:D45)</f>
        <v>322.01966911764708</v>
      </c>
      <c r="E46" s="717">
        <f t="shared" ca="1" si="5"/>
        <v>26089.319944864004</v>
      </c>
      <c r="F46" s="717">
        <f t="shared" si="5"/>
        <v>675.18574730118871</v>
      </c>
      <c r="G46" s="717">
        <f t="shared" ca="1" si="5"/>
        <v>18035.454648978917</v>
      </c>
      <c r="H46" s="717">
        <f t="shared" si="5"/>
        <v>0</v>
      </c>
      <c r="I46" s="717">
        <f t="shared" si="5"/>
        <v>0</v>
      </c>
      <c r="J46" s="717">
        <f t="shared" si="5"/>
        <v>0</v>
      </c>
      <c r="K46" s="717">
        <f t="shared" si="5"/>
        <v>76.873184188939476</v>
      </c>
      <c r="L46" s="717">
        <f t="shared" si="5"/>
        <v>0</v>
      </c>
      <c r="M46" s="717">
        <f t="shared" ca="1" si="5"/>
        <v>0</v>
      </c>
      <c r="N46" s="717">
        <f t="shared" si="5"/>
        <v>0</v>
      </c>
      <c r="O46" s="717">
        <f t="shared" ca="1" si="5"/>
        <v>0</v>
      </c>
      <c r="P46" s="717">
        <f t="shared" si="5"/>
        <v>0</v>
      </c>
      <c r="Q46" s="717">
        <f t="shared" si="5"/>
        <v>0</v>
      </c>
      <c r="R46" s="717">
        <f ca="1">SUM(R39:R45)</f>
        <v>65439.093737498908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590.51637155766639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590.51637155766639</v>
      </c>
    </row>
    <row r="50" spans="1:18">
      <c r="A50" s="815" t="s">
        <v>306</v>
      </c>
      <c r="B50" s="825"/>
      <c r="C50" s="997">
        <f ca="1">transport!B18</f>
        <v>1.6937083323132569</v>
      </c>
      <c r="D50" s="997">
        <f>transport!C18</f>
        <v>0</v>
      </c>
      <c r="E50" s="997">
        <f>transport!D18</f>
        <v>3.6840816558515361</v>
      </c>
      <c r="F50" s="997">
        <f>transport!E18</f>
        <v>313.38025557459787</v>
      </c>
      <c r="G50" s="997">
        <f>transport!F18</f>
        <v>0</v>
      </c>
      <c r="H50" s="997">
        <f>transport!G18</f>
        <v>83730.299940997604</v>
      </c>
      <c r="I50" s="997">
        <f>transport!H18</f>
        <v>12076.887421058222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96125.945407618594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1.6937083323132569</v>
      </c>
      <c r="D52" s="717">
        <f t="shared" ref="D52:Q52" ca="1" si="6">SUM(D48:D51)</f>
        <v>0</v>
      </c>
      <c r="E52" s="717">
        <f t="shared" si="6"/>
        <v>3.6840816558515361</v>
      </c>
      <c r="F52" s="717">
        <f t="shared" si="6"/>
        <v>313.38025557459787</v>
      </c>
      <c r="G52" s="717">
        <f t="shared" si="6"/>
        <v>0</v>
      </c>
      <c r="H52" s="717">
        <f t="shared" si="6"/>
        <v>84320.816312555267</v>
      </c>
      <c r="I52" s="717">
        <f t="shared" si="6"/>
        <v>12076.887421058222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96716.461779176258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295.30877556724965</v>
      </c>
      <c r="D54" s="997">
        <f ca="1">+landbouw!C12</f>
        <v>0</v>
      </c>
      <c r="E54" s="997">
        <f>+landbouw!D12</f>
        <v>946.38360995200003</v>
      </c>
      <c r="F54" s="997">
        <f>+landbouw!E12</f>
        <v>3.1920672724116996</v>
      </c>
      <c r="G54" s="997">
        <f>+landbouw!F12</f>
        <v>1300.5794574584866</v>
      </c>
      <c r="H54" s="997">
        <f>+landbouw!G12</f>
        <v>0</v>
      </c>
      <c r="I54" s="997">
        <f>+landbouw!H12</f>
        <v>0</v>
      </c>
      <c r="J54" s="997">
        <f>+landbouw!I12</f>
        <v>0</v>
      </c>
      <c r="K54" s="997">
        <f>+landbouw!J12</f>
        <v>65.366378511345516</v>
      </c>
      <c r="L54" s="997">
        <f>+landbouw!K12</f>
        <v>0</v>
      </c>
      <c r="M54" s="997">
        <f>+landbouw!L12</f>
        <v>0</v>
      </c>
      <c r="N54" s="997">
        <f>+landbouw!M12</f>
        <v>0</v>
      </c>
      <c r="O54" s="997">
        <f>+landbouw!N12</f>
        <v>0</v>
      </c>
      <c r="P54" s="997">
        <f>+landbouw!O12</f>
        <v>0</v>
      </c>
      <c r="Q54" s="998">
        <f>+landbouw!P12</f>
        <v>0</v>
      </c>
      <c r="R54" s="716">
        <f ca="1">SUM(C54:Q54)</f>
        <v>2610.8302887614932</v>
      </c>
    </row>
    <row r="55" spans="1:18" ht="15" thickBot="1">
      <c r="A55" s="815" t="s">
        <v>896</v>
      </c>
      <c r="B55" s="825"/>
      <c r="C55" s="997">
        <f ca="1">C25*'EF ele_warmte'!B12</f>
        <v>85.577645039848434</v>
      </c>
      <c r="D55" s="997"/>
      <c r="E55" s="997">
        <f>E25*EF_CO2_aardgas</f>
        <v>244.25072400000002</v>
      </c>
      <c r="F55" s="997"/>
      <c r="G55" s="997"/>
      <c r="H55" s="997"/>
      <c r="I55" s="997"/>
      <c r="J55" s="997"/>
      <c r="K55" s="997"/>
      <c r="L55" s="997"/>
      <c r="M55" s="997"/>
      <c r="N55" s="997"/>
      <c r="O55" s="997"/>
      <c r="P55" s="997"/>
      <c r="Q55" s="998"/>
      <c r="R55" s="716">
        <f ca="1">SUM(C55:Q55)</f>
        <v>329.82836903984844</v>
      </c>
    </row>
    <row r="56" spans="1:18" ht="15.75" thickBot="1">
      <c r="A56" s="813" t="s">
        <v>897</v>
      </c>
      <c r="B56" s="826"/>
      <c r="C56" s="717">
        <f ca="1">SUM(C54:C55)</f>
        <v>380.8864206070981</v>
      </c>
      <c r="D56" s="717">
        <f t="shared" ref="D56:Q56" ca="1" si="7">SUM(D54:D55)</f>
        <v>0</v>
      </c>
      <c r="E56" s="717">
        <f t="shared" si="7"/>
        <v>1190.6343339520001</v>
      </c>
      <c r="F56" s="717">
        <f t="shared" si="7"/>
        <v>3.1920672724116996</v>
      </c>
      <c r="G56" s="717">
        <f t="shared" si="7"/>
        <v>1300.5794574584866</v>
      </c>
      <c r="H56" s="717">
        <f t="shared" si="7"/>
        <v>0</v>
      </c>
      <c r="I56" s="717">
        <f t="shared" si="7"/>
        <v>0</v>
      </c>
      <c r="J56" s="717">
        <f t="shared" si="7"/>
        <v>0</v>
      </c>
      <c r="K56" s="717">
        <f t="shared" si="7"/>
        <v>65.366378511345516</v>
      </c>
      <c r="L56" s="717">
        <f t="shared" si="7"/>
        <v>0</v>
      </c>
      <c r="M56" s="717">
        <f t="shared" si="7"/>
        <v>0</v>
      </c>
      <c r="N56" s="717">
        <f t="shared" si="7"/>
        <v>0</v>
      </c>
      <c r="O56" s="717">
        <f t="shared" si="7"/>
        <v>0</v>
      </c>
      <c r="P56" s="717">
        <f t="shared" si="7"/>
        <v>0</v>
      </c>
      <c r="Q56" s="718">
        <f t="shared" si="7"/>
        <v>0</v>
      </c>
      <c r="R56" s="719">
        <f ca="1">SUM(R54:R55)</f>
        <v>2940.6586578013416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20622.820671987629</v>
      </c>
      <c r="D61" s="725">
        <f t="shared" ref="D61:Q61" ca="1" si="8">D46+D52+D56</f>
        <v>322.01966911764708</v>
      </c>
      <c r="E61" s="725">
        <f t="shared" ca="1" si="8"/>
        <v>27283.638360471854</v>
      </c>
      <c r="F61" s="725">
        <f t="shared" si="8"/>
        <v>991.75807014819827</v>
      </c>
      <c r="G61" s="725">
        <f t="shared" ca="1" si="8"/>
        <v>19336.034106437404</v>
      </c>
      <c r="H61" s="725">
        <f t="shared" si="8"/>
        <v>84320.816312555267</v>
      </c>
      <c r="I61" s="725">
        <f t="shared" si="8"/>
        <v>12076.887421058222</v>
      </c>
      <c r="J61" s="725">
        <f t="shared" si="8"/>
        <v>0</v>
      </c>
      <c r="K61" s="725">
        <f t="shared" si="8"/>
        <v>142.23956270028498</v>
      </c>
      <c r="L61" s="725">
        <f t="shared" si="8"/>
        <v>0</v>
      </c>
      <c r="M61" s="725">
        <f t="shared" ca="1" si="8"/>
        <v>0</v>
      </c>
      <c r="N61" s="725">
        <f t="shared" si="8"/>
        <v>0</v>
      </c>
      <c r="O61" s="725">
        <f t="shared" ca="1" si="8"/>
        <v>0</v>
      </c>
      <c r="P61" s="725">
        <f t="shared" si="8"/>
        <v>0</v>
      </c>
      <c r="Q61" s="725">
        <f t="shared" si="8"/>
        <v>0</v>
      </c>
      <c r="R61" s="725">
        <f ca="1">R46+R52+R56</f>
        <v>165096.21417447651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0.1978390266362936</v>
      </c>
      <c r="D63" s="769">
        <f t="shared" ca="1" si="9"/>
        <v>7.8529411764705875E-2</v>
      </c>
      <c r="E63" s="999">
        <f t="shared" ca="1" si="9"/>
        <v>0.20199999999999999</v>
      </c>
      <c r="F63" s="769">
        <f t="shared" si="9"/>
        <v>0.22699999999999995</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8574.6787220809383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2733.75</v>
      </c>
      <c r="C76" s="735">
        <f>'lokale energieproductie'!B8*IFERROR(SUM(D76:H76)/SUM(D76:O76),0)</f>
        <v>911.25000000000011</v>
      </c>
      <c r="D76" s="1009">
        <f>'lokale energieproductie'!C8</f>
        <v>0</v>
      </c>
      <c r="E76" s="1010">
        <f>'lokale energieproductie'!D8</f>
        <v>0</v>
      </c>
      <c r="F76" s="1010">
        <f>'lokale energieproductie'!E8</f>
        <v>1072.0588235294117</v>
      </c>
      <c r="G76" s="1010">
        <f>'lokale energieproductie'!F8</f>
        <v>0</v>
      </c>
      <c r="H76" s="1010">
        <f>'lokale energieproductie'!G8</f>
        <v>0</v>
      </c>
      <c r="I76" s="1010">
        <f>'lokale energieproductie'!I8</f>
        <v>3216.1764705882347</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286.23970588235295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11308.428722080938</v>
      </c>
      <c r="C78" s="740">
        <f>SUM(C72:C77)</f>
        <v>911.25000000000011</v>
      </c>
      <c r="D78" s="741">
        <f t="shared" ref="D78:H78" si="10">SUM(D76:D77)</f>
        <v>0</v>
      </c>
      <c r="E78" s="741">
        <f t="shared" si="10"/>
        <v>0</v>
      </c>
      <c r="F78" s="741">
        <f t="shared" si="10"/>
        <v>1072.0588235294117</v>
      </c>
      <c r="G78" s="741">
        <f t="shared" si="10"/>
        <v>0</v>
      </c>
      <c r="H78" s="741">
        <f t="shared" si="10"/>
        <v>0</v>
      </c>
      <c r="I78" s="741">
        <f>SUM(I76:I77)</f>
        <v>3216.1764705882347</v>
      </c>
      <c r="J78" s="741">
        <f>SUM(J76:J77)</f>
        <v>0</v>
      </c>
      <c r="K78" s="741">
        <f t="shared" ref="K78:L78" si="11">SUM(K76:K77)</f>
        <v>0</v>
      </c>
      <c r="L78" s="741">
        <f t="shared" si="11"/>
        <v>0</v>
      </c>
      <c r="M78" s="741">
        <f>SUM(M76:M77)</f>
        <v>0</v>
      </c>
      <c r="N78" s="741">
        <f>SUM(N76:N77)</f>
        <v>0</v>
      </c>
      <c r="O78" s="850">
        <f>SUM(O76:O77)</f>
        <v>0</v>
      </c>
      <c r="P78" s="742">
        <v>0</v>
      </c>
      <c r="Q78" s="742">
        <f>SUM(Q76:Q77)</f>
        <v>286.23970588235295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3075.4687500000009</v>
      </c>
      <c r="C87" s="751">
        <f>'lokale energieproductie'!B17*IFERROR(SUM(D87:H87)/SUM(D87:O87),0)</f>
        <v>1025.1562500000002</v>
      </c>
      <c r="D87" s="762">
        <f>'lokale energieproductie'!C17</f>
        <v>0</v>
      </c>
      <c r="E87" s="762">
        <f>'lokale energieproductie'!D17</f>
        <v>0</v>
      </c>
      <c r="F87" s="762">
        <f>'lokale energieproductie'!E17</f>
        <v>1206.0661764705883</v>
      </c>
      <c r="G87" s="762">
        <f>'lokale energieproductie'!F17</f>
        <v>0</v>
      </c>
      <c r="H87" s="762">
        <f>'lokale energieproductie'!G17</f>
        <v>0</v>
      </c>
      <c r="I87" s="762">
        <f>'lokale energieproductie'!I17</f>
        <v>3618.1985294117649</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322.01966911764708</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3075.4687500000009</v>
      </c>
      <c r="C90" s="740">
        <f>SUM(C87:C89)</f>
        <v>1025.1562500000002</v>
      </c>
      <c r="D90" s="740">
        <f t="shared" ref="D90:H90" si="12">SUM(D87:D89)</f>
        <v>0</v>
      </c>
      <c r="E90" s="740">
        <f t="shared" si="12"/>
        <v>0</v>
      </c>
      <c r="F90" s="740">
        <f t="shared" si="12"/>
        <v>1206.0661764705883</v>
      </c>
      <c r="G90" s="740">
        <f t="shared" si="12"/>
        <v>0</v>
      </c>
      <c r="H90" s="740">
        <f t="shared" si="12"/>
        <v>0</v>
      </c>
      <c r="I90" s="740">
        <f>SUM(I87:I89)</f>
        <v>3618.1985294117649</v>
      </c>
      <c r="J90" s="740">
        <f>SUM(J87:J89)</f>
        <v>0</v>
      </c>
      <c r="K90" s="740">
        <f t="shared" ref="K90:L90" si="13">SUM(K87:K89)</f>
        <v>0</v>
      </c>
      <c r="L90" s="740">
        <f t="shared" si="13"/>
        <v>0</v>
      </c>
      <c r="M90" s="740">
        <f>SUM(M87:M89)</f>
        <v>0</v>
      </c>
      <c r="N90" s="740">
        <f>SUM(N87:N89)</f>
        <v>0</v>
      </c>
      <c r="O90" s="740">
        <f>SUM(O87:O89)</f>
        <v>0</v>
      </c>
      <c r="P90" s="740">
        <v>0</v>
      </c>
      <c r="Q90" s="740">
        <f>SUM(Q87:Q89)</f>
        <v>322.01966911764708</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8574.6787220809383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3645.0000000000005</v>
      </c>
      <c r="C8" s="554">
        <f>B48</f>
        <v>0</v>
      </c>
      <c r="D8" s="980"/>
      <c r="E8" s="980">
        <f>E48</f>
        <v>1072.0588235294117</v>
      </c>
      <c r="F8" s="981"/>
      <c r="G8" s="555"/>
      <c r="H8" s="980">
        <f>I48</f>
        <v>0</v>
      </c>
      <c r="I8" s="980">
        <f>G48+F48</f>
        <v>3216.1764705882347</v>
      </c>
      <c r="J8" s="980">
        <f>H48+D48+C48</f>
        <v>0</v>
      </c>
      <c r="K8" s="980"/>
      <c r="L8" s="980"/>
      <c r="M8" s="980"/>
      <c r="N8" s="556"/>
      <c r="O8" s="557">
        <f>C8*$C$12+D8*$D$12+E8*$E$12+F8*$F$12+G8*$G$12+H8*$H$12+I8*$I$12+J8*$J$12</f>
        <v>286.23970588235295</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12219.678722080938</v>
      </c>
      <c r="C10" s="566">
        <f t="shared" ref="C10:L10" si="0">SUM(C8:C9)</f>
        <v>0</v>
      </c>
      <c r="D10" s="566">
        <f t="shared" si="0"/>
        <v>0</v>
      </c>
      <c r="E10" s="566">
        <f t="shared" si="0"/>
        <v>1072.0588235294117</v>
      </c>
      <c r="F10" s="566">
        <f t="shared" si="0"/>
        <v>0</v>
      </c>
      <c r="G10" s="566">
        <f t="shared" si="0"/>
        <v>0</v>
      </c>
      <c r="H10" s="566">
        <f t="shared" si="0"/>
        <v>0</v>
      </c>
      <c r="I10" s="566">
        <f t="shared" si="0"/>
        <v>3216.1764705882347</v>
      </c>
      <c r="J10" s="566">
        <f t="shared" si="0"/>
        <v>0</v>
      </c>
      <c r="K10" s="566">
        <f t="shared" si="0"/>
        <v>0</v>
      </c>
      <c r="L10" s="566">
        <f t="shared" si="0"/>
        <v>0</v>
      </c>
      <c r="M10" s="984"/>
      <c r="N10" s="984"/>
      <c r="O10" s="567">
        <f>SUM(O4:O9)</f>
        <v>286.23970588235295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4100.6250000000009</v>
      </c>
      <c r="C17" s="578">
        <f>B49</f>
        <v>0</v>
      </c>
      <c r="D17" s="579"/>
      <c r="E17" s="579">
        <f>E49</f>
        <v>1206.0661764705883</v>
      </c>
      <c r="F17" s="580"/>
      <c r="G17" s="581"/>
      <c r="H17" s="578">
        <f>I49</f>
        <v>0</v>
      </c>
      <c r="I17" s="579">
        <f>G49+F49</f>
        <v>3618.1985294117649</v>
      </c>
      <c r="J17" s="579">
        <f>H49+D49+C49</f>
        <v>0</v>
      </c>
      <c r="K17" s="579"/>
      <c r="L17" s="579"/>
      <c r="M17" s="579"/>
      <c r="N17" s="987"/>
      <c r="O17" s="582">
        <f>C17*$C$22+E17*$E$22+H17*$H$22+I17*$I$22+J17*$J$22+D17*$D$22+F17*$F$22+G17*$G$22+K17*$K$22+L17*$L$22</f>
        <v>322.01966911764708</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4100.6250000000009</v>
      </c>
      <c r="C20" s="565">
        <f>SUM(C17:C19)</f>
        <v>0</v>
      </c>
      <c r="D20" s="565">
        <f t="shared" ref="D20:L20" si="1">SUM(D17:D19)</f>
        <v>0</v>
      </c>
      <c r="E20" s="565">
        <f t="shared" si="1"/>
        <v>1206.0661764705883</v>
      </c>
      <c r="F20" s="565">
        <f t="shared" si="1"/>
        <v>0</v>
      </c>
      <c r="G20" s="565">
        <f t="shared" si="1"/>
        <v>0</v>
      </c>
      <c r="H20" s="565">
        <f t="shared" si="1"/>
        <v>0</v>
      </c>
      <c r="I20" s="565">
        <f t="shared" si="1"/>
        <v>3618.1985294117649</v>
      </c>
      <c r="J20" s="565">
        <f t="shared" si="1"/>
        <v>0</v>
      </c>
      <c r="K20" s="565">
        <f t="shared" si="1"/>
        <v>0</v>
      </c>
      <c r="L20" s="565">
        <f t="shared" si="1"/>
        <v>0</v>
      </c>
      <c r="M20" s="565"/>
      <c r="N20" s="565"/>
      <c r="O20" s="586">
        <f>SUM(O17:O19)</f>
        <v>322.01966911764708</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71037</v>
      </c>
      <c r="C28" s="785">
        <v>3560</v>
      </c>
      <c r="D28" s="638" t="s">
        <v>954</v>
      </c>
      <c r="E28" s="637" t="s">
        <v>955</v>
      </c>
      <c r="F28" s="637" t="s">
        <v>956</v>
      </c>
      <c r="G28" s="637" t="s">
        <v>957</v>
      </c>
      <c r="H28" s="637" t="s">
        <v>958</v>
      </c>
      <c r="I28" s="637" t="s">
        <v>955</v>
      </c>
      <c r="J28" s="784">
        <v>40575</v>
      </c>
      <c r="K28" s="784">
        <v>40616</v>
      </c>
      <c r="L28" s="637" t="s">
        <v>959</v>
      </c>
      <c r="M28" s="637">
        <v>810</v>
      </c>
      <c r="N28" s="637">
        <v>3645.0000000000005</v>
      </c>
      <c r="O28" s="637">
        <v>4100.6250000000009</v>
      </c>
      <c r="P28" s="637">
        <v>0</v>
      </c>
      <c r="Q28" s="637">
        <v>0</v>
      </c>
      <c r="R28" s="637">
        <v>0</v>
      </c>
      <c r="S28" s="637">
        <v>2278.125</v>
      </c>
      <c r="T28" s="637">
        <v>6834.375</v>
      </c>
      <c r="U28" s="637">
        <v>0</v>
      </c>
      <c r="V28" s="637">
        <v>0</v>
      </c>
      <c r="W28" s="637"/>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810</v>
      </c>
      <c r="N29" s="595">
        <f>SUM(N28:N28)</f>
        <v>3645.0000000000005</v>
      </c>
      <c r="O29" s="595">
        <f>SUM(O28:O28)</f>
        <v>4100.6250000000009</v>
      </c>
      <c r="P29" s="595">
        <f>SUM(P28:P28)</f>
        <v>0</v>
      </c>
      <c r="Q29" s="595">
        <f>SUM(Q28:Q28)</f>
        <v>0</v>
      </c>
      <c r="R29" s="595">
        <f>SUM(R28:R28)</f>
        <v>0</v>
      </c>
      <c r="S29" s="595">
        <f>SUM(S28:S28)</f>
        <v>2278.125</v>
      </c>
      <c r="T29" s="595">
        <f>SUM(T28:T28)</f>
        <v>6834.375</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810</v>
      </c>
      <c r="N31" s="595">
        <f ca="1">SUMIF($Z$28:AD28,"tertiair",N28:N28)</f>
        <v>3645.0000000000005</v>
      </c>
      <c r="O31" s="595">
        <f ca="1">SUMIF($Z$28:AE28,"tertiair",O28:O28)</f>
        <v>4100.6250000000009</v>
      </c>
      <c r="P31" s="595">
        <f ca="1">SUMIF($Z$28:AF28,"tertiair",P28:P28)</f>
        <v>0</v>
      </c>
      <c r="Q31" s="595">
        <f ca="1">SUMIF($Z$28:AG28,"tertiair",Q28:Q28)</f>
        <v>0</v>
      </c>
      <c r="R31" s="595">
        <f ca="1">SUMIF($Z$28:AH28,"tertiair",R28:R28)</f>
        <v>0</v>
      </c>
      <c r="S31" s="595">
        <f ca="1">SUMIF($Z$28:AI28,"tertiair",S28:S28)</f>
        <v>2278.125</v>
      </c>
      <c r="T31" s="595">
        <f ca="1">SUMIF($Z$28:AJ28,"tertiair",T28:T28)</f>
        <v>6834.375</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0.52941176470588236</v>
      </c>
      <c r="C45" s="620">
        <f>IF(ISERROR(N29/(O29+N29)),0,N29/(N29+O29))</f>
        <v>0.47058823529411759</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1072.0588235294117</v>
      </c>
      <c r="F48" s="629">
        <f t="shared" si="2"/>
        <v>3216.1764705882347</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1206.0661764705883</v>
      </c>
      <c r="F49" s="632">
        <f t="shared" si="3"/>
        <v>3618.1985294117649</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28758.782032911924</v>
      </c>
      <c r="C4" s="457">
        <f>huishoudens!C8</f>
        <v>0</v>
      </c>
      <c r="D4" s="457">
        <f>huishoudens!D8</f>
        <v>27694.841130000001</v>
      </c>
      <c r="E4" s="457">
        <f>huishoudens!E8</f>
        <v>2381.5116506595491</v>
      </c>
      <c r="F4" s="457">
        <f>huishoudens!F8</f>
        <v>58806.277252234147</v>
      </c>
      <c r="G4" s="457">
        <f>huishoudens!G8</f>
        <v>0</v>
      </c>
      <c r="H4" s="457">
        <f>huishoudens!H8</f>
        <v>0</v>
      </c>
      <c r="I4" s="457">
        <f>huishoudens!I8</f>
        <v>0</v>
      </c>
      <c r="J4" s="457">
        <f>huishoudens!J8</f>
        <v>0</v>
      </c>
      <c r="K4" s="457">
        <f>huishoudens!K8</f>
        <v>0</v>
      </c>
      <c r="L4" s="457">
        <f>huishoudens!L8</f>
        <v>0</v>
      </c>
      <c r="M4" s="457">
        <f>huishoudens!M8</f>
        <v>0</v>
      </c>
      <c r="N4" s="457">
        <f>huishoudens!N8</f>
        <v>17704.768555119648</v>
      </c>
      <c r="O4" s="457">
        <f>huishoudens!O8</f>
        <v>123.50333333333334</v>
      </c>
      <c r="P4" s="458">
        <f>huishoudens!P8</f>
        <v>419.4666666666667</v>
      </c>
      <c r="Q4" s="459">
        <f>SUM(B4:P4)</f>
        <v>135889.15062092527</v>
      </c>
    </row>
    <row r="5" spans="1:17">
      <c r="A5" s="456" t="s">
        <v>155</v>
      </c>
      <c r="B5" s="457">
        <f ca="1">tertiair!B16</f>
        <v>23968.691999999999</v>
      </c>
      <c r="C5" s="457">
        <f ca="1">tertiair!C16</f>
        <v>4100.6250000000009</v>
      </c>
      <c r="D5" s="457">
        <f ca="1">tertiair!D16</f>
        <v>15142.689408000002</v>
      </c>
      <c r="E5" s="457">
        <f>tertiair!E16</f>
        <v>128.05652603127444</v>
      </c>
      <c r="F5" s="457">
        <f ca="1">tertiair!F16</f>
        <v>1295.6715084794159</v>
      </c>
      <c r="G5" s="457">
        <f>tertiair!G16</f>
        <v>0</v>
      </c>
      <c r="H5" s="457">
        <f>tertiair!H16</f>
        <v>0</v>
      </c>
      <c r="I5" s="457">
        <f>tertiair!I16</f>
        <v>0</v>
      </c>
      <c r="J5" s="457">
        <f>tertiair!J16</f>
        <v>0</v>
      </c>
      <c r="K5" s="457">
        <f>tertiair!K16</f>
        <v>0</v>
      </c>
      <c r="L5" s="457">
        <f ca="1">tertiair!L16</f>
        <v>0</v>
      </c>
      <c r="M5" s="457">
        <f>tertiair!M16</f>
        <v>0</v>
      </c>
      <c r="N5" s="457">
        <f ca="1">tertiair!N16</f>
        <v>821.52415100426538</v>
      </c>
      <c r="O5" s="457">
        <f>tertiair!O16</f>
        <v>1.5633333333333335</v>
      </c>
      <c r="P5" s="458">
        <f>tertiair!P16</f>
        <v>0</v>
      </c>
      <c r="Q5" s="456">
        <f t="shared" ref="Q5:Q14" ca="1" si="0">SUM(B5:P5)</f>
        <v>45458.821926848286</v>
      </c>
    </row>
    <row r="6" spans="1:17">
      <c r="A6" s="456" t="s">
        <v>193</v>
      </c>
      <c r="B6" s="457">
        <f>'openbare verlichting'!B8</f>
        <v>1011.622</v>
      </c>
      <c r="C6" s="457"/>
      <c r="D6" s="457"/>
      <c r="E6" s="457"/>
      <c r="F6" s="457"/>
      <c r="G6" s="457"/>
      <c r="H6" s="457"/>
      <c r="I6" s="457"/>
      <c r="J6" s="457"/>
      <c r="K6" s="457"/>
      <c r="L6" s="457"/>
      <c r="M6" s="457"/>
      <c r="N6" s="457"/>
      <c r="O6" s="457"/>
      <c r="P6" s="458"/>
      <c r="Q6" s="456">
        <f t="shared" si="0"/>
        <v>1011.622</v>
      </c>
    </row>
    <row r="7" spans="1:17">
      <c r="A7" s="456" t="s">
        <v>111</v>
      </c>
      <c r="B7" s="457">
        <f>landbouw!B8</f>
        <v>1492.672</v>
      </c>
      <c r="C7" s="457">
        <f>landbouw!C8</f>
        <v>0</v>
      </c>
      <c r="D7" s="457">
        <f>landbouw!D8</f>
        <v>4685.067376</v>
      </c>
      <c r="E7" s="457">
        <f>landbouw!E8</f>
        <v>14.061970363047134</v>
      </c>
      <c r="F7" s="457">
        <f>landbouw!F8</f>
        <v>4871.0841103314096</v>
      </c>
      <c r="G7" s="457">
        <f>landbouw!G8</f>
        <v>0</v>
      </c>
      <c r="H7" s="457">
        <f>landbouw!H8</f>
        <v>0</v>
      </c>
      <c r="I7" s="457">
        <f>landbouw!I8</f>
        <v>0</v>
      </c>
      <c r="J7" s="457">
        <f>landbouw!J8</f>
        <v>184.65078675521335</v>
      </c>
      <c r="K7" s="457">
        <f>landbouw!K8</f>
        <v>0</v>
      </c>
      <c r="L7" s="457">
        <f>landbouw!L8</f>
        <v>0</v>
      </c>
      <c r="M7" s="457">
        <f>landbouw!M8</f>
        <v>0</v>
      </c>
      <c r="N7" s="457">
        <f>landbouw!N8</f>
        <v>0</v>
      </c>
      <c r="O7" s="457">
        <f>landbouw!O8</f>
        <v>0</v>
      </c>
      <c r="P7" s="458">
        <f>landbouw!P8</f>
        <v>0</v>
      </c>
      <c r="Q7" s="456">
        <f t="shared" si="0"/>
        <v>11247.536243449671</v>
      </c>
    </row>
    <row r="8" spans="1:17">
      <c r="A8" s="456" t="s">
        <v>682</v>
      </c>
      <c r="B8" s="457">
        <f>industrie!B18</f>
        <v>48567.516000000003</v>
      </c>
      <c r="C8" s="457">
        <f>industrie!C18</f>
        <v>0</v>
      </c>
      <c r="D8" s="457">
        <f>industrie!D18</f>
        <v>86317.518694000013</v>
      </c>
      <c r="E8" s="457">
        <f>industrie!E18</f>
        <v>464.818375296792</v>
      </c>
      <c r="F8" s="457">
        <f>industrie!F18</f>
        <v>7446.5705238516584</v>
      </c>
      <c r="G8" s="457">
        <f>industrie!G18</f>
        <v>0</v>
      </c>
      <c r="H8" s="457">
        <f>industrie!H18</f>
        <v>0</v>
      </c>
      <c r="I8" s="457">
        <f>industrie!I18</f>
        <v>0</v>
      </c>
      <c r="J8" s="457">
        <f>industrie!J18</f>
        <v>217.15588753937706</v>
      </c>
      <c r="K8" s="457">
        <f>industrie!K18</f>
        <v>0</v>
      </c>
      <c r="L8" s="457">
        <f>industrie!L18</f>
        <v>0</v>
      </c>
      <c r="M8" s="457">
        <f>industrie!M18</f>
        <v>0</v>
      </c>
      <c r="N8" s="457">
        <f>industrie!N18</f>
        <v>850.5761563675344</v>
      </c>
      <c r="O8" s="457">
        <f>industrie!O18</f>
        <v>0</v>
      </c>
      <c r="P8" s="458">
        <f>industrie!P18</f>
        <v>0</v>
      </c>
      <c r="Q8" s="456">
        <f t="shared" si="0"/>
        <v>143864.15563705543</v>
      </c>
    </row>
    <row r="9" spans="1:17" s="462" customFormat="1">
      <c r="A9" s="460" t="s">
        <v>578</v>
      </c>
      <c r="B9" s="461">
        <f>transport!B14</f>
        <v>8.5610425865416477</v>
      </c>
      <c r="C9" s="461">
        <f>transport!C14</f>
        <v>0</v>
      </c>
      <c r="D9" s="461">
        <f>transport!D14</f>
        <v>18.238027999265029</v>
      </c>
      <c r="E9" s="461">
        <f>transport!E14</f>
        <v>1380.5297602405192</v>
      </c>
      <c r="F9" s="461">
        <f>transport!F14</f>
        <v>0</v>
      </c>
      <c r="G9" s="461">
        <f>transport!G14</f>
        <v>313596.62899250037</v>
      </c>
      <c r="H9" s="461">
        <f>transport!H14</f>
        <v>48501.555907864342</v>
      </c>
      <c r="I9" s="461">
        <f>transport!I14</f>
        <v>0</v>
      </c>
      <c r="J9" s="461">
        <f>transport!J14</f>
        <v>0</v>
      </c>
      <c r="K9" s="461">
        <f>transport!K14</f>
        <v>0</v>
      </c>
      <c r="L9" s="461">
        <f>transport!L14</f>
        <v>0</v>
      </c>
      <c r="M9" s="461">
        <f>transport!M14</f>
        <v>16175.319152913789</v>
      </c>
      <c r="N9" s="461">
        <f>transport!N14</f>
        <v>0</v>
      </c>
      <c r="O9" s="461">
        <f>transport!O14</f>
        <v>0</v>
      </c>
      <c r="P9" s="461">
        <f>transport!P14</f>
        <v>0</v>
      </c>
      <c r="Q9" s="460">
        <f>SUM(B9:P9)</f>
        <v>379680.83288410486</v>
      </c>
    </row>
    <row r="10" spans="1:17">
      <c r="A10" s="456" t="s">
        <v>568</v>
      </c>
      <c r="B10" s="457">
        <f>transport!B54</f>
        <v>0</v>
      </c>
      <c r="C10" s="457">
        <f>transport!C54</f>
        <v>0</v>
      </c>
      <c r="D10" s="457">
        <f>transport!D54</f>
        <v>0</v>
      </c>
      <c r="E10" s="457">
        <f>transport!E54</f>
        <v>0</v>
      </c>
      <c r="F10" s="457">
        <f>transport!F54</f>
        <v>0</v>
      </c>
      <c r="G10" s="457">
        <f>transport!G54</f>
        <v>2211.6718035867652</v>
      </c>
      <c r="H10" s="457">
        <f>transport!H54</f>
        <v>0</v>
      </c>
      <c r="I10" s="457">
        <f>transport!I54</f>
        <v>0</v>
      </c>
      <c r="J10" s="457">
        <f>transport!J54</f>
        <v>0</v>
      </c>
      <c r="K10" s="457">
        <f>transport!K54</f>
        <v>0</v>
      </c>
      <c r="L10" s="457">
        <f>transport!L54</f>
        <v>0</v>
      </c>
      <c r="M10" s="457">
        <f>transport!M54</f>
        <v>97.039683574700206</v>
      </c>
      <c r="N10" s="457">
        <f>transport!N54</f>
        <v>0</v>
      </c>
      <c r="O10" s="457">
        <f>transport!O54</f>
        <v>0</v>
      </c>
      <c r="P10" s="458">
        <f>transport!P54</f>
        <v>0</v>
      </c>
      <c r="Q10" s="456">
        <f t="shared" si="0"/>
        <v>2308.7114871614654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432.56200000000001</v>
      </c>
      <c r="C14" s="464"/>
      <c r="D14" s="464">
        <f>'SEAP template'!E25</f>
        <v>1209.162</v>
      </c>
      <c r="E14" s="464"/>
      <c r="F14" s="464"/>
      <c r="G14" s="464"/>
      <c r="H14" s="464"/>
      <c r="I14" s="464"/>
      <c r="J14" s="464"/>
      <c r="K14" s="464"/>
      <c r="L14" s="464"/>
      <c r="M14" s="464"/>
      <c r="N14" s="464"/>
      <c r="O14" s="464"/>
      <c r="P14" s="465"/>
      <c r="Q14" s="456">
        <f t="shared" si="0"/>
        <v>1641.7240000000002</v>
      </c>
    </row>
    <row r="15" spans="1:17" s="469" customFormat="1">
      <c r="A15" s="466" t="s">
        <v>572</v>
      </c>
      <c r="B15" s="467">
        <f ca="1">SUM(B4:B14)</f>
        <v>104240.40707549849</v>
      </c>
      <c r="C15" s="467">
        <f t="shared" ref="C15:Q15" ca="1" si="1">SUM(C4:C14)</f>
        <v>4100.6250000000009</v>
      </c>
      <c r="D15" s="467">
        <f t="shared" ca="1" si="1"/>
        <v>135067.51663599929</v>
      </c>
      <c r="E15" s="467">
        <f t="shared" si="1"/>
        <v>4368.9782825911825</v>
      </c>
      <c r="F15" s="467">
        <f t="shared" ca="1" si="1"/>
        <v>72419.603394896636</v>
      </c>
      <c r="G15" s="467">
        <f t="shared" si="1"/>
        <v>315808.30079608713</v>
      </c>
      <c r="H15" s="467">
        <f t="shared" si="1"/>
        <v>48501.555907864342</v>
      </c>
      <c r="I15" s="467">
        <f t="shared" si="1"/>
        <v>0</v>
      </c>
      <c r="J15" s="467">
        <f t="shared" si="1"/>
        <v>401.80667429459038</v>
      </c>
      <c r="K15" s="467">
        <f t="shared" si="1"/>
        <v>0</v>
      </c>
      <c r="L15" s="467">
        <f t="shared" ca="1" si="1"/>
        <v>0</v>
      </c>
      <c r="M15" s="467">
        <f t="shared" si="1"/>
        <v>16272.358836488489</v>
      </c>
      <c r="N15" s="467">
        <f t="shared" ca="1" si="1"/>
        <v>19376.868862491447</v>
      </c>
      <c r="O15" s="467">
        <f t="shared" si="1"/>
        <v>125.06666666666668</v>
      </c>
      <c r="P15" s="467">
        <f t="shared" si="1"/>
        <v>419.4666666666667</v>
      </c>
      <c r="Q15" s="467">
        <f t="shared" ca="1" si="1"/>
        <v>721102.55479954497</v>
      </c>
    </row>
    <row r="17" spans="1:17">
      <c r="A17" s="470" t="s">
        <v>573</v>
      </c>
      <c r="B17" s="774">
        <f ca="1">huishoudens!B10</f>
        <v>0.1978390266362936</v>
      </c>
      <c r="C17" s="774">
        <f ca="1">huishoudens!C10</f>
        <v>7.8529411764705875E-2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5689.6094446366242</v>
      </c>
      <c r="C22" s="457">
        <f t="shared" ref="C22:C32" ca="1" si="3">C4*$C$17</f>
        <v>0</v>
      </c>
      <c r="D22" s="457">
        <f t="shared" ref="D22:D32" si="4">D4*$D$17</f>
        <v>5594.3579082600008</v>
      </c>
      <c r="E22" s="457">
        <f t="shared" ref="E22:E32" si="5">E4*$E$17</f>
        <v>540.60314469971763</v>
      </c>
      <c r="F22" s="457">
        <f t="shared" ref="F22:F32" si="6">F4*$F$17</f>
        <v>15701.276026346519</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27525.846523942862</v>
      </c>
    </row>
    <row r="23" spans="1:17">
      <c r="A23" s="456" t="s">
        <v>155</v>
      </c>
      <c r="B23" s="457">
        <f t="shared" ca="1" si="2"/>
        <v>4741.9426950251172</v>
      </c>
      <c r="C23" s="457">
        <f t="shared" ca="1" si="3"/>
        <v>322.01966911764708</v>
      </c>
      <c r="D23" s="457">
        <f t="shared" ca="1" si="4"/>
        <v>3058.8232604160007</v>
      </c>
      <c r="E23" s="457">
        <f t="shared" si="5"/>
        <v>29.0688314090993</v>
      </c>
      <c r="F23" s="457">
        <f t="shared" ca="1" si="6"/>
        <v>345.94429276400405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8497.7987487318678</v>
      </c>
    </row>
    <row r="24" spans="1:17">
      <c r="A24" s="456" t="s">
        <v>193</v>
      </c>
      <c r="B24" s="457">
        <f t="shared" ca="1" si="2"/>
        <v>200.1383118038606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200.1383118038606</v>
      </c>
    </row>
    <row r="25" spans="1:17">
      <c r="A25" s="456" t="s">
        <v>111</v>
      </c>
      <c r="B25" s="457">
        <f t="shared" ca="1" si="2"/>
        <v>295.30877556724965</v>
      </c>
      <c r="C25" s="457">
        <f t="shared" ca="1" si="3"/>
        <v>0</v>
      </c>
      <c r="D25" s="457">
        <f t="shared" si="4"/>
        <v>946.38360995200003</v>
      </c>
      <c r="E25" s="457">
        <f t="shared" si="5"/>
        <v>3.1920672724116996</v>
      </c>
      <c r="F25" s="457">
        <f t="shared" si="6"/>
        <v>1300.5794574584866</v>
      </c>
      <c r="G25" s="457">
        <f t="shared" si="7"/>
        <v>0</v>
      </c>
      <c r="H25" s="457">
        <f t="shared" si="8"/>
        <v>0</v>
      </c>
      <c r="I25" s="457">
        <f t="shared" si="9"/>
        <v>0</v>
      </c>
      <c r="J25" s="457">
        <f t="shared" si="10"/>
        <v>65.366378511345516</v>
      </c>
      <c r="K25" s="457">
        <f t="shared" si="11"/>
        <v>0</v>
      </c>
      <c r="L25" s="457">
        <f t="shared" si="12"/>
        <v>0</v>
      </c>
      <c r="M25" s="457">
        <f t="shared" si="13"/>
        <v>0</v>
      </c>
      <c r="N25" s="457">
        <f t="shared" si="14"/>
        <v>0</v>
      </c>
      <c r="O25" s="457">
        <f t="shared" si="15"/>
        <v>0</v>
      </c>
      <c r="P25" s="458">
        <f t="shared" si="16"/>
        <v>0</v>
      </c>
      <c r="Q25" s="456">
        <f t="shared" ca="1" si="17"/>
        <v>2610.8302887614932</v>
      </c>
    </row>
    <row r="26" spans="1:17">
      <c r="A26" s="456" t="s">
        <v>682</v>
      </c>
      <c r="B26" s="457">
        <f t="shared" ca="1" si="2"/>
        <v>9608.550091582616</v>
      </c>
      <c r="C26" s="457">
        <f t="shared" ca="1" si="3"/>
        <v>0</v>
      </c>
      <c r="D26" s="457">
        <f t="shared" si="4"/>
        <v>17436.138776188003</v>
      </c>
      <c r="E26" s="457">
        <f t="shared" si="5"/>
        <v>105.51377119237179</v>
      </c>
      <c r="F26" s="457">
        <f t="shared" si="6"/>
        <v>1988.2343298683929</v>
      </c>
      <c r="G26" s="457">
        <f t="shared" si="7"/>
        <v>0</v>
      </c>
      <c r="H26" s="457">
        <f t="shared" si="8"/>
        <v>0</v>
      </c>
      <c r="I26" s="457">
        <f t="shared" si="9"/>
        <v>0</v>
      </c>
      <c r="J26" s="457">
        <f t="shared" si="10"/>
        <v>76.873184188939476</v>
      </c>
      <c r="K26" s="457">
        <f t="shared" si="11"/>
        <v>0</v>
      </c>
      <c r="L26" s="457">
        <f t="shared" si="12"/>
        <v>0</v>
      </c>
      <c r="M26" s="457">
        <f t="shared" si="13"/>
        <v>0</v>
      </c>
      <c r="N26" s="457">
        <f t="shared" si="14"/>
        <v>0</v>
      </c>
      <c r="O26" s="457">
        <f t="shared" si="15"/>
        <v>0</v>
      </c>
      <c r="P26" s="458">
        <f t="shared" si="16"/>
        <v>0</v>
      </c>
      <c r="Q26" s="456">
        <f t="shared" ca="1" si="17"/>
        <v>29215.31015302032</v>
      </c>
    </row>
    <row r="27" spans="1:17" s="462" customFormat="1">
      <c r="A27" s="460" t="s">
        <v>578</v>
      </c>
      <c r="B27" s="768">
        <f t="shared" ca="1" si="2"/>
        <v>1.6937083323132569</v>
      </c>
      <c r="C27" s="461">
        <f t="shared" ca="1" si="3"/>
        <v>0</v>
      </c>
      <c r="D27" s="461">
        <f t="shared" si="4"/>
        <v>3.6840816558515361</v>
      </c>
      <c r="E27" s="461">
        <f t="shared" si="5"/>
        <v>313.38025557459787</v>
      </c>
      <c r="F27" s="461">
        <f t="shared" si="6"/>
        <v>0</v>
      </c>
      <c r="G27" s="461">
        <f t="shared" si="7"/>
        <v>83730.299940997604</v>
      </c>
      <c r="H27" s="461">
        <f t="shared" si="8"/>
        <v>12076.887421058222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96125.945407618594</v>
      </c>
    </row>
    <row r="28" spans="1:17">
      <c r="A28" s="456" t="s">
        <v>568</v>
      </c>
      <c r="B28" s="457">
        <f t="shared" ca="1" si="2"/>
        <v>0</v>
      </c>
      <c r="C28" s="457">
        <f t="shared" ca="1" si="3"/>
        <v>0</v>
      </c>
      <c r="D28" s="457">
        <f t="shared" si="4"/>
        <v>0</v>
      </c>
      <c r="E28" s="457">
        <f t="shared" si="5"/>
        <v>0</v>
      </c>
      <c r="F28" s="457">
        <f t="shared" si="6"/>
        <v>0</v>
      </c>
      <c r="G28" s="457">
        <f t="shared" si="7"/>
        <v>590.51637155766639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590.51637155766639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85.577645039848434</v>
      </c>
      <c r="C32" s="457">
        <f t="shared" ca="1" si="3"/>
        <v>0</v>
      </c>
      <c r="D32" s="457">
        <f t="shared" si="4"/>
        <v>244.25072400000002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329.82836903984844</v>
      </c>
    </row>
    <row r="33" spans="1:17" s="469" customFormat="1">
      <c r="A33" s="466" t="s">
        <v>572</v>
      </c>
      <c r="B33" s="467">
        <f ca="1">SUM(B22:B32)</f>
        <v>20622.820671987629</v>
      </c>
      <c r="C33" s="467">
        <f t="shared" ref="C33:Q33" ca="1" si="18">SUM(C22:C32)</f>
        <v>322.01966911764708</v>
      </c>
      <c r="D33" s="467">
        <f t="shared" ca="1" si="18"/>
        <v>27283.638360471858</v>
      </c>
      <c r="E33" s="467">
        <f t="shared" si="18"/>
        <v>991.75807014819827</v>
      </c>
      <c r="F33" s="467">
        <f t="shared" ca="1" si="18"/>
        <v>19336.034106437401</v>
      </c>
      <c r="G33" s="467">
        <f t="shared" si="18"/>
        <v>84320.816312555267</v>
      </c>
      <c r="H33" s="467">
        <f t="shared" si="18"/>
        <v>12076.887421058222</v>
      </c>
      <c r="I33" s="467">
        <f t="shared" si="18"/>
        <v>0</v>
      </c>
      <c r="J33" s="467">
        <f t="shared" si="18"/>
        <v>142.23956270028498</v>
      </c>
      <c r="K33" s="467">
        <f t="shared" si="18"/>
        <v>0</v>
      </c>
      <c r="L33" s="467">
        <f t="shared" ca="1" si="18"/>
        <v>0</v>
      </c>
      <c r="M33" s="467">
        <f t="shared" si="18"/>
        <v>0</v>
      </c>
      <c r="N33" s="467">
        <f t="shared" ca="1" si="18"/>
        <v>0</v>
      </c>
      <c r="O33" s="467">
        <f t="shared" si="18"/>
        <v>0</v>
      </c>
      <c r="P33" s="467">
        <f t="shared" si="18"/>
        <v>0</v>
      </c>
      <c r="Q33" s="467">
        <f t="shared" ca="1" si="18"/>
        <v>165096.21417447648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8574.6787220809383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2733.75</v>
      </c>
      <c r="C8" s="1026">
        <f>'SEAP template'!C76</f>
        <v>911.25000000000011</v>
      </c>
      <c r="D8" s="1026">
        <f>'SEAP template'!D76</f>
        <v>0</v>
      </c>
      <c r="E8" s="1026">
        <f>'SEAP template'!E76</f>
        <v>0</v>
      </c>
      <c r="F8" s="1026">
        <f>'SEAP template'!F76</f>
        <v>1072.0588235294117</v>
      </c>
      <c r="G8" s="1026">
        <f>'SEAP template'!G76</f>
        <v>0</v>
      </c>
      <c r="H8" s="1026">
        <f>'SEAP template'!H76</f>
        <v>0</v>
      </c>
      <c r="I8" s="1026">
        <f>'SEAP template'!I76</f>
        <v>3216.1764705882347</v>
      </c>
      <c r="J8" s="1026">
        <f>'SEAP template'!J76</f>
        <v>0</v>
      </c>
      <c r="K8" s="1026">
        <f>'SEAP template'!K76</f>
        <v>0</v>
      </c>
      <c r="L8" s="1026">
        <f>'SEAP template'!L76</f>
        <v>0</v>
      </c>
      <c r="M8" s="1026">
        <f>'SEAP template'!M76</f>
        <v>0</v>
      </c>
      <c r="N8" s="1026">
        <f>'SEAP template'!N76</f>
        <v>0</v>
      </c>
      <c r="O8" s="1026">
        <f>'SEAP template'!O76</f>
        <v>0</v>
      </c>
      <c r="P8" s="1027">
        <f>'SEAP template'!Q76</f>
        <v>286.23970588235295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11308.428722080938</v>
      </c>
      <c r="C10" s="1030">
        <f>SUM(C4:C9)</f>
        <v>911.25000000000011</v>
      </c>
      <c r="D10" s="1030">
        <f t="shared" ref="D10:H10" si="0">SUM(D8:D9)</f>
        <v>0</v>
      </c>
      <c r="E10" s="1030">
        <f t="shared" si="0"/>
        <v>0</v>
      </c>
      <c r="F10" s="1030">
        <f t="shared" si="0"/>
        <v>1072.0588235294117</v>
      </c>
      <c r="G10" s="1030">
        <f t="shared" si="0"/>
        <v>0</v>
      </c>
      <c r="H10" s="1030">
        <f t="shared" si="0"/>
        <v>0</v>
      </c>
      <c r="I10" s="1030">
        <f>SUM(I8:I9)</f>
        <v>3216.1764705882347</v>
      </c>
      <c r="J10" s="1030">
        <f>SUM(J8:J9)</f>
        <v>0</v>
      </c>
      <c r="K10" s="1030">
        <f t="shared" ref="K10:L10" si="1">SUM(K8:K9)</f>
        <v>0</v>
      </c>
      <c r="L10" s="1030">
        <f t="shared" si="1"/>
        <v>0</v>
      </c>
      <c r="M10" s="1030">
        <f>SUM(M8:M9)</f>
        <v>0</v>
      </c>
      <c r="N10" s="1030">
        <f>SUM(N8:N9)</f>
        <v>0</v>
      </c>
      <c r="O10" s="1030">
        <f>SUM(O8:O9)</f>
        <v>0</v>
      </c>
      <c r="P10" s="1030">
        <f>SUM(P8:P9)</f>
        <v>286.23970588235295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0.1978390266362936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3075.4687500000009</v>
      </c>
      <c r="C17" s="1033">
        <f>'SEAP template'!C87</f>
        <v>1025.1562500000002</v>
      </c>
      <c r="D17" s="1027">
        <f>'SEAP template'!D87</f>
        <v>0</v>
      </c>
      <c r="E17" s="1027">
        <f>'SEAP template'!E87</f>
        <v>0</v>
      </c>
      <c r="F17" s="1027">
        <f>'SEAP template'!F87</f>
        <v>1206.0661764705883</v>
      </c>
      <c r="G17" s="1027">
        <f>'SEAP template'!G87</f>
        <v>0</v>
      </c>
      <c r="H17" s="1027">
        <f>'SEAP template'!H87</f>
        <v>0</v>
      </c>
      <c r="I17" s="1027">
        <f>'SEAP template'!I87</f>
        <v>3618.1985294117649</v>
      </c>
      <c r="J17" s="1027">
        <f>'SEAP template'!J87</f>
        <v>0</v>
      </c>
      <c r="K17" s="1027">
        <f>'SEAP template'!K87</f>
        <v>0</v>
      </c>
      <c r="L17" s="1027">
        <f>'SEAP template'!L87</f>
        <v>0</v>
      </c>
      <c r="M17" s="1027">
        <f>'SEAP template'!M87</f>
        <v>0</v>
      </c>
      <c r="N17" s="1027">
        <f>'SEAP template'!N87</f>
        <v>0</v>
      </c>
      <c r="O17" s="1027">
        <f>'SEAP template'!O87</f>
        <v>0</v>
      </c>
      <c r="P17" s="1027">
        <f>'SEAP template'!Q87</f>
        <v>322.01966911764708</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3075.4687500000009</v>
      </c>
      <c r="C20" s="1030">
        <f>SUM(C17:C19)</f>
        <v>1025.1562500000002</v>
      </c>
      <c r="D20" s="1030">
        <f t="shared" ref="D20:H20" si="2">SUM(D17:D19)</f>
        <v>0</v>
      </c>
      <c r="E20" s="1030">
        <f t="shared" si="2"/>
        <v>0</v>
      </c>
      <c r="F20" s="1030">
        <f t="shared" si="2"/>
        <v>1206.0661764705883</v>
      </c>
      <c r="G20" s="1030">
        <f t="shared" si="2"/>
        <v>0</v>
      </c>
      <c r="H20" s="1030">
        <f t="shared" si="2"/>
        <v>0</v>
      </c>
      <c r="I20" s="1030">
        <f>SUM(I17:I19)</f>
        <v>3618.1985294117649</v>
      </c>
      <c r="J20" s="1030">
        <f>SUM(J17:J19)</f>
        <v>0</v>
      </c>
      <c r="K20" s="1030">
        <f t="shared" ref="K20:L20" si="3">SUM(K17:K19)</f>
        <v>0</v>
      </c>
      <c r="L20" s="1030">
        <f t="shared" si="3"/>
        <v>0</v>
      </c>
      <c r="M20" s="1030">
        <f>SUM(M17:M19)</f>
        <v>0</v>
      </c>
      <c r="N20" s="1030">
        <f>SUM(N17:N19)</f>
        <v>0</v>
      </c>
      <c r="O20" s="1030">
        <f>SUM(O17:O19)</f>
        <v>0</v>
      </c>
      <c r="P20" s="1030">
        <f>SUM(P17:P19)</f>
        <v>322.01966911764708</v>
      </c>
    </row>
    <row r="22" spans="1:16">
      <c r="A22" s="470" t="s">
        <v>916</v>
      </c>
      <c r="B22" s="774" t="s">
        <v>910</v>
      </c>
      <c r="C22" s="774">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0.1978390266362936</v>
      </c>
      <c r="C17" s="506">
        <f ca="1">'EF ele_warmte'!B22</f>
        <v>7.8529411764705875E-2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2020-06-20T16:33:59Z</dcterms:modified>
</cp:coreProperties>
</file>