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L20" i="18"/>
  <c r="D20" i="18"/>
  <c r="B17" i="18"/>
  <c r="G12" i="18"/>
  <c r="F12" i="18"/>
  <c r="E12" i="18"/>
  <c r="D12" i="18"/>
  <c r="C12" i="18"/>
  <c r="L10" i="18"/>
  <c r="K10" i="18"/>
  <c r="G10" i="18"/>
  <c r="D10" i="18"/>
  <c r="B6" i="18"/>
  <c r="B5" i="18"/>
  <c r="B4" i="18"/>
  <c r="B8" i="18" l="1"/>
  <c r="F20" i="18"/>
  <c r="B45" i="18"/>
  <c r="F49" i="18" s="1"/>
  <c r="G20" i="18"/>
  <c r="K20" i="18"/>
  <c r="B10" i="18"/>
  <c r="O9" i="18"/>
  <c r="O19" i="18"/>
  <c r="O18" i="18"/>
  <c r="B20" i="18"/>
  <c r="E49" i="18"/>
  <c r="E17" i="18" s="1"/>
  <c r="E20" i="18" s="1"/>
  <c r="G49" i="18"/>
  <c r="C49" i="18"/>
  <c r="H49" i="18"/>
  <c r="D49" i="18"/>
  <c r="I48" i="18"/>
  <c r="H8" i="18" s="1"/>
  <c r="H10" i="18" s="1"/>
  <c r="E48" i="18"/>
  <c r="E8" i="18" s="1"/>
  <c r="E10" i="18" s="1"/>
  <c r="G48" i="18"/>
  <c r="C48" i="18"/>
  <c r="H48" i="18"/>
  <c r="D48" i="18"/>
  <c r="F48" i="18"/>
  <c r="B48" i="18"/>
  <c r="C8" i="18" s="1"/>
  <c r="N6" i="17"/>
  <c r="L6" i="17"/>
  <c r="F6" i="17"/>
  <c r="D6" i="17"/>
  <c r="C6" i="17"/>
  <c r="N16" i="16"/>
  <c r="L16" i="16"/>
  <c r="F16" i="16"/>
  <c r="D16" i="16"/>
  <c r="C16" i="16"/>
  <c r="B16" i="16"/>
  <c r="B13" i="15"/>
  <c r="B49" i="18" l="1"/>
  <c r="C17" i="18" s="1"/>
  <c r="I49" i="18"/>
  <c r="H17" i="18" s="1"/>
  <c r="H20" i="18" s="1"/>
  <c r="C10" i="18"/>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I76" i="14"/>
  <c r="I8" i="56" s="1"/>
  <c r="I10" i="56" s="1"/>
  <c r="H76" i="14"/>
  <c r="H8" i="56" s="1"/>
  <c r="G76" i="14"/>
  <c r="G8" i="56" s="1"/>
  <c r="F76" i="14"/>
  <c r="F8"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76" i="14" l="1"/>
  <c r="J8" i="56" s="1"/>
  <c r="J10" i="56" s="1"/>
  <c r="F10" i="56"/>
  <c r="G10" i="56"/>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C11" i="14" l="1"/>
  <c r="B4" i="48"/>
  <c r="B7" i="48"/>
  <c r="C24" i="14"/>
  <c r="C26" i="14" s="1"/>
  <c r="D4" i="48"/>
  <c r="D22" i="48" s="1"/>
  <c r="E11" i="14"/>
  <c r="P11" i="14"/>
  <c r="O4" i="48"/>
  <c r="O22" i="48" s="1"/>
  <c r="B38" i="13"/>
  <c r="P4" i="48"/>
  <c r="P22" i="48" s="1"/>
  <c r="Q11" i="14"/>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P8" i="48"/>
  <c r="P26" i="48" s="1"/>
  <c r="Q13" i="14"/>
  <c r="Q16" i="14" s="1"/>
  <c r="Q27" i="14"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D16" i="14"/>
  <c r="D27" i="14" s="1"/>
  <c r="B20" i="6" s="1"/>
  <c r="B22" i="6" s="1"/>
  <c r="C22" i="56" s="1"/>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R10" i="14" s="1"/>
  <c r="K10" i="14"/>
  <c r="J5" i="48"/>
  <c r="J23" i="48" s="1"/>
  <c r="O15" i="48"/>
  <c r="M27" i="14"/>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C16" i="14"/>
  <c r="Q7" i="48"/>
  <c r="B15" i="48"/>
  <c r="R24" i="14"/>
  <c r="R26" i="14" s="1"/>
  <c r="L25" i="48"/>
  <c r="L33" i="48" s="1"/>
  <c r="L15" i="48"/>
  <c r="N25" i="48"/>
  <c r="J20" i="15"/>
  <c r="K40" i="14" s="1"/>
  <c r="N18" i="16"/>
  <c r="J18" i="16"/>
  <c r="F18" i="16"/>
  <c r="F22" i="16" s="1"/>
  <c r="G43" i="14" s="1"/>
  <c r="G46" i="14" s="1"/>
  <c r="G61" i="14" s="1"/>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F13" i="14"/>
  <c r="F16" i="14" s="1"/>
  <c r="F27" i="14" s="1"/>
  <c r="Q5" i="48"/>
  <c r="K13" i="14"/>
  <c r="K16" i="14" s="1"/>
  <c r="K27" i="14" s="1"/>
  <c r="J8"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C12" i="13"/>
  <c r="D41" i="14" s="1"/>
  <c r="D46" i="14" s="1"/>
  <c r="D61" i="14" s="1"/>
  <c r="D63" i="14" s="1"/>
  <c r="K63" i="14" l="1"/>
  <c r="J26" i="48"/>
  <c r="J33" i="48" s="1"/>
  <c r="J15" i="48"/>
  <c r="E26" i="48"/>
  <c r="E33" i="48" s="1"/>
  <c r="E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<sst xmlns="http://schemas.openxmlformats.org/spreadsheetml/2006/main" count="2498" uniqueCount="954">
  <si>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</si>
  <si>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</si>
  <si>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</si>
  <si>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</si>
  <si>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</si>
  <si>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</si>
  <si>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</si>
  <si>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</si>
  <si>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</si>
  <si>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</si>
  <si>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</si>
  <si>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</si>
  <si>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</si>
  <si>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</si>
  <si>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</si>
  <si>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</si>
  <si>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</si>
  <si>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</si>
  <si>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</si>
  <si>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</si>
  <si>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</si>
  <si>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</si>
  <si>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</si>
  <si>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</si>
  <si>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</si>
  <si>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</si>
  <si>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</si>
  <si>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</si>
  <si>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</si>
  <si>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</si>
  <si>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</si>
  <si>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</si>
  <si>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</si>
  <si>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</si>
  <si>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</si>
  <si>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</si>
  <si>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</si>
  <si>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</si>
  <si>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</si>
  <si>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</si>
  <si>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</si>
  <si>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</si>
  <si>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</si>
  <si>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</si>
  <si>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</si>
  <si>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</si>
  <si>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</si>
  <si>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</si>
  <si>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</si>
  <si>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</si>
  <si>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</si>
  <si>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</si>
  <si>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</si>
  <si>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</si>
  <si>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</si>
  <si>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</si>
  <si>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</si>
  <si>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</si>
  <si>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</si>
  <si>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</si>
  <si>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</si>
  <si>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</si>
  <si>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</si>
  <si>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</si>
  <si>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</si>
  <si>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</si>
  <si>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</si>
  <si>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</si>
  <si>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</si>
  <si>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</si>
  <si>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</si>
  <si>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</si>
  <si>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</si>
  <si>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</si>
  <si>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</si>
  <si>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</si>
  <si>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</si>
  <si>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</si>
  <si>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</si>
  <si>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</si>
  <si>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</si>
  <si>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</si>
  <si>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</si>
  <si>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</si>
  <si>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</si>
  <si>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</si>
  <si>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</si>
  <si>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</si>
  <si>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</si>
  <si>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</si>
  <si>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</si>
  <si>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</si>
  <si>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</si>
  <si>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</si>
  <si>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</si>
  <si>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</si>
  <si>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</si>
  <si>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</si>
  <si>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</si>
  <si>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</si>
  <si>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</si>
  <si>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</si>
  <si>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</si>
  <si>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</si>
  <si>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</si>
  <si>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</si>
  <si>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</si>
  <si>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</si>
  <si>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</si>
  <si>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</si>
  <si>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</si>
  <si>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</si>
  <si>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</si>
  <si>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</si>
  <si>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</si>
  <si>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</si>
  <si>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</si>
  <si>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</si>
  <si>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</si>
  <si>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</si>
  <si>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</si>
  <si>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</si>
  <si>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</si>
  <si>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</si>
  <si>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</si>
  <si>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</si>
  <si>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</si>
  <si>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</si>
  <si>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</si>
  <si>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</si>
  <si>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</si>
  <si>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</si>
  <si>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</si>
  <si>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</si>
  <si>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</si>
  <si>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</si>
  <si>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</si>
  <si>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</si>
  <si>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</si>
  <si>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</si>
  <si>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</si>
  <si>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</si>
  <si>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</si>
  <si>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</si>
  <si>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</si>
  <si>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</si>
  <si>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</si>
  <si>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</si>
  <si>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</si>
  <si>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</si>
  <si>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</si>
  <si>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</si>
  <si>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</si>
  <si>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</si>
  <si>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</si>
  <si>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</si>
  <si>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</si>
  <si>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</si>
  <si>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</si>
  <si>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</si>
  <si>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</si>
  <si>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</si>
  <si>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</si>
  <si>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</si>
  <si>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</si>
  <si>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</si>
  <si>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</si>
  <si>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</si>
  <si>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</si>
  <si>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</si>
  <si>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</si>
  <si>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</si>
  <si>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</si>
  <si>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</si>
  <si>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</si>
  <si>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</si>
  <si>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</si>
  <si>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</si>
  <si>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</si>
  <si>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</si>
  <si>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</si>
  <si>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</si>
  <si>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</si>
  <si>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</si>
  <si>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</si>
  <si>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</si>
  <si>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</si>
  <si>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</si>
  <si>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</si>
  <si>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</si>
  <si>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</si>
  <si>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</si>
  <si>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</si>
  <si>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</si>
  <si>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</si>
  <si>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</si>
  <si>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</si>
  <si>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</si>
  <si>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</si>
  <si>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</si>
  <si>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</si>
  <si>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</si>
  <si>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</si>
  <si>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</si>
  <si>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</si>
  <si>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</si>
  <si>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</si>
  <si>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</si>
  <si>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</si>
  <si>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</si>
  <si>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</si>
  <si>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</si>
  <si>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</si>
  <si>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</si>
  <si>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</si>
  <si>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</si>
  <si>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</si>
  <si>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</si>
  <si>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</si>
  <si>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</si>
  <si>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</si>
  <si>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</si>
  <si>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</si>
  <si>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</si>
  <si>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</si>
  <si>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</si>
  <si>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</si>
  <si>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</si>
  <si>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</si>
  <si>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</si>
  <si>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</si>
  <si>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</si>
  <si>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</si>
  <si>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</si>
  <si>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</si>
  <si>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</si>
  <si>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</si>
  <si>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</si>
  <si>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</si>
  <si>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</si>
  <si>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</si>
  <si>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</si>
  <si>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</si>
  <si>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</si>
  <si>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</si>
  <si>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</si>
  <si>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</si>
  <si>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</si>
  <si>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</si>
  <si>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</si>
  <si>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</si>
  <si>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</si>
  <si>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</si>
  <si>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</si>
  <si>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</si>
  <si>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</si>
  <si>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</si>
  <si>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</si>
  <si>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</si>
  <si>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</si>
  <si>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</si>
  <si>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</si>
  <si>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</si>
  <si>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</si>
  <si>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</si>
  <si>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</si>
  <si>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</si>
  <si>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</si>
  <si>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</si>
  <si>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</si>
  <si>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</si>
  <si>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</si>
  <si>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</si>
  <si>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</si>
  <si>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</si>
  <si>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</si>
  <si>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</si>
  <si>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</si>
  <si>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</si>
  <si>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</si>
  <si>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</si>
  <si>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</si>
  <si>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</si>
  <si>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</si>
  <si>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</si>
  <si>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</si>
  <si>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</si>
  <si>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</si>
  <si>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</si>
  <si>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</si>
  <si>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</si>
  <si>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</si>
  <si>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</si>
  <si>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</si>
  <si>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</si>
  <si>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</si>
  <si>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</si>
  <si>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</si>
  <si>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</si>
  <si>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</si>
  <si>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</si>
  <si>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</si>
  <si>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</si>
  <si>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</si>
  <si>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</si>
  <si>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</si>
  <si>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</si>
  <si>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</si>
  <si>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</si>
  <si>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</si>
  <si>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</si>
  <si>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</si>
  <si>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</si>
  <si>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</si>
  <si>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</si>
  <si>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</si>
  <si>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</si>
  <si>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</si>
  <si>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</si>
  <si>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</si>
  <si>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</si>
  <si>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</si>
  <si>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</si>
  <si>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</si>
  <si>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</si>
  <si>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</si>
  <si>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</si>
  <si>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</si>
  <si>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</si>
  <si>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</si>
  <si>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</si>
  <si>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</si>
  <si>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</si>
  <si>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</si>
  <si>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</si>
  <si>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</si>
  <si>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</si>
  <si>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</si>
  <si>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</si>
  <si>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</si>
  <si>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</si>
  <si>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</si>
  <si>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</si>
  <si>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</si>
  <si>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</si>
  <si>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</si>
  <si>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</si>
  <si>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</si>
  <si>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</si>
  <si>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</si>
  <si>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</si>
  <si>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</si>
  <si>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</si>
  <si>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</si>
  <si>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</si>
  <si>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</si>
  <si>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</si>
  <si>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</si>
  <si>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</si>
  <si>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</si>
  <si>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</si>
  <si>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</si>
  <si>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</si>
  <si>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</si>
  <si>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</si>
  <si>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</si>
  <si>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</si>
  <si>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</si>
  <si>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</si>
  <si>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</si>
  <si>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</si>
  <si>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</si>
  <si>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</si>
  <si>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</si>
  <si>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</si>
  <si>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</si>
  <si>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</si>
  <si>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</si>
  <si>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</si>
  <si>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</si>
  <si>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</si>
  <si>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</si>
  <si>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</si>
  <si>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</si>
  <si>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</si>
  <si>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</si>
  <si>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</si>
  <si>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</si>
  <si>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</si>
  <si>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</si>
  <si>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</si>
  <si>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</si>
  <si>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</si>
  <si>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</si>
  <si>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</si>
  <si>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</si>
  <si>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</si>
  <si>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</si>
  <si>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</si>
  <si>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</si>
  <si>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</si>
  <si>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</si>
  <si>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</si>
  <si>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</si>
  <si>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</si>
  <si>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</si>
  <si>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</si>
  <si>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</si>
  <si>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</si>
  <si>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</si>
  <si>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</si>
  <si>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</si>
  <si>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</si>
  <si>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</si>
  <si>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</si>
  <si>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</si>
  <si>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</si>
  <si>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</si>
  <si>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</si>
  <si>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</si>
  <si>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</si>
  <si>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</si>
  <si>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</si>
  <si>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</si>
  <si>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</si>
  <si>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</si>
  <si>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</si>
  <si>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</si>
  <si>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</si>
  <si>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</si>
  <si>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</si>
  <si>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</si>
  <si>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</si>
  <si>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</si>
  <si>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</si>
  <si>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</si>
  <si>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</si>
  <si>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</si>
  <si>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</si>
  <si>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</si>
  <si>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</si>
  <si>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</si>
  <si>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</si>
  <si>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</si>
  <si>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</si>
  <si>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</si>
  <si>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</si>
  <si>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</si>
  <si>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</si>
  <si>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</si>
  <si>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</si>
  <si>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</si>
  <si>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</si>
  <si>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</si>
  <si>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</si>
  <si>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</si>
  <si>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</si>
  <si>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</si>
  <si>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</si>
  <si>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</si>
  <si>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</si>
  <si>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</si>
  <si>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</si>
  <si>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</si>
  <si>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</si>
  <si>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</si>
  <si>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</si>
  <si>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</si>
  <si>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</si>
  <si>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</si>
  <si>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</si>
  <si>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</si>
  <si>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</si>
  <si>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</si>
  <si>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</si>
  <si>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</si>
  <si>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</si>
  <si>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</si>
  <si>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</si>
  <si>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</si>
  <si>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</si>
  <si>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</si>
  <si>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</si>
  <si>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</si>
  <si>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</si>
  <si>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</si>
  <si>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</si>
  <si>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</si>
  <si>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</si>
  <si>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</si>
  <si>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</si>
  <si>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</si>
  <si>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</si>
  <si>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</si>
  <si>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</si>
  <si>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</si>
  <si>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</si>
  <si>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</si>
  <si>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</si>
  <si>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</si>
  <si>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</si>
  <si>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</si>
  <si>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</si>
  <si>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</si>
  <si>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</si>
  <si>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</si>
  <si>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</si>
  <si>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</si>
  <si>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</si>
  <si>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</si>
  <si>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</si>
  <si>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</si>
  <si>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</si>
  <si>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</si>
  <si>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</si>
  <si>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</si>
  <si>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</si>
  <si>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</si>
  <si>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</si>
  <si>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</si>
  <si>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</si>
  <si>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</si>
  <si>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</si>
  <si>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</si>
  <si>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</si>
  <si>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</si>
  <si>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</si>
  <si>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</si>
  <si>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</si>
  <si>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</si>
  <si>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</si>
  <si>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</si>
  <si>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</si>
  <si>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</si>
  <si>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</si>
  <si>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</si>
  <si>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</si>
  <si>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</si>
  <si>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</si>
  <si>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</si>
  <si>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</si>
  <si>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</si>
  <si>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</si>
  <si>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</si>
  <si>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</si>
  <si>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</si>
  <si>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</si>
  <si>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</si>
  <si>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</si>
  <si>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</si>
  <si>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</si>
  <si>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</si>
  <si>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</si>
  <si>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</si>
  <si>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</si>
  <si>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</si>
  <si>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</si>
  <si>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</si>
  <si>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</si>
  <si>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</si>
  <si>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</si>
  <si>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</si>
  <si>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</si>
  <si>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</si>
  <si>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</si>
  <si>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</si>
  <si>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</si>
  <si>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</si>
  <si>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</si>
  <si>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</si>
  <si>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</si>
  <si>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</si>
  <si>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</si>
  <si>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</si>
  <si>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</si>
  <si>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</si>
  <si>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</si>
  <si>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</si>
  <si>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</si>
  <si>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</si>
  <si>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</si>
  <si>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</si>
  <si>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</si>
  <si>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</si>
  <si>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</si>
  <si>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</si>
  <si>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</si>
  <si>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</si>
  <si>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</si>
  <si>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</si>
  <si>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</si>
  <si>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</si>
  <si>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</si>
  <si>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</si>
  <si>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</si>
  <si>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</si>
  <si>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</si>
  <si>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</si>
  <si>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</si>
  <si>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</si>
  <si>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</si>
  <si>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</si>
  <si>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</si>
  <si>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</si>
  <si>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</si>
  <si>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</si>
  <si>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</si>
  <si>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</si>
  <si>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</si>
  <si>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</si>
  <si>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</si>
  <si>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</si>
  <si>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</si>
  <si>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</si>
  <si>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</si>
  <si>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</si>
  <si>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</si>
  <si>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</si>
  <si>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</si>
  <si>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</si>
  <si>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</si>
  <si>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</si>
  <si>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</si>
  <si>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</si>
  <si>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</si>
  <si>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</si>
  <si>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</si>
  <si>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</si>
  <si>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</si>
  <si>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</si>
  <si>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</si>
  <si>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</si>
  <si>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</si>
  <si>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</si>
  <si>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</si>
  <si>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</si>
  <si>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</si>
  <si>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</si>
  <si>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</si>
  <si>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</si>
  <si>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</si>
  <si>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</si>
  <si>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</si>
  <si>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</si>
  <si>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</si>
  <si>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</si>
  <si>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</si>
  <si>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</si>
  <si>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</si>
  <si>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</si>
  <si>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</si>
  <si>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</si>
  <si>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</si>
  <si>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</si>
  <si>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</si>
  <si>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</si>
  <si>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</si>
  <si>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</si>
  <si>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</si>
  <si>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</si>
  <si>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</si>
  <si>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</si>
  <si>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</si>
  <si>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</si>
  <si>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</si>
  <si>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</si>
  <si>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</si>
  <si>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</si>
  <si>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</si>
  <si>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</si>
  <si>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</si>
  <si>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</si>
  <si>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</si>
  <si>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</si>
  <si>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</si>
  <si>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</si>
  <si>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</si>
  <si>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</si>
  <si>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</si>
  <si>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</si>
  <si>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</si>
  <si>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</si>
  <si>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</si>
  <si>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</si>
  <si>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</si>
  <si>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</si>
  <si>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</si>
  <si>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</si>
  <si>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</si>
  <si>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</si>
  <si>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</si>
  <si>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</si>
  <si>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</si>
  <si>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</si>
  <si>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</si>
  <si>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</si>
  <si>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</si>
  <si>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</si>
  <si>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</si>
  <si>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</si>
  <si>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</si>
  <si>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</si>
  <si>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</si>
  <si>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</si>
  <si>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</si>
  <si>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</si>
  <si>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</si>
  <si>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</si>
  <si>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</si>
  <si>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</si>
  <si>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</si>
  <si>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</si>
  <si>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</si>
  <si>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</si>
  <si>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</si>
  <si>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</si>
  <si>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</si>
  <si>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</si>
  <si>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</si>
  <si>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</si>
  <si>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</si>
  <si>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</si>
  <si>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</si>
  <si>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</si>
  <si>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</si>
  <si>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</si>
  <si>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</si>
  <si>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</si>
  <si>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</si>
  <si>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</si>
  <si>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</si>
  <si>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</si>
  <si>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</si>
  <si>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</si>
  <si>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</si>
  <si>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</si>
  <si>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</si>
  <si>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</si>
  <si>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</si>
  <si>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</si>
  <si>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</si>
  <si>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</si>
  <si>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</si>
  <si>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</si>
  <si>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</si>
  <si>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</si>
  <si>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</si>
  <si>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</si>
  <si>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</si>
  <si>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</si>
  <si>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</si>
  <si>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</si>
  <si>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</si>
  <si>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</si>
  <si>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</si>
  <si>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</si>
  <si>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</si>
  <si>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</si>
  <si>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</si>
  <si>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</si>
  <si>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</si>
  <si>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</si>
  <si>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</si>
  <si>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</si>
  <si>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</si>
  <si>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</si>
  <si>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</si>
  <si>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</si>
  <si>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</si>
  <si>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</si>
  <si>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</si>
  <si>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</si>
  <si>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</si>
  <si>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</si>
  <si>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</si>
  <si>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</si>
  <si>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</si>
  <si>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</si>
  <si>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</si>
  <si>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</si>
  <si>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</si>
  <si>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</si>
  <si>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</si>
  <si>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</si>
  <si>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</si>
  <si>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</si>
  <si>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</si>
  <si>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</si>
  <si>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</si>
  <si>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</si>
  <si>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</si>
  <si>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</si>
  <si>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</si>
  <si>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</si>
  <si>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</si>
  <si>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</si>
  <si>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</si>
  <si>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</si>
  <si>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</si>
  <si>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</si>
  <si>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</si>
  <si>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</si>
  <si>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</si>
  <si>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</si>
  <si>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</si>
  <si>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</si>
  <si>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</si>
  <si>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</si>
  <si>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</si>
  <si>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</si>
  <si>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</si>
  <si>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</si>
  <si>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</si>
  <si>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</si>
  <si>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</si>
  <si>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</si>
  <si>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</si>
  <si>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</si>
  <si>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</si>
  <si>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</si>
  <si>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</si>
  <si>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</si>
  <si>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</si>
  <si>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</si>
  <si>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</si>
  <si>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</si>
  <si>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</si>
  <si>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</si>
  <si>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</si>
  <si>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</si>
  <si>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</si>
  <si>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</si>
  <si>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</si>
  <si>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</si>
  <si>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</si>
  <si>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</si>
  <si>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</si>
  <si>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</si>
  <si>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</si>
  <si>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</si>
  <si>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</si>
  <si>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</si>
  <si>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</si>
  <si>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</si>
  <si>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</si>
  <si>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</si>
  <si>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</si>
  <si>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</si>
  <si>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</si>
  <si>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</si>
  <si>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</si>
  <si>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</si>
  <si>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</si>
  <si>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</si>
  <si>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</si>
  <si>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</si>
  <si>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</si>
  <si>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</si>
  <si>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</si>
  <si>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</si>
  <si>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</si>
  <si>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</si>
  <si>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</si>
  <si>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</si>
  <si>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</si>
  <si>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</si>
  <si>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</si>
  <si>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</si>
  <si>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</si>
  <si>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</si>
  <si>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</si>
  <si>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</si>
  <si>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</si>
  <si>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</si>
  <si>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</si>
  <si>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</si>
  <si>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</si>
  <si>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</si>
  <si>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</si>
  <si>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</si>
  <si>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</si>
  <si>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</si>
  <si>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</si>
  <si>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</si>
  <si>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</si>
  <si>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</si>
  <si>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</si>
  <si>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</si>
  <si>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</si>
  <si>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</si>
  <si>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</si>
  <si>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</si>
  <si>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</si>
  <si>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</si>
  <si>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</si>
  <si>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</si>
  <si>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</si>
  <si>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</si>
  <si>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</si>
  <si>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</si>
  <si>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</si>
  <si>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</si>
  <si>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</si>
  <si>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</si>
  <si>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</si>
  <si>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</si>
  <si>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</si>
  <si>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</si>
  <si>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</si>
  <si>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</si>
  <si>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</si>
  <si>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</si>
  <si>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</si>
  <si>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</si>
  <si>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</si>
  <si>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</si>
  <si>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</si>
  <si>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</si>
  <si>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</si>
  <si>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</si>
  <si>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</si>
  <si>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</si>
  <si>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</si>
  <si>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</si>
  <si>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</si>
  <si>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</si>
  <si>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</si>
  <si>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</si>
  <si>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</si>
  <si>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</si>
  <si>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</si>
  <si>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</si>
  <si>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</si>
  <si>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</si>
  <si>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</si>
  <si>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</si>
  <si>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</si>
  <si>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</si>
  <si>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</si>
  <si>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</si>
  <si>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</si>
  <si>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</si>
  <si>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</si>
  <si>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</si>
  <si>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</si>
  <si>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</si>
  <si>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</si>
  <si>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</si>
  <si>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45064</t>
  </si>
  <si>
    <t>MAARKEDAL</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</si>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</sst>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45064</v>
      </c>
      <c r="B6" s="394"/>
      <c r="C6" s="395"/>
    </row>
    <row r="7" spans="1:7" s="392" customFormat="1" ht="15.75" customHeight="1">
      <c r="A7" s="396" t="str">
        <f>txtMunicipality</f>
        <v>MAARKEDAL</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0.20887617679585807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0.20887617679585807</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2381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3328</v>
      </c>
      <c r="C14" s="332"/>
      <c r="D14" s="332"/>
      <c r="E14" s="332"/>
      <c r="F14" s="332"/>
    </row>
    <row r="15" spans="1:6">
      <c r="A15" s="1299" t="s">
        <v>183</v>
      </c>
      <c r="B15" s="1300">
        <v>30</v>
      </c>
      <c r="C15" s="332"/>
      <c r="D15" s="332"/>
      <c r="E15" s="332"/>
      <c r="F15" s="332"/>
    </row>
    <row r="16" spans="1:6">
      <c r="A16" s="1299" t="s">
        <v>6</v>
      </c>
      <c r="B16" s="1300">
        <v>943</v>
      </c>
      <c r="C16" s="332"/>
      <c r="D16" s="332"/>
      <c r="E16" s="332"/>
      <c r="F16" s="332"/>
    </row>
    <row r="17" spans="1:6">
      <c r="A17" s="1299" t="s">
        <v>7</v>
      </c>
      <c r="B17" s="1300">
        <v>1234</v>
      </c>
      <c r="C17" s="332"/>
      <c r="D17" s="332"/>
      <c r="E17" s="332"/>
      <c r="F17" s="332"/>
    </row>
    <row r="18" spans="1:6">
      <c r="A18" s="1299" t="s">
        <v>8</v>
      </c>
      <c r="B18" s="1300">
        <v>1562</v>
      </c>
      <c r="C18" s="332"/>
      <c r="D18" s="332"/>
      <c r="E18" s="332"/>
      <c r="F18" s="332"/>
    </row>
    <row r="19" spans="1:6">
      <c r="A19" s="1299" t="s">
        <v>9</v>
      </c>
      <c r="B19" s="1300">
        <v>1579</v>
      </c>
      <c r="C19" s="332"/>
      <c r="D19" s="332"/>
      <c r="E19" s="332"/>
      <c r="F19" s="332"/>
    </row>
    <row r="20" spans="1:6">
      <c r="A20" s="1299" t="s">
        <v>10</v>
      </c>
      <c r="B20" s="1300">
        <v>1139</v>
      </c>
      <c r="C20" s="332"/>
      <c r="D20" s="332"/>
      <c r="E20" s="332"/>
      <c r="F20" s="332"/>
    </row>
    <row r="21" spans="1:6">
      <c r="A21" s="1299" t="s">
        <v>11</v>
      </c>
      <c r="B21" s="1300">
        <v>1155</v>
      </c>
      <c r="C21" s="332"/>
      <c r="D21" s="332"/>
      <c r="E21" s="332"/>
      <c r="F21" s="332"/>
    </row>
    <row r="22" spans="1:6">
      <c r="A22" s="1299" t="s">
        <v>12</v>
      </c>
      <c r="B22" s="1300">
        <v>6032</v>
      </c>
      <c r="C22" s="332"/>
      <c r="D22" s="332"/>
      <c r="E22" s="332"/>
      <c r="F22" s="332"/>
    </row>
    <row r="23" spans="1:6">
      <c r="A23" s="1299" t="s">
        <v>13</v>
      </c>
      <c r="B23" s="1300">
        <v>149</v>
      </c>
      <c r="C23" s="332"/>
      <c r="D23" s="332"/>
      <c r="E23" s="332"/>
      <c r="F23" s="332"/>
    </row>
    <row r="24" spans="1:6">
      <c r="A24" s="1299" t="s">
        <v>14</v>
      </c>
      <c r="B24" s="1300">
        <v>12</v>
      </c>
      <c r="C24" s="332"/>
      <c r="D24" s="332"/>
      <c r="E24" s="332"/>
      <c r="F24" s="332"/>
    </row>
    <row r="25" spans="1:6">
      <c r="A25" s="1299" t="s">
        <v>15</v>
      </c>
      <c r="B25" s="1300">
        <v>533</v>
      </c>
      <c r="C25" s="332"/>
      <c r="D25" s="332"/>
      <c r="E25" s="332"/>
      <c r="F25" s="332"/>
    </row>
    <row r="26" spans="1:6">
      <c r="A26" s="1299" t="s">
        <v>16</v>
      </c>
      <c r="B26" s="1300">
        <v>121</v>
      </c>
      <c r="C26" s="332"/>
      <c r="D26" s="332"/>
      <c r="E26" s="332"/>
      <c r="F26" s="332"/>
    </row>
    <row r="27" spans="1:6">
      <c r="A27" s="1299" t="s">
        <v>17</v>
      </c>
      <c r="B27" s="1300">
        <v>700</v>
      </c>
      <c r="C27" s="332"/>
      <c r="D27" s="332"/>
      <c r="E27" s="332"/>
      <c r="F27" s="332"/>
    </row>
    <row r="28" spans="1:6" s="44" customFormat="1">
      <c r="A28" s="1301" t="s">
        <v>18</v>
      </c>
      <c r="B28" s="1302">
        <v>61157</v>
      </c>
      <c r="C28" s="338"/>
      <c r="D28" s="338"/>
      <c r="E28" s="338"/>
      <c r="F28" s="338"/>
    </row>
    <row r="29" spans="1:6">
      <c r="A29" s="1301" t="s">
        <v>950</v>
      </c>
      <c r="B29" s="1302">
        <v>137</v>
      </c>
      <c r="C29" s="338"/>
      <c r="D29" s="338"/>
      <c r="E29" s="338"/>
      <c r="F29" s="338"/>
    </row>
    <row r="30" spans="1:6">
      <c r="A30" s="1294" t="s">
        <v>951</v>
      </c>
      <c r="B30" s="1303">
        <v>74</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0</v>
      </c>
      <c r="D38" s="1300">
        <v>0</v>
      </c>
      <c r="E38" s="1300">
        <v>0</v>
      </c>
      <c r="F38" s="1300">
        <v>0</v>
      </c>
    </row>
    <row r="39" spans="1:6">
      <c r="A39" s="1299" t="s">
        <v>29</v>
      </c>
      <c r="B39" s="1299" t="s">
        <v>30</v>
      </c>
      <c r="C39" s="1300">
        <v>349</v>
      </c>
      <c r="D39" s="1300">
        <v>6107073.5697237505</v>
      </c>
      <c r="E39" s="1300">
        <v>2208</v>
      </c>
      <c r="F39" s="1300">
        <v>11759598.2133557</v>
      </c>
    </row>
    <row r="40" spans="1:6">
      <c r="A40" s="1299" t="s">
        <v>29</v>
      </c>
      <c r="B40" s="1299" t="s">
        <v>28</v>
      </c>
      <c r="C40" s="1300">
        <v>0</v>
      </c>
      <c r="D40" s="1300">
        <v>0</v>
      </c>
      <c r="E40" s="1300">
        <v>0</v>
      </c>
      <c r="F40" s="1300">
        <v>0</v>
      </c>
    </row>
    <row r="41" spans="1:6">
      <c r="A41" s="1299" t="s">
        <v>31</v>
      </c>
      <c r="B41" s="1299" t="s">
        <v>32</v>
      </c>
      <c r="C41" s="1300">
        <v>0</v>
      </c>
      <c r="D41" s="1300">
        <v>0</v>
      </c>
      <c r="E41" s="1300">
        <v>36</v>
      </c>
      <c r="F41" s="1300">
        <v>196128.03310955799</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0</v>
      </c>
      <c r="F44" s="1300">
        <v>0</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6</v>
      </c>
      <c r="D48" s="1300">
        <v>75162.201346370697</v>
      </c>
      <c r="E48" s="1300">
        <v>46</v>
      </c>
      <c r="F48" s="1300">
        <v>736148.527040535</v>
      </c>
    </row>
    <row r="49" spans="1:6">
      <c r="A49" s="1299" t="s">
        <v>31</v>
      </c>
      <c r="B49" s="1299" t="s">
        <v>39</v>
      </c>
      <c r="C49" s="1300">
        <v>0</v>
      </c>
      <c r="D49" s="1300">
        <v>0</v>
      </c>
      <c r="E49" s="1300">
        <v>0</v>
      </c>
      <c r="F49" s="1300">
        <v>0</v>
      </c>
    </row>
    <row r="50" spans="1:6">
      <c r="A50" s="1299" t="s">
        <v>31</v>
      </c>
      <c r="B50" s="1299" t="s">
        <v>40</v>
      </c>
      <c r="C50" s="1300">
        <v>0</v>
      </c>
      <c r="D50" s="1300">
        <v>0</v>
      </c>
      <c r="E50" s="1300">
        <v>0</v>
      </c>
      <c r="F50" s="1300">
        <v>0</v>
      </c>
    </row>
    <row r="51" spans="1:6">
      <c r="A51" s="1299" t="s">
        <v>41</v>
      </c>
      <c r="B51" s="1299" t="s">
        <v>42</v>
      </c>
      <c r="C51" s="1300">
        <v>0</v>
      </c>
      <c r="D51" s="1300">
        <v>0</v>
      </c>
      <c r="E51" s="1300">
        <v>104</v>
      </c>
      <c r="F51" s="1300">
        <v>1501434.3699004101</v>
      </c>
    </row>
    <row r="52" spans="1:6">
      <c r="A52" s="1299" t="s">
        <v>41</v>
      </c>
      <c r="B52" s="1299" t="s">
        <v>28</v>
      </c>
      <c r="C52" s="1300">
        <v>0</v>
      </c>
      <c r="D52" s="1300">
        <v>0</v>
      </c>
      <c r="E52" s="1300">
        <v>18</v>
      </c>
      <c r="F52" s="1300">
        <v>253367.14284685999</v>
      </c>
    </row>
    <row r="53" spans="1:6">
      <c r="A53" s="1299" t="s">
        <v>43</v>
      </c>
      <c r="B53" s="1299" t="s">
        <v>44</v>
      </c>
      <c r="C53" s="1300">
        <v>10</v>
      </c>
      <c r="D53" s="1300">
        <v>353986.65872560203</v>
      </c>
      <c r="E53" s="1300">
        <v>61</v>
      </c>
      <c r="F53" s="1300">
        <v>344409.86305140803</v>
      </c>
    </row>
    <row r="54" spans="1:6">
      <c r="A54" s="1299" t="s">
        <v>45</v>
      </c>
      <c r="B54" s="1299" t="s">
        <v>46</v>
      </c>
      <c r="C54" s="1300">
        <v>0</v>
      </c>
      <c r="D54" s="1300">
        <v>0</v>
      </c>
      <c r="E54" s="1300">
        <v>1</v>
      </c>
      <c r="F54" s="1300">
        <v>555994</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0</v>
      </c>
      <c r="D57" s="1300">
        <v>0</v>
      </c>
      <c r="E57" s="1300">
        <v>7</v>
      </c>
      <c r="F57" s="1300">
        <v>88216.292589924502</v>
      </c>
    </row>
    <row r="58" spans="1:6">
      <c r="A58" s="1299" t="s">
        <v>48</v>
      </c>
      <c r="B58" s="1299" t="s">
        <v>50</v>
      </c>
      <c r="C58" s="1300">
        <v>0</v>
      </c>
      <c r="D58" s="1300">
        <v>0</v>
      </c>
      <c r="E58" s="1300">
        <v>10</v>
      </c>
      <c r="F58" s="1300">
        <v>241529.66070046899</v>
      </c>
    </row>
    <row r="59" spans="1:6">
      <c r="A59" s="1299" t="s">
        <v>48</v>
      </c>
      <c r="B59" s="1299" t="s">
        <v>51</v>
      </c>
      <c r="C59" s="1300">
        <v>0</v>
      </c>
      <c r="D59" s="1300">
        <v>0</v>
      </c>
      <c r="E59" s="1300">
        <v>15</v>
      </c>
      <c r="F59" s="1300">
        <v>578157.27081255906</v>
      </c>
    </row>
    <row r="60" spans="1:6">
      <c r="A60" s="1299" t="s">
        <v>48</v>
      </c>
      <c r="B60" s="1299" t="s">
        <v>52</v>
      </c>
      <c r="C60" s="1300">
        <v>0</v>
      </c>
      <c r="D60" s="1300">
        <v>0</v>
      </c>
      <c r="E60" s="1300">
        <v>21</v>
      </c>
      <c r="F60" s="1300">
        <v>399052.16107579099</v>
      </c>
    </row>
    <row r="61" spans="1:6">
      <c r="A61" s="1299" t="s">
        <v>48</v>
      </c>
      <c r="B61" s="1299" t="s">
        <v>53</v>
      </c>
      <c r="C61" s="1300">
        <v>4</v>
      </c>
      <c r="D61" s="1300">
        <v>590828.363057098</v>
      </c>
      <c r="E61" s="1300">
        <v>59</v>
      </c>
      <c r="F61" s="1300">
        <v>834787.77141710406</v>
      </c>
    </row>
    <row r="62" spans="1:6">
      <c r="A62" s="1299" t="s">
        <v>48</v>
      </c>
      <c r="B62" s="1299" t="s">
        <v>54</v>
      </c>
      <c r="C62" s="1300">
        <v>0</v>
      </c>
      <c r="D62" s="1300">
        <v>0</v>
      </c>
      <c r="E62" s="1300">
        <v>4</v>
      </c>
      <c r="F62" s="1300">
        <v>47085.715349806698</v>
      </c>
    </row>
    <row r="63" spans="1:6">
      <c r="A63" s="1299" t="s">
        <v>48</v>
      </c>
      <c r="B63" s="1299" t="s">
        <v>28</v>
      </c>
      <c r="C63" s="1300">
        <v>39</v>
      </c>
      <c r="D63" s="1300">
        <v>1698895.1067260399</v>
      </c>
      <c r="E63" s="1300">
        <v>143</v>
      </c>
      <c r="F63" s="1300">
        <v>2634572.9553704602</v>
      </c>
    </row>
    <row r="64" spans="1:6">
      <c r="A64" s="1299" t="s">
        <v>55</v>
      </c>
      <c r="B64" s="1299" t="s">
        <v>56</v>
      </c>
      <c r="C64" s="1300">
        <v>0</v>
      </c>
      <c r="D64" s="1300">
        <v>0</v>
      </c>
      <c r="E64" s="1300">
        <v>0</v>
      </c>
      <c r="F64" s="1300">
        <v>0</v>
      </c>
    </row>
    <row r="65" spans="1:6">
      <c r="A65" s="1299" t="s">
        <v>55</v>
      </c>
      <c r="B65" s="1299" t="s">
        <v>28</v>
      </c>
      <c r="C65" s="1300">
        <v>0</v>
      </c>
      <c r="D65" s="1300">
        <v>0</v>
      </c>
      <c r="E65" s="1300">
        <v>0</v>
      </c>
      <c r="F65" s="1300">
        <v>0</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0</v>
      </c>
      <c r="D68" s="1303">
        <v>0</v>
      </c>
      <c r="E68" s="1303">
        <v>0</v>
      </c>
      <c r="F68" s="1303">
        <v>0</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37076308</v>
      </c>
      <c r="E73" s="455"/>
      <c r="F73" s="332"/>
    </row>
    <row r="74" spans="1:6">
      <c r="A74" s="1299" t="s">
        <v>63</v>
      </c>
      <c r="B74" s="1299" t="s">
        <v>768</v>
      </c>
      <c r="C74" s="1313" t="s">
        <v>762</v>
      </c>
      <c r="D74" s="1314">
        <v>4537859.6096460083</v>
      </c>
      <c r="E74" s="455"/>
      <c r="F74" s="332"/>
    </row>
    <row r="75" spans="1:6">
      <c r="A75" s="1299" t="s">
        <v>64</v>
      </c>
      <c r="B75" s="1299" t="s">
        <v>767</v>
      </c>
      <c r="C75" s="1313" t="s">
        <v>763</v>
      </c>
      <c r="D75" s="1314">
        <v>12914791</v>
      </c>
      <c r="E75" s="455"/>
      <c r="F75" s="332"/>
    </row>
    <row r="76" spans="1:6">
      <c r="A76" s="1299" t="s">
        <v>64</v>
      </c>
      <c r="B76" s="1299" t="s">
        <v>768</v>
      </c>
      <c r="C76" s="1313" t="s">
        <v>764</v>
      </c>
      <c r="D76" s="1314">
        <v>732038.60964600812</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218348.78070798374</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1099.5214988033154</v>
      </c>
      <c r="C91" s="332"/>
      <c r="D91" s="332"/>
      <c r="E91" s="332"/>
      <c r="F91" s="332"/>
    </row>
    <row r="92" spans="1:6">
      <c r="A92" s="1294" t="s">
        <v>68</v>
      </c>
      <c r="B92" s="1295">
        <v>67.38916668134614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15</v>
      </c>
      <c r="C97" s="332"/>
      <c r="D97" s="332"/>
      <c r="E97" s="332"/>
      <c r="F97" s="332"/>
    </row>
    <row r="98" spans="1:6">
      <c r="A98" s="1299" t="s">
        <v>71</v>
      </c>
      <c r="B98" s="1300">
        <v>2</v>
      </c>
      <c r="C98" s="332"/>
      <c r="D98" s="332"/>
      <c r="E98" s="332"/>
      <c r="F98" s="332"/>
    </row>
    <row r="99" spans="1:6">
      <c r="A99" s="1299" t="s">
        <v>72</v>
      </c>
      <c r="B99" s="1300">
        <v>91</v>
      </c>
      <c r="C99" s="332"/>
      <c r="D99" s="332"/>
      <c r="E99" s="332"/>
      <c r="F99" s="332"/>
    </row>
    <row r="100" spans="1:6">
      <c r="A100" s="1299" t="s">
        <v>73</v>
      </c>
      <c r="B100" s="1300">
        <v>178</v>
      </c>
      <c r="C100" s="332"/>
      <c r="D100" s="332"/>
      <c r="E100" s="332"/>
      <c r="F100" s="332"/>
    </row>
    <row r="101" spans="1:6">
      <c r="A101" s="1299" t="s">
        <v>74</v>
      </c>
      <c r="B101" s="1300">
        <v>97</v>
      </c>
      <c r="C101" s="332"/>
      <c r="D101" s="332"/>
      <c r="E101" s="332"/>
      <c r="F101" s="332"/>
    </row>
    <row r="102" spans="1:6">
      <c r="A102" s="1299" t="s">
        <v>75</v>
      </c>
      <c r="B102" s="1300">
        <v>38</v>
      </c>
      <c r="C102" s="332"/>
      <c r="D102" s="332"/>
      <c r="E102" s="332"/>
      <c r="F102" s="332"/>
    </row>
    <row r="103" spans="1:6">
      <c r="A103" s="1299" t="s">
        <v>76</v>
      </c>
      <c r="B103" s="1300">
        <v>153</v>
      </c>
      <c r="C103" s="332"/>
      <c r="D103" s="332"/>
      <c r="E103" s="332"/>
      <c r="F103" s="332"/>
    </row>
    <row r="104" spans="1:6">
      <c r="A104" s="1299" t="s">
        <v>77</v>
      </c>
      <c r="B104" s="1300">
        <v>1654</v>
      </c>
      <c r="C104" s="332"/>
      <c r="D104" s="332"/>
      <c r="E104" s="332"/>
      <c r="F104" s="332"/>
    </row>
    <row r="105" spans="1:6">
      <c r="A105" s="1294" t="s">
        <v>78</v>
      </c>
      <c r="B105" s="1303">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3</v>
      </c>
      <c r="C123" s="1300">
        <v>3</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36</v>
      </c>
      <c r="C129" s="332"/>
      <c r="D129" s="332"/>
      <c r="E129" s="332"/>
      <c r="F129" s="332"/>
    </row>
    <row r="130" spans="1:6">
      <c r="A130" s="1299" t="s">
        <v>294</v>
      </c>
      <c r="B130" s="1300">
        <v>1</v>
      </c>
      <c r="C130" s="332"/>
      <c r="D130" s="332"/>
      <c r="E130" s="332"/>
      <c r="F130" s="332"/>
    </row>
    <row r="131" spans="1:6">
      <c r="A131" s="1299" t="s">
        <v>295</v>
      </c>
      <c r="B131" s="1300">
        <v>1</v>
      </c>
      <c r="C131" s="332"/>
      <c r="D131" s="332"/>
      <c r="E131" s="332"/>
      <c r="F131" s="332"/>
    </row>
    <row r="132" spans="1:6">
      <c r="A132" s="1294" t="s">
        <v>296</v>
      </c>
      <c r="B132" s="1295">
        <v>4</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21271.116604868203</v>
      </c>
      <c r="C3" s="44" t="s">
        <v>169</v>
      </c>
      <c r="D3" s="44"/>
      <c r="E3" s="157"/>
      <c r="F3" s="44"/>
      <c r="G3" s="44"/>
      <c r="H3" s="44"/>
      <c r="I3" s="44"/>
      <c r="J3" s="44"/>
      <c r="K3" s="97"/>
    </row>
    <row r="4" spans="1:11">
      <c r="A4" s="362" t="s">
        <v>170</v>
      </c>
      <c r="B4" s="50">
        <f>IF(ISERROR('SEAP template'!B78+'SEAP template'!C78),0,'SEAP template'!B78+'SEAP template'!C78)</f>
        <v>1166.9106654846614</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0</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0.20887617679585807</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0</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0</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555.99400000000003</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555.99400000000003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0.20887617679585807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116.13390104143632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11759.598213355699</v>
      </c>
      <c r="C5" s="18">
        <f>IF(ISERROR('Eigen informatie GS &amp; warmtenet'!B57),0,'Eigen informatie GS &amp; warmtenet'!B57)</f>
        <v>0</v>
      </c>
      <c r="D5" s="31">
        <f>(SUM(HH_hh_gas_kWh,HH_rest_gas_kWh)/1000)*0.902</f>
        <v>5508.5803598908233</v>
      </c>
      <c r="E5" s="18">
        <f>B46*B57</f>
        <v>2904.7225436074796</v>
      </c>
      <c r="F5" s="18">
        <f>B51*B62</f>
        <v>28521.202520399107</v>
      </c>
      <c r="G5" s="19"/>
      <c r="H5" s="18"/>
      <c r="I5" s="18"/>
      <c r="J5" s="18">
        <f>B50*B61+C50*C61</f>
        <v>3801.0594753665728</v>
      </c>
      <c r="K5" s="18"/>
      <c r="L5" s="18"/>
      <c r="M5" s="18"/>
      <c r="N5" s="18">
        <f>B48*B59+C48*C59</f>
        <v>10522.63433805446</v>
      </c>
      <c r="O5" s="18">
        <f>B69*B70*B71</f>
        <v>60.970000000000006</v>
      </c>
      <c r="P5" s="18">
        <f>B77*B78*B79/1000-B77*B78*B79/1000/B80</f>
        <v>133.46666666666667</v>
      </c>
    </row>
    <row r="6" spans="1:16">
      <c r="A6" s="17" t="s">
        <v>638</v>
      </c>
      <c r="B6" s="776">
        <f>kWh_PV_kleiner_dan_10kW</f>
        <v>1099.5214988033154</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12859.119712159014</v>
      </c>
      <c r="C8" s="22">
        <f>C5</f>
        <v>0</v>
      </c>
      <c r="D8" s="22">
        <f>D5</f>
        <v>5508.5803598908233</v>
      </c>
      <c r="E8" s="22">
        <f>E5</f>
        <v>2904.7225436074796</v>
      </c>
      <c r="F8" s="22">
        <f>F5</f>
        <v>28521.202520399107</v>
      </c>
      <c r="G8" s="22"/>
      <c r="H8" s="22"/>
      <c r="I8" s="22"/>
      <c r="J8" s="22">
        <f>J5</f>
        <v>3801.0594753665728</v>
      </c>
      <c r="K8" s="22"/>
      <c r="L8" s="22">
        <f>L5</f>
        <v>0</v>
      </c>
      <c r="M8" s="22">
        <f>M5</f>
        <v>0</v>
      </c>
      <c r="N8" s="22">
        <f>N5</f>
        <v>10522.63433805446</v>
      </c>
      <c r="O8" s="22">
        <f>O5</f>
        <v>60.970000000000006</v>
      </c>
      <c r="P8" s="22">
        <f>P5</f>
        <v>133.46666666666667</v>
      </c>
    </row>
    <row r="9" spans="1:16">
      <c r="B9" s="20"/>
      <c r="C9" s="20"/>
      <c r="D9" s="262"/>
      <c r="E9" s="20"/>
      <c r="F9" s="20"/>
      <c r="G9" s="20"/>
      <c r="H9" s="20"/>
      <c r="I9" s="20"/>
      <c r="J9" s="20"/>
      <c r="K9" s="20"/>
      <c r="L9" s="20"/>
      <c r="M9" s="20"/>
      <c r="N9" s="20"/>
      <c r="O9" s="20"/>
      <c r="P9" s="20"/>
    </row>
    <row r="10" spans="1:16">
      <c r="A10" s="25" t="s">
        <v>213</v>
      </c>
      <c r="B10" s="26">
        <f ca="1">'EF ele_warmte'!B12</f>
        <v>0.20887617679585807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2685.9637624360298</v>
      </c>
      <c r="C12" s="24">
        <f ca="1">C10*C8</f>
        <v>0</v>
      </c>
      <c r="D12" s="24">
        <f>D8*D10</f>
        <v>1112.7332326979463</v>
      </c>
      <c r="E12" s="24">
        <f>E10*E8</f>
        <v>659.37201739889792</v>
      </c>
      <c r="F12" s="24">
        <f>F10*F8</f>
        <v>7615.1610729465619</v>
      </c>
      <c r="G12" s="24"/>
      <c r="H12" s="24"/>
      <c r="I12" s="24"/>
      <c r="J12" s="24">
        <f>J10*J8</f>
        <v>1345.5750542797666</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15</v>
      </c>
      <c r="C18" s="169" t="s">
        <v>110</v>
      </c>
      <c r="D18" s="231"/>
      <c r="E18" s="16"/>
    </row>
    <row r="19" spans="1:7">
      <c r="A19" s="174" t="s">
        <v>71</v>
      </c>
      <c r="B19" s="38">
        <f>aantalw2001_ander</f>
        <v>2</v>
      </c>
      <c r="C19" s="169" t="s">
        <v>110</v>
      </c>
      <c r="D19" s="232"/>
      <c r="E19" s="16"/>
    </row>
    <row r="20" spans="1:7">
      <c r="A20" s="174" t="s">
        <v>72</v>
      </c>
      <c r="B20" s="38">
        <f>aantalw2001_propaan</f>
        <v>91</v>
      </c>
      <c r="C20" s="170">
        <f>IF(ISERROR(B20/SUM($B$20,$B$21,$B$22)*100),0,B20/SUM($B$20,$B$21,$B$22)*100)</f>
        <v>24.863387978142075</v>
      </c>
      <c r="D20" s="232"/>
      <c r="E20" s="16"/>
    </row>
    <row r="21" spans="1:7">
      <c r="A21" s="174" t="s">
        <v>73</v>
      </c>
      <c r="B21" s="38">
        <f>aantalw2001_elektriciteit</f>
        <v>178</v>
      </c>
      <c r="C21" s="170">
        <f>IF(ISERROR(B21/SUM($B$20,$B$21,$B$22)*100),0,B21/SUM($B$20,$B$21,$B$22)*100)</f>
        <v>48.633879781420767</v>
      </c>
      <c r="D21" s="232"/>
      <c r="E21" s="16"/>
    </row>
    <row r="22" spans="1:7">
      <c r="A22" s="174" t="s">
        <v>74</v>
      </c>
      <c r="B22" s="38">
        <f>aantalw2001_hout</f>
        <v>97</v>
      </c>
      <c r="C22" s="170">
        <f>IF(ISERROR(B22/SUM($B$20,$B$21,$B$22)*100),0,B22/SUM($B$20,$B$21,$B$22)*100)</f>
        <v>26.502732240437162</v>
      </c>
      <c r="D22" s="232"/>
      <c r="E22" s="16"/>
    </row>
    <row r="23" spans="1:7">
      <c r="A23" s="174" t="s">
        <v>75</v>
      </c>
      <c r="B23" s="38">
        <f>aantalw2001_niet_gespec</f>
        <v>38</v>
      </c>
      <c r="C23" s="169" t="s">
        <v>110</v>
      </c>
      <c r="D23" s="231"/>
      <c r="E23" s="16"/>
    </row>
    <row r="24" spans="1:7">
      <c r="A24" s="174" t="s">
        <v>76</v>
      </c>
      <c r="B24" s="38">
        <f>aantalw2001_steenkool</f>
        <v>153</v>
      </c>
      <c r="C24" s="169" t="s">
        <v>110</v>
      </c>
      <c r="D24" s="232"/>
      <c r="E24" s="16"/>
    </row>
    <row r="25" spans="1:7">
      <c r="A25" s="174" t="s">
        <v>77</v>
      </c>
      <c r="B25" s="38">
        <f>aantalw2001_stookolie</f>
        <v>1654</v>
      </c>
      <c r="C25" s="169" t="s">
        <v>110</v>
      </c>
      <c r="D25" s="231"/>
      <c r="E25" s="53"/>
    </row>
    <row r="26" spans="1:7">
      <c r="A26" s="174" t="s">
        <v>78</v>
      </c>
      <c r="B26" s="38">
        <f>aantalw2001_WP</f>
        <v>1</v>
      </c>
      <c r="C26" s="169" t="s">
        <v>110</v>
      </c>
      <c r="D26" s="231"/>
      <c r="E26" s="16"/>
    </row>
    <row r="27" spans="1:7" s="16" customFormat="1">
      <c r="A27" s="174"/>
      <c r="B27" s="30"/>
      <c r="C27" s="37"/>
      <c r="D27" s="231"/>
    </row>
    <row r="28" spans="1:7" s="16" customFormat="1">
      <c r="A28" s="233" t="s">
        <v>663</v>
      </c>
      <c r="B28" s="38">
        <f>aantalHuishoudens</f>
        <v>2381</v>
      </c>
      <c r="C28" s="37"/>
      <c r="D28" s="231"/>
    </row>
    <row r="29" spans="1:7" s="16" customFormat="1">
      <c r="A29" s="233" t="s">
        <v>664</v>
      </c>
      <c r="B29" s="38">
        <f>SUM(HH_hh_gas_aantal,HH_rest_gas_aantal)</f>
        <v>349</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349</v>
      </c>
      <c r="C32" s="170">
        <f>IF(ISERROR(B32/SUM($B$32,$B$34,$B$35,$B$36,$B$38,$B$39)*100),0,B32/SUM($B$32,$B$34,$B$35,$B$36,$B$38,$B$39)*100)</f>
        <v>14.700926705981466</v>
      </c>
      <c r="D32" s="236"/>
      <c r="G32" s="16"/>
    </row>
    <row r="33" spans="1:7">
      <c r="A33" s="174" t="s">
        <v>71</v>
      </c>
      <c r="B33" s="35" t="s">
        <v>110</v>
      </c>
      <c r="C33" s="170"/>
      <c r="D33" s="236"/>
      <c r="G33" s="16"/>
    </row>
    <row r="34" spans="1:7">
      <c r="A34" s="174" t="s">
        <v>72</v>
      </c>
      <c r="B34" s="34">
        <f>IF((($B$28-$B$32-$B$39-$B$77-$B$38)*C20/100)&lt;0,0,($B$28-$B$32-$B$39-$B$77-$B$38)*C20/100)</f>
        <v>137.24590163934423</v>
      </c>
      <c r="C34" s="170">
        <f>IF(ISERROR(B34/SUM($B$32,$B$34,$B$35,$B$36,$B$38,$B$39)*100),0,B34/SUM($B$32,$B$34,$B$35,$B$36,$B$38,$B$39)*100)</f>
        <v>5.781208999129916</v>
      </c>
      <c r="D34" s="236"/>
      <c r="G34" s="16"/>
    </row>
    <row r="35" spans="1:7">
      <c r="A35" s="174" t="s">
        <v>73</v>
      </c>
      <c r="B35" s="34">
        <f>IF((($B$28-$B$32-$B$39-$B$77-$B$38)*C21/100)&lt;0,0,($B$28-$B$32-$B$39-$B$77-$B$38)*C21/100)</f>
        <v>268.4590163934426</v>
      </c>
      <c r="C35" s="170">
        <f>IF(ISERROR(B35/SUM($B$32,$B$34,$B$35,$B$36,$B$38,$B$39)*100),0,B35/SUM($B$32,$B$34,$B$35,$B$36,$B$38,$B$39)*100)</f>
        <v>11.308298921375004</v>
      </c>
      <c r="D35" s="236"/>
      <c r="G35" s="16"/>
    </row>
    <row r="36" spans="1:7">
      <c r="A36" s="174" t="s">
        <v>74</v>
      </c>
      <c r="B36" s="34">
        <f>IF((($B$28-$B$32-$B$39-$B$77-$B$38)*C22/100)&lt;0,0,($B$28-$B$32-$B$39-$B$77-$B$38)*C22/100)</f>
        <v>146.29508196721309</v>
      </c>
      <c r="C36" s="170">
        <f>IF(ISERROR(B36/SUM($B$32,$B$34,$B$35,$B$36,$B$38,$B$39)*100),0,B36/SUM($B$32,$B$34,$B$35,$B$36,$B$38,$B$39)*100)</f>
        <v>6.162387614457165</v>
      </c>
      <c r="D36" s="236"/>
      <c r="G36" s="16"/>
    </row>
    <row r="37" spans="1:7">
      <c r="A37" s="174" t="s">
        <v>75</v>
      </c>
      <c r="B37" s="35" t="s">
        <v>110</v>
      </c>
      <c r="C37" s="170"/>
      <c r="D37" s="176"/>
      <c r="G37" s="16"/>
    </row>
    <row r="38" spans="1:7">
      <c r="A38" s="174" t="s">
        <v>76</v>
      </c>
      <c r="B38" s="34">
        <f>IF((B24-(B29-B18)*0.1)&lt;0,0,B24-(B29-B18)*0.1)</f>
        <v>119.6</v>
      </c>
      <c r="C38" s="170">
        <f>IF(ISERROR(B38/SUM($B$32,$B$34,$B$35,$B$36,$B$38,$B$39)*100),0,B38/SUM($B$32,$B$34,$B$35,$B$36,$B$38,$B$39)*100)</f>
        <v>5.0379106992417855</v>
      </c>
      <c r="D38" s="237"/>
      <c r="G38" s="16"/>
    </row>
    <row r="39" spans="1:7">
      <c r="A39" s="174" t="s">
        <v>77</v>
      </c>
      <c r="B39" s="34">
        <f>IF((B25-(B29-B18))&lt;0,0,B25-(B29-B18)*0.9)</f>
        <v>1353.4</v>
      </c>
      <c r="C39" s="170">
        <f>IF(ISERROR(B39/SUM($B$32,$B$34,$B$35,$B$36,$B$38,$B$39)*100),0,B39/SUM($B$32,$B$34,$B$35,$B$36,$B$38,$B$39)*100)</f>
        <v>57.009267059814661</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349</v>
      </c>
      <c r="C44" s="35" t="s">
        <v>110</v>
      </c>
      <c r="D44" s="177"/>
    </row>
    <row r="45" spans="1:7">
      <c r="A45" s="174" t="s">
        <v>71</v>
      </c>
      <c r="B45" s="34" t="str">
        <f t="shared" si="0"/>
        <v>-</v>
      </c>
      <c r="C45" s="35" t="s">
        <v>110</v>
      </c>
      <c r="D45" s="177"/>
    </row>
    <row r="46" spans="1:7">
      <c r="A46" s="174" t="s">
        <v>72</v>
      </c>
      <c r="B46" s="34">
        <f t="shared" si="0"/>
        <v>137.24590163934423</v>
      </c>
      <c r="C46" s="35" t="s">
        <v>110</v>
      </c>
      <c r="D46" s="177"/>
    </row>
    <row r="47" spans="1:7">
      <c r="A47" s="174" t="s">
        <v>73</v>
      </c>
      <c r="B47" s="34">
        <f t="shared" si="0"/>
        <v>268.4590163934426</v>
      </c>
      <c r="C47" s="35" t="s">
        <v>110</v>
      </c>
      <c r="D47" s="177"/>
    </row>
    <row r="48" spans="1:7">
      <c r="A48" s="174" t="s">
        <v>74</v>
      </c>
      <c r="B48" s="34">
        <f t="shared" si="0"/>
        <v>146.29508196721309</v>
      </c>
      <c r="C48" s="34">
        <f>B48*10</f>
        <v>1462.9508196721308</v>
      </c>
      <c r="D48" s="237"/>
    </row>
    <row r="49" spans="1:6">
      <c r="A49" s="174" t="s">
        <v>75</v>
      </c>
      <c r="B49" s="34" t="str">
        <f t="shared" si="0"/>
        <v>-</v>
      </c>
      <c r="C49" s="35" t="s">
        <v>110</v>
      </c>
      <c r="D49" s="237"/>
    </row>
    <row r="50" spans="1:6">
      <c r="A50" s="174" t="s">
        <v>76</v>
      </c>
      <c r="B50" s="34">
        <f t="shared" si="0"/>
        <v>119.6</v>
      </c>
      <c r="C50" s="34">
        <f>B50*2</f>
        <v>239.2</v>
      </c>
      <c r="D50" s="237"/>
    </row>
    <row r="51" spans="1:6">
      <c r="A51" s="174" t="s">
        <v>77</v>
      </c>
      <c r="B51" s="34">
        <f t="shared" si="0"/>
        <v>1353.4</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39</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7</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4823.4018273161146</v>
      </c>
      <c r="C5" s="18">
        <f>IF(ISERROR('Eigen informatie GS &amp; warmtenet'!B58),0,'Eigen informatie GS &amp; warmtenet'!B58)</f>
        <v>0</v>
      </c>
      <c r="D5" s="31">
        <f>SUM(D6:D12)</f>
        <v>2065.3305697443907</v>
      </c>
      <c r="E5" s="18">
        <f>SUM(E6:E12)</f>
        <v>48.94510906962725</v>
      </c>
      <c r="F5" s="18">
        <f>SUM(F6:F12)</f>
        <v>959.94170773643327</v>
      </c>
      <c r="G5" s="19"/>
      <c r="H5" s="18"/>
      <c r="I5" s="18"/>
      <c r="J5" s="18">
        <f>SUM(J6:J12)</f>
        <v>0</v>
      </c>
      <c r="K5" s="18"/>
      <c r="L5" s="18"/>
      <c r="M5" s="18"/>
      <c r="N5" s="18">
        <f>SUM(N6:N12)</f>
        <v>229.49279386215636</v>
      </c>
      <c r="O5" s="18">
        <f>B38*B39*B40</f>
        <v>1.5633333333333335</v>
      </c>
      <c r="P5" s="18">
        <f>B46*B47*B48/1000-B46*B47*B48/1000/B49</f>
        <v>19.066666666666666</v>
      </c>
      <c r="R5" s="33"/>
    </row>
    <row r="6" spans="1:18">
      <c r="A6" s="33" t="s">
        <v>53</v>
      </c>
      <c r="B6" s="38">
        <f>B26</f>
        <v>834.78777141710407</v>
      </c>
      <c r="C6" s="34"/>
      <c r="D6" s="38">
        <f>IF(ISERROR(TER_kantoor_gas_kWh/1000),0,TER_kantoor_gas_kWh/1000)*0.902</f>
        <v>532.92718347750247</v>
      </c>
      <c r="E6" s="34">
        <f>$C$26*'E Balans VL '!I12/100/3.6*1000000</f>
        <v>1.3700559242157573</v>
      </c>
      <c r="F6" s="34">
        <f>$C$26*('E Balans VL '!L12+'E Balans VL '!N12)/100/3.6*1000000</f>
        <v>98.401836760437277</v>
      </c>
      <c r="G6" s="35"/>
      <c r="H6" s="34"/>
      <c r="I6" s="34"/>
      <c r="J6" s="34">
        <f>$C$26*('E Balans VL '!D12+'E Balans VL '!E12)/100/3.6*1000000</f>
        <v>0</v>
      </c>
      <c r="K6" s="34"/>
      <c r="L6" s="34"/>
      <c r="M6" s="34"/>
      <c r="N6" s="34">
        <f>$C$26*'E Balans VL '!Y12/100/3.6*1000000</f>
        <v>0.16866491617110282</v>
      </c>
      <c r="O6" s="34"/>
      <c r="P6" s="34"/>
      <c r="R6" s="33"/>
    </row>
    <row r="7" spans="1:18">
      <c r="A7" s="33" t="s">
        <v>52</v>
      </c>
      <c r="B7" s="38">
        <f t="shared" ref="B7:B12" si="0">B27</f>
        <v>399.05216107579099</v>
      </c>
      <c r="C7" s="34"/>
      <c r="D7" s="38">
        <f>IF(ISERROR(TER_horeca_gas_kWh/1000),0,TER_horeca_gas_kWh/1000)*0.902</f>
        <v>0</v>
      </c>
      <c r="E7" s="34">
        <f>$C$27*'E Balans VL '!I9/100/3.6*1000000</f>
        <v>20.707919556603606</v>
      </c>
      <c r="F7" s="34">
        <f>$C$27*('E Balans VL '!L9+'E Balans VL '!N9)/100/3.6*1000000</f>
        <v>91.063992711178699</v>
      </c>
      <c r="G7" s="35"/>
      <c r="H7" s="34"/>
      <c r="I7" s="34"/>
      <c r="J7" s="34">
        <f>$C$27*('E Balans VL '!D9+'E Balans VL '!E9)/100/3.6*1000000</f>
        <v>0</v>
      </c>
      <c r="K7" s="34"/>
      <c r="L7" s="34"/>
      <c r="M7" s="34"/>
      <c r="N7" s="34">
        <f>$C$27*'E Balans VL '!Y9/100/3.6*1000000</f>
        <v>4.2139725335972426E-2</v>
      </c>
      <c r="O7" s="34"/>
      <c r="P7" s="34"/>
      <c r="R7" s="33"/>
    </row>
    <row r="8" spans="1:18">
      <c r="A8" s="6" t="s">
        <v>51</v>
      </c>
      <c r="B8" s="38">
        <f t="shared" si="0"/>
        <v>578.15727081255909</v>
      </c>
      <c r="C8" s="34"/>
      <c r="D8" s="38">
        <f>IF(ISERROR(TER_handel_gas_kWh/1000),0,TER_handel_gas_kWh/1000)*0.902</f>
        <v>0</v>
      </c>
      <c r="E8" s="34">
        <f>$C$28*'E Balans VL '!I13/100/3.6*1000000</f>
        <v>3.1134479494114253</v>
      </c>
      <c r="F8" s="34">
        <f>$C$28*('E Balans VL '!L13+'E Balans VL '!N13)/100/3.6*1000000</f>
        <v>117.90344880530648</v>
      </c>
      <c r="G8" s="35"/>
      <c r="H8" s="34"/>
      <c r="I8" s="34"/>
      <c r="J8" s="34">
        <f>$C$28*('E Balans VL '!D13+'E Balans VL '!E13)/100/3.6*1000000</f>
        <v>0</v>
      </c>
      <c r="K8" s="34"/>
      <c r="L8" s="34"/>
      <c r="M8" s="34"/>
      <c r="N8" s="34">
        <f>$C$28*'E Balans VL '!Y13/100/3.6*1000000</f>
        <v>2.8748707916436236</v>
      </c>
      <c r="O8" s="34"/>
      <c r="P8" s="34"/>
      <c r="R8" s="33"/>
    </row>
    <row r="9" spans="1:18">
      <c r="A9" s="33" t="s">
        <v>50</v>
      </c>
      <c r="B9" s="38">
        <f t="shared" si="0"/>
        <v>241.52966070046898</v>
      </c>
      <c r="C9" s="34"/>
      <c r="D9" s="38">
        <f>IF(ISERROR(TER_gezond_gas_kWh/1000),0,TER_gezond_gas_kWh/1000)*0.902</f>
        <v>0</v>
      </c>
      <c r="E9" s="34">
        <f>$C$29*'E Balans VL '!I10/100/3.6*1000000</f>
        <v>0.23935864041809884</v>
      </c>
      <c r="F9" s="34">
        <f>$C$29*('E Balans VL '!L10+'E Balans VL '!N10)/100/3.6*1000000</f>
        <v>83.803830437678982</v>
      </c>
      <c r="G9" s="35"/>
      <c r="H9" s="34"/>
      <c r="I9" s="34"/>
      <c r="J9" s="34">
        <f>$C$29*('E Balans VL '!D10+'E Balans VL '!E10)/100/3.6*1000000</f>
        <v>0</v>
      </c>
      <c r="K9" s="34"/>
      <c r="L9" s="34"/>
      <c r="M9" s="34"/>
      <c r="N9" s="34">
        <f>$C$29*'E Balans VL '!Y10/100/3.6*1000000</f>
        <v>2.0812401626417487</v>
      </c>
      <c r="O9" s="34"/>
      <c r="P9" s="34"/>
      <c r="R9" s="33"/>
    </row>
    <row r="10" spans="1:18">
      <c r="A10" s="33" t="s">
        <v>49</v>
      </c>
      <c r="B10" s="38">
        <f t="shared" si="0"/>
        <v>88.216292589924507</v>
      </c>
      <c r="C10" s="34"/>
      <c r="D10" s="38">
        <f>IF(ISERROR(TER_ander_gas_kWh/1000),0,TER_ander_gas_kWh/1000)*0.902</f>
        <v>0</v>
      </c>
      <c r="E10" s="34">
        <f>$C$30*'E Balans VL '!I14/100/3.6*1000000</f>
        <v>0.7216974392910408</v>
      </c>
      <c r="F10" s="34">
        <f>$C$30*('E Balans VL '!L14+'E Balans VL '!N14)/100/3.6*1000000</f>
        <v>25.790852519277962</v>
      </c>
      <c r="G10" s="35"/>
      <c r="H10" s="34"/>
      <c r="I10" s="34"/>
      <c r="J10" s="34">
        <f>$C$30*('E Balans VL '!D14+'E Balans VL '!E14)/100/3.6*1000000</f>
        <v>0</v>
      </c>
      <c r="K10" s="34"/>
      <c r="L10" s="34"/>
      <c r="M10" s="34"/>
      <c r="N10" s="34">
        <f>$C$30*'E Balans VL '!Y14/100/3.6*1000000</f>
        <v>50.88922586877937</v>
      </c>
      <c r="O10" s="34"/>
      <c r="P10" s="34"/>
      <c r="R10" s="33"/>
    </row>
    <row r="11" spans="1:18">
      <c r="A11" s="33" t="s">
        <v>54</v>
      </c>
      <c r="B11" s="38">
        <f t="shared" si="0"/>
        <v>47.085715349806698</v>
      </c>
      <c r="C11" s="34"/>
      <c r="D11" s="38">
        <f>IF(ISERROR(TER_onderwijs_gas_kWh/1000),0,TER_onderwijs_gas_kWh/1000)*0.902</f>
        <v>0</v>
      </c>
      <c r="E11" s="34">
        <f>$C$31*'E Balans VL '!I11/100/3.6*1000000</f>
        <v>2.9021648198042722E-2</v>
      </c>
      <c r="F11" s="34">
        <f>$C$31*('E Balans VL '!L11+'E Balans VL '!N11)/100/3.6*1000000</f>
        <v>18.204100091824809</v>
      </c>
      <c r="G11" s="35"/>
      <c r="H11" s="34"/>
      <c r="I11" s="34"/>
      <c r="J11" s="34">
        <f>$C$31*('E Balans VL '!D11+'E Balans VL '!E11)/100/3.6*1000000</f>
        <v>0</v>
      </c>
      <c r="K11" s="34"/>
      <c r="L11" s="34"/>
      <c r="M11" s="34"/>
      <c r="N11" s="34">
        <f>$C$31*'E Balans VL '!Y11/100/3.6*1000000</f>
        <v>0.15315974177956318</v>
      </c>
      <c r="O11" s="34"/>
      <c r="P11" s="34"/>
      <c r="R11" s="33"/>
    </row>
    <row r="12" spans="1:18">
      <c r="A12" s="33" t="s">
        <v>259</v>
      </c>
      <c r="B12" s="38">
        <f t="shared" si="0"/>
        <v>2634.57295537046</v>
      </c>
      <c r="C12" s="34"/>
      <c r="D12" s="38">
        <f>IF(ISERROR(TER_rest_gas_kWh/1000),0,TER_rest_gas_kWh/1000)*0.902</f>
        <v>1532.4033862668882</v>
      </c>
      <c r="E12" s="34">
        <f>$C$32*'E Balans VL '!I8/100/3.6*1000000</f>
        <v>22.763607911489277</v>
      </c>
      <c r="F12" s="34">
        <f>$C$32*('E Balans VL '!L8+'E Balans VL '!N8)/100/3.6*1000000</f>
        <v>524.77364641072904</v>
      </c>
      <c r="G12" s="35"/>
      <c r="H12" s="34"/>
      <c r="I12" s="34"/>
      <c r="J12" s="34">
        <f>$C$32*('E Balans VL '!D8+'E Balans VL '!E8)/100/3.6*1000000</f>
        <v>0</v>
      </c>
      <c r="K12" s="34"/>
      <c r="L12" s="34"/>
      <c r="M12" s="34"/>
      <c r="N12" s="34">
        <f>$C$32*'E Balans VL '!Y8/100/3.6*1000000</f>
        <v>173.28349265580499</v>
      </c>
      <c r="O12" s="34"/>
      <c r="P12" s="34"/>
      <c r="R12" s="33"/>
    </row>
    <row r="13" spans="1:18">
      <c r="A13" s="17" t="s">
        <v>501</v>
      </c>
      <c r="B13" s="250">
        <f ca="1">'lokale energieproductie'!N38+'lokale energieproductie'!N31</f>
        <v>0</v>
      </c>
      <c r="C13" s="250">
        <f ca="1">'lokale energieproductie'!O38+'lokale energieproductie'!O31</f>
        <v>0</v>
      </c>
      <c r="D13" s="310">
        <f ca="1">('lokale energieproductie'!P31+'lokale energieproductie'!P38)*(-1)</f>
        <v>0</v>
      </c>
      <c r="E13" s="251"/>
      <c r="F13" s="310">
        <f ca="1">('lokale energieproductie'!S31+'lokale energieproductie'!S38)*(-1)</f>
        <v>0</v>
      </c>
      <c r="G13" s="252"/>
      <c r="H13" s="251"/>
      <c r="I13" s="251"/>
      <c r="J13" s="251"/>
      <c r="K13" s="251"/>
      <c r="L13" s="310">
        <f ca="1">('lokale energieproductie'!U31+'lokale energieproductie'!T31+'lokale energieproductie'!U38+'lokale energieproductie'!T38)*(-1)</f>
        <v>0</v>
      </c>
      <c r="M13" s="251"/>
      <c r="N13" s="310">
        <f ca="1">('lokale energieproductie'!Q31+'lokale energieproductie'!R31+'lokale energieproductie'!V31+'lokale energieproductie'!Q38+'lokale energieproductie'!R38+'lokale energieproductie'!V38)*(-1)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4823.4018273161146</v>
      </c>
      <c r="C16" s="22">
        <f t="shared" ca="1" si="1"/>
        <v>0</v>
      </c>
      <c r="D16" s="22">
        <f t="shared" ca="1" si="1"/>
        <v>2065.3305697443907</v>
      </c>
      <c r="E16" s="22">
        <f t="shared" si="1"/>
        <v>48.94510906962725</v>
      </c>
      <c r="F16" s="22">
        <f t="shared" ca="1" si="1"/>
        <v>959.94170773643327</v>
      </c>
      <c r="G16" s="22">
        <f t="shared" si="1"/>
        <v>0</v>
      </c>
      <c r="H16" s="22">
        <f t="shared" si="1"/>
        <v>0</v>
      </c>
      <c r="I16" s="22">
        <f t="shared" si="1"/>
        <v>0</v>
      </c>
      <c r="J16" s="22">
        <f t="shared" si="1"/>
        <v>0</v>
      </c>
      <c r="K16" s="22">
        <f t="shared" si="1"/>
        <v>0</v>
      </c>
      <c r="L16" s="22">
        <f t="shared" ca="1" si="1"/>
        <v>0</v>
      </c>
      <c r="M16" s="22">
        <f t="shared" si="1"/>
        <v>0</v>
      </c>
      <c r="N16" s="22">
        <f t="shared" ca="1" si="1"/>
        <v>229.49279386215636</v>
      </c>
      <c r="O16" s="22">
        <f>O5</f>
        <v>1.5633333333333335</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0.20887617679585807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1007.4937328399457</v>
      </c>
      <c r="C20" s="24">
        <f t="shared" ref="C20:P20" ca="1" si="2">C16*C18</f>
        <v>0</v>
      </c>
      <c r="D20" s="24">
        <f t="shared" ca="1" si="2"/>
        <v>417.19677508836696</v>
      </c>
      <c r="E20" s="24">
        <f t="shared" si="2"/>
        <v>11.110539758805386</v>
      </c>
      <c r="F20" s="24">
        <f t="shared" ca="1" si="2"/>
        <v>256.3044359656277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834.78777141710407</v>
      </c>
      <c r="C26" s="40">
        <f>IF(ISERROR(B26*3.6/1000000/'E Balans VL '!Z12*100),0,B26*3.6/1000000/'E Balans VL '!Z12*100)</f>
        <v>1.7738641490387678E-2</v>
      </c>
      <c r="D26" s="240" t="s">
        <v>703</v>
      </c>
      <c r="F26" s="6"/>
    </row>
    <row r="27" spans="1:18">
      <c r="A27" s="234" t="s">
        <v>52</v>
      </c>
      <c r="B27" s="34">
        <f>IF(ISERROR(TER_horeca_ele_kWh/1000),0,TER_horeca_ele_kWh/1000)</f>
        <v>399.05216107579099</v>
      </c>
      <c r="C27" s="40">
        <f>IF(ISERROR(B27*3.6/1000000/'E Balans VL '!Z9*100),0,B27*3.6/1000000/'E Balans VL '!Z9*100)</f>
        <v>3.1408490933644048E-2</v>
      </c>
      <c r="D27" s="240" t="s">
        <v>703</v>
      </c>
      <c r="F27" s="6"/>
    </row>
    <row r="28" spans="1:18">
      <c r="A28" s="174" t="s">
        <v>51</v>
      </c>
      <c r="B28" s="34">
        <f>IF(ISERROR(TER_handel_ele_kWh/1000),0,TER_handel_ele_kWh/1000)</f>
        <v>578.15727081255909</v>
      </c>
      <c r="C28" s="40">
        <f>IF(ISERROR(B28*3.6/1000000/'E Balans VL '!Z13*100),0,B28*3.6/1000000/'E Balans VL '!Z13*100)</f>
        <v>1.6194494573015403E-2</v>
      </c>
      <c r="D28" s="240" t="s">
        <v>703</v>
      </c>
      <c r="F28" s="6"/>
    </row>
    <row r="29" spans="1:18">
      <c r="A29" s="234" t="s">
        <v>50</v>
      </c>
      <c r="B29" s="34">
        <f>IF(ISERROR(TER_gezond_ele_kWh/1000),0,TER_gezond_ele_kWh/1000)</f>
        <v>241.52966070046898</v>
      </c>
      <c r="C29" s="40">
        <f>IF(ISERROR(B29*3.6/1000000/'E Balans VL '!Z10*100),0,B29*3.6/1000000/'E Balans VL '!Z10*100)</f>
        <v>3.0898947166383015E-2</v>
      </c>
      <c r="D29" s="240" t="s">
        <v>703</v>
      </c>
      <c r="F29" s="6"/>
    </row>
    <row r="30" spans="1:18">
      <c r="A30" s="234" t="s">
        <v>49</v>
      </c>
      <c r="B30" s="34">
        <f>IF(ISERROR(TER_ander_ele_kWh/1000),0,TER_ander_ele_kWh/1000)</f>
        <v>88.216292589924507</v>
      </c>
      <c r="C30" s="40">
        <f>IF(ISERROR(B30*3.6/1000000/'E Balans VL '!Z14*100),0,B30*3.6/1000000/'E Balans VL '!Z14*100)</f>
        <v>6.5978353622599458E-3</v>
      </c>
      <c r="D30" s="240" t="s">
        <v>703</v>
      </c>
      <c r="F30" s="6"/>
    </row>
    <row r="31" spans="1:18">
      <c r="A31" s="234" t="s">
        <v>54</v>
      </c>
      <c r="B31" s="34">
        <f>IF(ISERROR(TER_onderwijs_ele_kWh/1000),0,TER_onderwijs_ele_kWh/1000)</f>
        <v>47.085715349806698</v>
      </c>
      <c r="C31" s="40">
        <f>IF(ISERROR(B31*3.6/1000000/'E Balans VL '!Z11*100),0,B31*3.6/1000000/'E Balans VL '!Z11*100)</f>
        <v>9.9422097877028999E-3</v>
      </c>
      <c r="D31" s="240" t="s">
        <v>703</v>
      </c>
    </row>
    <row r="32" spans="1:18">
      <c r="A32" s="234" t="s">
        <v>259</v>
      </c>
      <c r="B32" s="34">
        <f>IF(ISERROR(TER_rest_ele_kWh/1000),0,TER_rest_ele_kWh/1000)</f>
        <v>2634.57295537046</v>
      </c>
      <c r="C32" s="40">
        <f>IF(ISERROR(B32*3.6/1000000/'E Balans VL '!Z8*100),0,B32*3.6/1000000/'E Balans VL '!Z8*100)</f>
        <v>2.1703433027786458E-2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1</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1</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932.27656015009302</v>
      </c>
      <c r="C5" s="18">
        <f>IF(ISERROR('Eigen informatie GS &amp; warmtenet'!B59),0,'Eigen informatie GS &amp; warmtenet'!B59)</f>
        <v>0</v>
      </c>
      <c r="D5" s="31">
        <f>SUM(D6:D15)</f>
        <v>67.796305614426373</v>
      </c>
      <c r="E5" s="18">
        <f>SUM(E6:E15)</f>
        <v>7.7484524944470223</v>
      </c>
      <c r="F5" s="18">
        <f>SUM(F6:F15)</f>
        <v>300.9920019050906</v>
      </c>
      <c r="G5" s="19"/>
      <c r="H5" s="18"/>
      <c r="I5" s="18"/>
      <c r="J5" s="18">
        <f>SUM(J6:J15)</f>
        <v>3.720473458475638</v>
      </c>
      <c r="K5" s="18"/>
      <c r="L5" s="18"/>
      <c r="M5" s="18"/>
      <c r="N5" s="18">
        <f>SUM(N6:N15)</f>
        <v>37.457486998842441</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32</v>
      </c>
      <c r="B9" s="38">
        <f t="shared" si="0"/>
        <v>196.12803310955798</v>
      </c>
      <c r="C9" s="34"/>
      <c r="D9" s="38">
        <f>IF( ISERROR(IND_andere_gas_kWh/1000),0,IND_andere_gas_kWh/1000)*0.902</f>
        <v>0</v>
      </c>
      <c r="E9" s="34">
        <f>C31*'E Balans VL '!I19/100/3.6*1000000</f>
        <v>1.1336493402835661</v>
      </c>
      <c r="F9" s="34">
        <f>C31*'E Balans VL '!L19/100/3.6*1000000+C31*'E Balans VL '!N19/100/3.6*1000000</f>
        <v>156.02928764615865</v>
      </c>
      <c r="G9" s="35"/>
      <c r="H9" s="34"/>
      <c r="I9" s="34"/>
      <c r="J9" s="41">
        <f>C31*'E Balans VL '!D19/100/3.6*1000000+C31*'E Balans VL '!E19/100/3.6*1000000</f>
        <v>1.8551533403676605E-2</v>
      </c>
      <c r="K9" s="34"/>
      <c r="L9" s="34"/>
      <c r="M9" s="34"/>
      <c r="N9" s="34">
        <f>C31*'E Balans VL '!Y19/100/3.6*1000000</f>
        <v>14.859666573834497</v>
      </c>
      <c r="O9" s="34"/>
      <c r="P9" s="34"/>
      <c r="R9" s="33"/>
    </row>
    <row r="10" spans="1:18">
      <c r="A10" s="6" t="s">
        <v>40</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39</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736.14852704053499</v>
      </c>
      <c r="C15" s="34"/>
      <c r="D15" s="38">
        <f>IF( ISERROR(IND_rest_gas_kWh/1000),0,IND_rest_gas_kWh/1000)*0.902</f>
        <v>67.796305614426373</v>
      </c>
      <c r="E15" s="34">
        <f>C37*'E Balans VL '!I15/100/3.6*1000000</f>
        <v>6.6148031541634564</v>
      </c>
      <c r="F15" s="34">
        <f>C37*'E Balans VL '!L15/100/3.6*1000000+C37*'E Balans VL '!N15/100/3.6*1000000</f>
        <v>144.96271425893195</v>
      </c>
      <c r="G15" s="35"/>
      <c r="H15" s="34"/>
      <c r="I15" s="34"/>
      <c r="J15" s="41">
        <f>C37*'E Balans VL '!D15/100/3.6*1000000+C37*'E Balans VL '!E15/100/3.6*1000000</f>
        <v>3.7019219250719613</v>
      </c>
      <c r="K15" s="34"/>
      <c r="L15" s="34"/>
      <c r="M15" s="34"/>
      <c r="N15" s="34">
        <f>C37*'E Balans VL '!Y15/100/3.6*1000000</f>
        <v>22.597820425007942</v>
      </c>
      <c r="O15" s="34"/>
      <c r="P15" s="34"/>
      <c r="R15" s="33"/>
    </row>
    <row r="16" spans="1:18">
      <c r="A16" s="17" t="s">
        <v>501</v>
      </c>
      <c r="B16" s="250">
        <f>'lokale energieproductie'!N37+'lokale energieproductie'!N30</f>
        <v>0</v>
      </c>
      <c r="C16" s="250">
        <f>'lokale energieproductie'!O37+'lokale energieproductie'!O30</f>
        <v>0</v>
      </c>
      <c r="D16" s="310">
        <f>('lokale energieproductie'!P30+'lokale energieproductie'!P37)*(-1)</f>
        <v>0</v>
      </c>
      <c r="E16" s="251"/>
      <c r="F16" s="310">
        <f>('lokale energieproductie'!S30+'lokale energieproductie'!S37)*(-1)</f>
        <v>0</v>
      </c>
      <c r="G16" s="252"/>
      <c r="H16" s="251"/>
      <c r="I16" s="251"/>
      <c r="J16" s="251"/>
      <c r="K16" s="251"/>
      <c r="L16" s="310">
        <f>('lokale energieproductie'!T30+'lokale energieproductie'!U30+'lokale energieproductie'!T37+'lokale energieproductie'!U37)*(-1)</f>
        <v>0</v>
      </c>
      <c r="M16" s="251"/>
      <c r="N16" s="310">
        <f>('lokale energieproductie'!Q30+'lokale energieproductie'!R30+'lokale energieproductie'!V30+'lokale energieproductie'!Q37+'lokale energieproductie'!R37+'lokale energieproductie'!V37)*(-1)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932.27656015009302</v>
      </c>
      <c r="C18" s="22">
        <f>C5+C16</f>
        <v>0</v>
      </c>
      <c r="D18" s="22">
        <f>MAX((D5+D16),0)</f>
        <v>67.796305614426373</v>
      </c>
      <c r="E18" s="22">
        <f>MAX((E5+E16),0)</f>
        <v>7.7484524944470223</v>
      </c>
      <c r="F18" s="22">
        <f>MAX((F5+F16),0)</f>
        <v>300.9920019050906</v>
      </c>
      <c r="G18" s="22"/>
      <c r="H18" s="22"/>
      <c r="I18" s="22"/>
      <c r="J18" s="22">
        <f>MAX((J5+J16),0)</f>
        <v>3.720473458475638</v>
      </c>
      <c r="K18" s="22"/>
      <c r="L18" s="22">
        <f>MAX((L5+L16),0)</f>
        <v>0</v>
      </c>
      <c r="M18" s="22"/>
      <c r="N18" s="22">
        <f>MAX((N5+N16),0)</f>
        <v>37.457486998842441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0.20887617679585807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194.73036360054525</v>
      </c>
      <c r="C22" s="24">
        <f ca="1">C18*C20</f>
        <v>0</v>
      </c>
      <c r="D22" s="24">
        <f>D18*D20</f>
        <v>13.694853734114128</v>
      </c>
      <c r="E22" s="24">
        <f>E18*E20</f>
        <v>1.758898716239474</v>
      </c>
      <c r="F22" s="24">
        <f>F18*F20</f>
        <v>80.364864508659196</v>
      </c>
      <c r="G22" s="24"/>
      <c r="H22" s="24"/>
      <c r="I22" s="24"/>
      <c r="J22" s="24">
        <f>J18*J20</f>
        <v>1.3170476043003758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0</v>
      </c>
      <c r="C30" s="40">
        <f>IF(ISERROR(B30*3.6/1000000/'E Balans VL '!Z18*100),0,B30*3.6/1000000/'E Balans VL '!Z18*100)</f>
        <v>0</v>
      </c>
      <c r="D30" s="240" t="s">
        <v>703</v>
      </c>
    </row>
    <row r="31" spans="1:18">
      <c r="A31" s="6" t="s">
        <v>32</v>
      </c>
      <c r="B31" s="38">
        <f>IF( ISERROR(IND_ander_ele_kWh/1000),0,IND_ander_ele_kWh/1000)</f>
        <v>196.12803310955798</v>
      </c>
      <c r="C31" s="40">
        <f>IF(ISERROR(B31*3.6/1000000/'E Balans VL '!Z19*100),0,B31*3.6/1000000/'E Balans VL '!Z19*100)</f>
        <v>9.1174771676772407E-3</v>
      </c>
      <c r="D31" s="240" t="s">
        <v>703</v>
      </c>
    </row>
    <row r="32" spans="1:18">
      <c r="A32" s="174" t="s">
        <v>40</v>
      </c>
      <c r="B32" s="38">
        <f>IF( ISERROR(IND_voed_ele_kWh/1000),0,IND_voed_ele_kWh/1000)</f>
        <v>0</v>
      </c>
      <c r="C32" s="40">
        <f>IF(ISERROR(B32*3.6/1000000/'E Balans VL '!Z20*100),0,B32*3.6/1000000/'E Balans VL '!Z20*100)</f>
        <v>0</v>
      </c>
      <c r="D32" s="240" t="s">
        <v>703</v>
      </c>
    </row>
    <row r="33" spans="1:5">
      <c r="A33" s="174" t="s">
        <v>39</v>
      </c>
      <c r="B33" s="38">
        <f>IF( ISERROR(IND_textiel_ele_kWh/1000),0,IND_textiel_ele_kWh/1000)</f>
        <v>0</v>
      </c>
      <c r="C33" s="40">
        <f>IF(ISERROR(B33*3.6/1000000/'E Balans VL '!Z21*100),0,B33*3.6/1000000/'E Balans VL '!Z21*100)</f>
        <v>0</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736.14852704053499</v>
      </c>
      <c r="C37" s="40">
        <f>IF(ISERROR(B37*3.6/1000000/'E Balans VL '!Z15*100),0,B37*3.6/1000000/'E Balans VL '!Z15*100)</f>
        <v>5.5590088349700738E-3</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1754.80151274727</v>
      </c>
      <c r="C5" s="18">
        <f>'Eigen informatie GS &amp; warmtenet'!B60</f>
        <v>0</v>
      </c>
      <c r="D5" s="31">
        <f>IF(ISERROR(SUM(LB_lb_gas_kWh,LB_rest_gas_kWh)/1000),0,SUM(LB_lb_gas_kWh,LB_rest_gas_kWh)/1000)*0.902</f>
        <v>0</v>
      </c>
      <c r="E5" s="18">
        <f>B17*'E Balans VL '!I25/3.6*1000000/100</f>
        <v>16.531406005661246</v>
      </c>
      <c r="F5" s="18">
        <f>B17*('E Balans VL '!L25/3.6*1000000+'E Balans VL '!N25/3.6*1000000)/100</f>
        <v>5726.4997035710121</v>
      </c>
      <c r="G5" s="19"/>
      <c r="H5" s="18"/>
      <c r="I5" s="18"/>
      <c r="J5" s="18">
        <f>('E Balans VL '!D25+'E Balans VL '!E25)/3.6*1000000*landbouw!B17/100</f>
        <v>217.07748247975576</v>
      </c>
      <c r="K5" s="18"/>
      <c r="L5" s="18">
        <f>L6*(-1)</f>
        <v>0</v>
      </c>
      <c r="M5" s="18"/>
      <c r="N5" s="18">
        <f>N6*(-1)</f>
        <v>0</v>
      </c>
      <c r="O5" s="18"/>
      <c r="P5" s="18"/>
      <c r="R5" s="33"/>
    </row>
    <row r="6" spans="1:18">
      <c r="A6" s="17" t="s">
        <v>501</v>
      </c>
      <c r="B6" s="18" t="s">
        <v>210</v>
      </c>
      <c r="C6" s="18">
        <f>'lokale energieproductie'!O39+'lokale energieproductie'!O32</f>
        <v>0</v>
      </c>
      <c r="D6" s="310">
        <f>('lokale energieproductie'!P32+'lokale energieproductie'!P39)*(-1)</f>
        <v>0</v>
      </c>
      <c r="E6" s="251"/>
      <c r="F6" s="310">
        <f>('lokale energieproductie'!S32+'lokale energieproductie'!S39)*(-1)</f>
        <v>0</v>
      </c>
      <c r="G6" s="252"/>
      <c r="H6" s="251"/>
      <c r="I6" s="251"/>
      <c r="J6" s="251"/>
      <c r="K6" s="251"/>
      <c r="L6" s="310">
        <f>('lokale energieproductie'!T32+'lokale energieproductie'!U32+'lokale energieproductie'!T39+'lokale energieproductie'!U39)*(-1)</f>
        <v>0</v>
      </c>
      <c r="M6" s="251"/>
      <c r="N6" s="310">
        <f>('lokale energieproductie'!V32+'lokale energieproductie'!R32+'lokale energieproductie'!Q32+'lokale energieproductie'!Q39+'lokale energieproductie'!R39+'lokale energieproductie'!V39)*(-1)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1754.80151274727</v>
      </c>
      <c r="C8" s="22">
        <f>C5+C6</f>
        <v>0</v>
      </c>
      <c r="D8" s="22">
        <f>MAX((D5+D6),0)</f>
        <v>0</v>
      </c>
      <c r="E8" s="22">
        <f>MAX((E5+E6),0)</f>
        <v>16.531406005661246</v>
      </c>
      <c r="F8" s="22">
        <f>MAX((F5+F6),0)</f>
        <v>5726.4997035710121</v>
      </c>
      <c r="G8" s="22"/>
      <c r="H8" s="22"/>
      <c r="I8" s="22"/>
      <c r="J8" s="22">
        <f>MAX((J5+J6),0)</f>
        <v>217.07748247975576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0.20887617679585807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366.53623101823797</v>
      </c>
      <c r="C12" s="24">
        <f ca="1">C8*C10</f>
        <v>0</v>
      </c>
      <c r="D12" s="24">
        <f>D8*D10</f>
        <v>0</v>
      </c>
      <c r="E12" s="24">
        <f>E8*E10</f>
        <v>3.752629163285103</v>
      </c>
      <c r="F12" s="24">
        <f>F8*F10</f>
        <v>1528.9754208534603</v>
      </c>
      <c r="G12" s="24"/>
      <c r="H12" s="24"/>
      <c r="I12" s="24"/>
      <c r="J12" s="24">
        <f>J8*J10</f>
        <v>76.845428797833534</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0.23757208399418708</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447.73412720060924</v>
      </c>
      <c r="C26" s="250">
        <f>B26*'GWP N2O_CH4'!B5</f>
        <v>9402.4166712127935</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99.604686413625302</v>
      </c>
      <c r="C27" s="250">
        <f>B27*'GWP N2O_CH4'!B5</f>
        <v>2091.6984146861314</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6.3412212548364888</v>
      </c>
      <c r="C28" s="250">
        <f>B28*'GWP N2O_CH4'!B4</f>
        <v>1965.7785889993115</v>
      </c>
      <c r="D28" s="51"/>
    </row>
    <row r="29" spans="1:4">
      <c r="A29" s="42" t="s">
        <v>276</v>
      </c>
      <c r="B29" s="250">
        <f>B34*'ha_N2O bodem landbouw'!B4</f>
        <v>18.355134234579474</v>
      </c>
      <c r="C29" s="250">
        <f>B29*'GWP N2O_CH4'!B4</f>
        <v>5690.0916127196369</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4.9553084188128996E-3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4.0072659994894103E-6</v>
      </c>
      <c r="C5" s="443" t="s">
        <v>210</v>
      </c>
      <c r="D5" s="428">
        <f>SUM(D6:D11)</f>
        <v>9.5682605793206983E-6</v>
      </c>
      <c r="E5" s="428">
        <f>SUM(E6:E11)</f>
        <v>6.0424479187765957E-4</v>
      </c>
      <c r="F5" s="441" t="s">
        <v>210</v>
      </c>
      <c r="G5" s="428">
        <f>SUM(G6:G11)</f>
        <v>0.14788567891313262</v>
      </c>
      <c r="H5" s="428">
        <f>SUM(H6:H11)</f>
        <v>2.4298862267755853E-2</v>
      </c>
      <c r="I5" s="443" t="s">
        <v>210</v>
      </c>
      <c r="J5" s="443" t="s">
        <v>210</v>
      </c>
      <c r="K5" s="443" t="s">
        <v>210</v>
      </c>
      <c r="L5" s="443" t="s">
        <v>210</v>
      </c>
      <c r="M5" s="428">
        <f>SUM(M6:M11)</f>
        <v>7.6932898879077376E-3</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2.9720216479937199E-6</v>
      </c>
      <c r="C6" s="429"/>
      <c r="D6" s="429">
        <f>vkm_GW_PW*SUMIFS(TableVerdeelsleutelVkm[CNG],TableVerdeelsleutelVkm[Voertuigtype],"Lichte voertuigen")*SUMIFS(TableECFTransport[EnergieConsumptieFactor (PJ per km)],TableECFTransport[Index],CONCATENATE($A6,"_CNG_CNG"))</f>
        <v>6.0131807306094957E-6</v>
      </c>
      <c r="E6" s="431">
        <f>vkm_GW_PW*SUMIFS(TableVerdeelsleutelVkm[LPG],TableVerdeelsleutelVkm[Voertuigtype],"Lichte voertuigen")*SUMIFS(TableECFTransport[EnergieConsumptieFactor (PJ per km)],TableECFTransport[Index],CONCATENATE($A6,"_LPG_LPG"))</f>
        <v>3.882070570570093E-4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6.1989221143144618E-2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1.5533392295976139E-2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3.4697694132499279E-3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4.3952333091518692E-2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1.2021702531755403E-6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1.9557364851014985E-3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1.0352443514956899E-6</v>
      </c>
      <c r="C8" s="429"/>
      <c r="D8" s="431">
        <f>vkm_NGW_PW*SUMIFS(TableVerdeelsleutelVkm[CNG],TableVerdeelsleutelVkm[Voertuigtype],"Lichte voertuigen")*SUMIFS(TableECFTransport[EnergieConsumptieFactor (PJ per km)],TableECFTransport[Index],CONCATENATE($A8,"_CNG_CNG"))</f>
        <v>3.5550798487112026E-6</v>
      </c>
      <c r="E8" s="431">
        <f>vkm_NGW_PW*SUMIFS(TableVerdeelsleutelVkm[LPG],TableVerdeelsleutelVkm[Voertuigtype],"Lichte voertuigen")*SUMIFS(TableECFTransport[EnergieConsumptieFactor (PJ per km)],TableECFTransport[Index],CONCATENATE($A8,"_LPG_LPG"))</f>
        <v>2.160377348206503E-4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3.2840494010188098E-2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8.7639786398935986E-3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1.8627000668042571E-3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9.1036306682811974E-3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2.8916163294103907E-7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4.0508392275205449E-4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1.1131294443026138</v>
      </c>
      <c r="C14" s="22"/>
      <c r="D14" s="22">
        <f t="shared" ref="D14:M14" si="0">((D5)*10^9/3600)+D12</f>
        <v>2.6578501609224161</v>
      </c>
      <c r="E14" s="22">
        <f t="shared" si="0"/>
        <v>167.84577552157211</v>
      </c>
      <c r="F14" s="22"/>
      <c r="G14" s="22">
        <f t="shared" si="0"/>
        <v>41079.355253647947</v>
      </c>
      <c r="H14" s="22">
        <f t="shared" si="0"/>
        <v>6749.6839632655156</v>
      </c>
      <c r="I14" s="22"/>
      <c r="J14" s="22"/>
      <c r="K14" s="22"/>
      <c r="L14" s="22"/>
      <c r="M14" s="22">
        <f t="shared" si="0"/>
        <v>2137.0249688632607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0.20887617679585807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0.23250622260482801</v>
      </c>
      <c r="C18" s="24"/>
      <c r="D18" s="24">
        <f t="shared" ref="D18:M18" si="1">D14*D16</f>
        <v>0.53688573250632809</v>
      </c>
      <c r="E18" s="24">
        <f t="shared" si="1"/>
        <v>38.100991043396867</v>
      </c>
      <c r="F18" s="24"/>
      <c r="G18" s="24">
        <f t="shared" si="1"/>
        <v>10968.187852724002</v>
      </c>
      <c r="H18" s="24">
        <f t="shared" si="1"/>
        <v>1680.6713068531133</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2.8607941949286377E-3</v>
      </c>
      <c r="H50" s="321">
        <f t="shared" si="2"/>
        <v>0</v>
      </c>
      <c r="I50" s="321">
        <f t="shared" si="2"/>
        <v>0</v>
      </c>
      <c r="J50" s="321">
        <f t="shared" si="2"/>
        <v>0</v>
      </c>
      <c r="K50" s="321">
        <f t="shared" si="2"/>
        <v>0</v>
      </c>
      <c r="L50" s="321">
        <f t="shared" si="2"/>
        <v>0</v>
      </c>
      <c r="M50" s="321">
        <f t="shared" si="2"/>
        <v>1.255206866579395E-4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2.8607941949286377E-3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1.255206866579395E-4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794.66505414684377</v>
      </c>
      <c r="H54" s="22">
        <f t="shared" si="3"/>
        <v>0</v>
      </c>
      <c r="I54" s="22">
        <f t="shared" si="3"/>
        <v>0</v>
      </c>
      <c r="J54" s="22">
        <f t="shared" si="3"/>
        <v>0</v>
      </c>
      <c r="K54" s="22">
        <f t="shared" si="3"/>
        <v>0</v>
      </c>
      <c r="L54" s="22">
        <f t="shared" si="3"/>
        <v>0</v>
      </c>
      <c r="M54" s="22">
        <f t="shared" si="3"/>
        <v>34.866857404983193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0.20887617679585807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212.1755694572073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5379.3958273161143</v>
      </c>
      <c r="D10" s="684">
        <f ca="1">tertiair!C16</f>
        <v>0</v>
      </c>
      <c r="E10" s="684">
        <f ca="1">tertiair!D16</f>
        <v>2065.3305697443907</v>
      </c>
      <c r="F10" s="684">
        <f>tertiair!E16</f>
        <v>48.94510906962725</v>
      </c>
      <c r="G10" s="684">
        <f ca="1">tertiair!F16</f>
        <v>959.94170773643327</v>
      </c>
      <c r="H10" s="684">
        <f>tertiair!G16</f>
        <v>0</v>
      </c>
      <c r="I10" s="684">
        <f>tertiair!H16</f>
        <v>0</v>
      </c>
      <c r="J10" s="684">
        <f>tertiair!I16</f>
        <v>0</v>
      </c>
      <c r="K10" s="684">
        <f>tertiair!J16</f>
        <v>0</v>
      </c>
      <c r="L10" s="684">
        <f>tertiair!K16</f>
        <v>0</v>
      </c>
      <c r="M10" s="684">
        <f ca="1">tertiair!L16</f>
        <v>0</v>
      </c>
      <c r="N10" s="684">
        <f>tertiair!M16</f>
        <v>0</v>
      </c>
      <c r="O10" s="684">
        <f ca="1">tertiair!N16</f>
        <v>229.49279386215636</v>
      </c>
      <c r="P10" s="684">
        <f>tertiair!O16</f>
        <v>1.5633333333333335</v>
      </c>
      <c r="Q10" s="685">
        <f>tertiair!P16</f>
        <v>19.066666666666666</v>
      </c>
      <c r="R10" s="687">
        <f ca="1">SUM(C10:Q10)</f>
        <v>8703.7360077287249</v>
      </c>
      <c r="S10" s="68"/>
    </row>
    <row r="11" spans="1:19" s="453" customFormat="1">
      <c r="A11" s="799" t="s">
        <v>224</v>
      </c>
      <c r="B11" s="804"/>
      <c r="C11" s="684">
        <f>huishoudens!B8</f>
        <v>12859.119712159014</v>
      </c>
      <c r="D11" s="684">
        <f>huishoudens!C8</f>
        <v>0</v>
      </c>
      <c r="E11" s="684">
        <f>huishoudens!D8</f>
        <v>5508.5803598908233</v>
      </c>
      <c r="F11" s="684">
        <f>huishoudens!E8</f>
        <v>2904.7225436074796</v>
      </c>
      <c r="G11" s="684">
        <f>huishoudens!F8</f>
        <v>28521.202520399107</v>
      </c>
      <c r="H11" s="684">
        <f>huishoudens!G8</f>
        <v>0</v>
      </c>
      <c r="I11" s="684">
        <f>huishoudens!H8</f>
        <v>0</v>
      </c>
      <c r="J11" s="684">
        <f>huishoudens!I8</f>
        <v>0</v>
      </c>
      <c r="K11" s="684">
        <f>huishoudens!J8</f>
        <v>3801.0594753665728</v>
      </c>
      <c r="L11" s="684">
        <f>huishoudens!K8</f>
        <v>0</v>
      </c>
      <c r="M11" s="684">
        <f>huishoudens!L8</f>
        <v>0</v>
      </c>
      <c r="N11" s="684">
        <f>huishoudens!M8</f>
        <v>0</v>
      </c>
      <c r="O11" s="684">
        <f>huishoudens!N8</f>
        <v>10522.63433805446</v>
      </c>
      <c r="P11" s="684">
        <f>huishoudens!O8</f>
        <v>60.970000000000006</v>
      </c>
      <c r="Q11" s="685">
        <f>huishoudens!P8</f>
        <v>133.46666666666667</v>
      </c>
      <c r="R11" s="687">
        <f>SUM(C11:Q11)</f>
        <v>64311.755616144124</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932.27656015009302</v>
      </c>
      <c r="D13" s="684">
        <f>industrie!C18</f>
        <v>0</v>
      </c>
      <c r="E13" s="684">
        <f>industrie!D18</f>
        <v>67.796305614426373</v>
      </c>
      <c r="F13" s="684">
        <f>industrie!E18</f>
        <v>7.7484524944470223</v>
      </c>
      <c r="G13" s="684">
        <f>industrie!F18</f>
        <v>300.9920019050906</v>
      </c>
      <c r="H13" s="684">
        <f>industrie!G18</f>
        <v>0</v>
      </c>
      <c r="I13" s="684">
        <f>industrie!H18</f>
        <v>0</v>
      </c>
      <c r="J13" s="684">
        <f>industrie!I18</f>
        <v>0</v>
      </c>
      <c r="K13" s="684">
        <f>industrie!J18</f>
        <v>3.720473458475638</v>
      </c>
      <c r="L13" s="684">
        <f>industrie!K18</f>
        <v>0</v>
      </c>
      <c r="M13" s="684">
        <f>industrie!L18</f>
        <v>0</v>
      </c>
      <c r="N13" s="684">
        <f>industrie!M18</f>
        <v>0</v>
      </c>
      <c r="O13" s="684">
        <f>industrie!N18</f>
        <v>37.457486998842441</v>
      </c>
      <c r="P13" s="684">
        <f>industrie!O18</f>
        <v>0</v>
      </c>
      <c r="Q13" s="685">
        <f>industrie!P18</f>
        <v>0</v>
      </c>
      <c r="R13" s="687">
        <f>SUM(C13:Q13)</f>
        <v>1349.9912806213752</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19170.792099625221</v>
      </c>
      <c r="D16" s="717">
        <f t="shared" ref="D16:R16" ca="1" si="0">SUM(D9:D15)</f>
        <v>0</v>
      </c>
      <c r="E16" s="717">
        <f t="shared" ca="1" si="0"/>
        <v>7641.7072352496407</v>
      </c>
      <c r="F16" s="717">
        <f t="shared" si="0"/>
        <v>2961.4161051715537</v>
      </c>
      <c r="G16" s="717">
        <f t="shared" ca="1" si="0"/>
        <v>29782.136230040633</v>
      </c>
      <c r="H16" s="717">
        <f t="shared" si="0"/>
        <v>0</v>
      </c>
      <c r="I16" s="717">
        <f t="shared" si="0"/>
        <v>0</v>
      </c>
      <c r="J16" s="717">
        <f t="shared" si="0"/>
        <v>0</v>
      </c>
      <c r="K16" s="717">
        <f t="shared" si="0"/>
        <v>3804.7799488250485</v>
      </c>
      <c r="L16" s="717">
        <f t="shared" si="0"/>
        <v>0</v>
      </c>
      <c r="M16" s="717">
        <f t="shared" ca="1" si="0"/>
        <v>0</v>
      </c>
      <c r="N16" s="717">
        <f t="shared" si="0"/>
        <v>0</v>
      </c>
      <c r="O16" s="717">
        <f t="shared" ca="1" si="0"/>
        <v>10789.58461891546</v>
      </c>
      <c r="P16" s="717">
        <f t="shared" si="0"/>
        <v>62.533333333333339</v>
      </c>
      <c r="Q16" s="717">
        <f t="shared" si="0"/>
        <v>152.53333333333333</v>
      </c>
      <c r="R16" s="717">
        <f t="shared" ca="1" si="0"/>
        <v>74365.482904494216</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794.66505414684377</v>
      </c>
      <c r="I19" s="684">
        <f>transport!H54</f>
        <v>0</v>
      </c>
      <c r="J19" s="684">
        <f>transport!I54</f>
        <v>0</v>
      </c>
      <c r="K19" s="684">
        <f>transport!J54</f>
        <v>0</v>
      </c>
      <c r="L19" s="684">
        <f>transport!K54</f>
        <v>0</v>
      </c>
      <c r="M19" s="684">
        <f>transport!L54</f>
        <v>0</v>
      </c>
      <c r="N19" s="684">
        <f>transport!M54</f>
        <v>34.866857404983193</v>
      </c>
      <c r="O19" s="684">
        <f>transport!N54</f>
        <v>0</v>
      </c>
      <c r="P19" s="684">
        <f>transport!O54</f>
        <v>0</v>
      </c>
      <c r="Q19" s="685">
        <f>transport!P54</f>
        <v>0</v>
      </c>
      <c r="R19" s="687">
        <f>SUM(C19:Q19)</f>
        <v>829.53191155182697</v>
      </c>
      <c r="S19" s="68"/>
    </row>
    <row r="20" spans="1:19" s="453" customFormat="1">
      <c r="A20" s="799" t="s">
        <v>306</v>
      </c>
      <c r="B20" s="804"/>
      <c r="C20" s="684">
        <f>transport!B14</f>
        <v>1.1131294443026138</v>
      </c>
      <c r="D20" s="684">
        <f>transport!C14</f>
        <v>0</v>
      </c>
      <c r="E20" s="684">
        <f>transport!D14</f>
        <v>2.6578501609224161</v>
      </c>
      <c r="F20" s="684">
        <f>transport!E14</f>
        <v>167.84577552157211</v>
      </c>
      <c r="G20" s="684">
        <f>transport!F14</f>
        <v>0</v>
      </c>
      <c r="H20" s="684">
        <f>transport!G14</f>
        <v>41079.355253647947</v>
      </c>
      <c r="I20" s="684">
        <f>transport!H14</f>
        <v>6749.6839632655156</v>
      </c>
      <c r="J20" s="684">
        <f>transport!I14</f>
        <v>0</v>
      </c>
      <c r="K20" s="684">
        <f>transport!J14</f>
        <v>0</v>
      </c>
      <c r="L20" s="684">
        <f>transport!K14</f>
        <v>0</v>
      </c>
      <c r="M20" s="684">
        <f>transport!L14</f>
        <v>0</v>
      </c>
      <c r="N20" s="684">
        <f>transport!M14</f>
        <v>2137.0249688632607</v>
      </c>
      <c r="O20" s="684">
        <f>transport!N14</f>
        <v>0</v>
      </c>
      <c r="P20" s="684">
        <f>transport!O14</f>
        <v>0</v>
      </c>
      <c r="Q20" s="685">
        <f>transport!P14</f>
        <v>0</v>
      </c>
      <c r="R20" s="687">
        <f>SUM(C20:Q20)</f>
        <v>50137.68094090352</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1.1131294443026138</v>
      </c>
      <c r="D22" s="802">
        <f t="shared" ref="D22:R22" si="1">SUM(D18:D21)</f>
        <v>0</v>
      </c>
      <c r="E22" s="802">
        <f t="shared" si="1"/>
        <v>2.6578501609224161</v>
      </c>
      <c r="F22" s="802">
        <f t="shared" si="1"/>
        <v>167.84577552157211</v>
      </c>
      <c r="G22" s="802">
        <f t="shared" si="1"/>
        <v>0</v>
      </c>
      <c r="H22" s="802">
        <f t="shared" si="1"/>
        <v>41874.020307794788</v>
      </c>
      <c r="I22" s="802">
        <f t="shared" si="1"/>
        <v>6749.6839632655156</v>
      </c>
      <c r="J22" s="802">
        <f t="shared" si="1"/>
        <v>0</v>
      </c>
      <c r="K22" s="802">
        <f t="shared" si="1"/>
        <v>0</v>
      </c>
      <c r="L22" s="802">
        <f t="shared" si="1"/>
        <v>0</v>
      </c>
      <c r="M22" s="802">
        <f t="shared" si="1"/>
        <v>0</v>
      </c>
      <c r="N22" s="802">
        <f t="shared" si="1"/>
        <v>2171.8918262682437</v>
      </c>
      <c r="O22" s="802">
        <f t="shared" si="1"/>
        <v>0</v>
      </c>
      <c r="P22" s="802">
        <f t="shared" si="1"/>
        <v>0</v>
      </c>
      <c r="Q22" s="802">
        <f t="shared" si="1"/>
        <v>0</v>
      </c>
      <c r="R22" s="802">
        <f t="shared" si="1"/>
        <v>50967.212852455348</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1754.80151274727</v>
      </c>
      <c r="D24" s="684">
        <f>+landbouw!C8</f>
        <v>0</v>
      </c>
      <c r="E24" s="684">
        <f>+landbouw!D8</f>
        <v>0</v>
      </c>
      <c r="F24" s="684">
        <f>+landbouw!E8</f>
        <v>16.531406005661246</v>
      </c>
      <c r="G24" s="684">
        <f>+landbouw!F8</f>
        <v>5726.4997035710121</v>
      </c>
      <c r="H24" s="684">
        <f>+landbouw!G8</f>
        <v>0</v>
      </c>
      <c r="I24" s="684">
        <f>+landbouw!H8</f>
        <v>0</v>
      </c>
      <c r="J24" s="684">
        <f>+landbouw!I8</f>
        <v>0</v>
      </c>
      <c r="K24" s="684">
        <f>+landbouw!J8</f>
        <v>217.07748247975576</v>
      </c>
      <c r="L24" s="684">
        <f>+landbouw!K8</f>
        <v>0</v>
      </c>
      <c r="M24" s="684">
        <f>+landbouw!L8</f>
        <v>0</v>
      </c>
      <c r="N24" s="684">
        <f>+landbouw!M8</f>
        <v>0</v>
      </c>
      <c r="O24" s="684">
        <f>+landbouw!N8</f>
        <v>0</v>
      </c>
      <c r="P24" s="684">
        <f>+landbouw!O8</f>
        <v>0</v>
      </c>
      <c r="Q24" s="685">
        <f>+landbouw!P8</f>
        <v>0</v>
      </c>
      <c r="R24" s="687">
        <f>SUM(C24:Q24)</f>
        <v>7714.9101048036991</v>
      </c>
      <c r="S24" s="68"/>
    </row>
    <row r="25" spans="1:19" s="453" customFormat="1" ht="15" thickBot="1">
      <c r="A25" s="821" t="s">
        <v>896</v>
      </c>
      <c r="B25" s="990"/>
      <c r="C25" s="991">
        <f>IF(Onbekend_ele_kWh="---",0,Onbekend_ele_kWh)/1000+IF(REST_rest_ele_kWh="---",0,REST_rest_ele_kWh)/1000</f>
        <v>344.40986305140802</v>
      </c>
      <c r="D25" s="991"/>
      <c r="E25" s="991">
        <f>IF(onbekend_gas_kWh="---",0,onbekend_gas_kWh)/1000+IF(REST_rest_gas_kWh="---",0,REST_rest_gas_kWh)/1000</f>
        <v>353.98665872560201</v>
      </c>
      <c r="F25" s="991"/>
      <c r="G25" s="991"/>
      <c r="H25" s="991"/>
      <c r="I25" s="991"/>
      <c r="J25" s="991"/>
      <c r="K25" s="991"/>
      <c r="L25" s="991"/>
      <c r="M25" s="991"/>
      <c r="N25" s="991"/>
      <c r="O25" s="991"/>
      <c r="P25" s="991"/>
      <c r="Q25" s="992"/>
      <c r="R25" s="687">
        <f>SUM(C25:Q25)</f>
        <v>698.39652177701009</v>
      </c>
      <c r="S25" s="68"/>
    </row>
    <row r="26" spans="1:19" s="453" customFormat="1" ht="15.75" thickBot="1">
      <c r="A26" s="690" t="s">
        <v>897</v>
      </c>
      <c r="B26" s="807"/>
      <c r="C26" s="802">
        <f>SUM(C24:C25)</f>
        <v>2099.2113757986781</v>
      </c>
      <c r="D26" s="802">
        <f t="shared" ref="D26:R26" si="2">SUM(D24:D25)</f>
        <v>0</v>
      </c>
      <c r="E26" s="802">
        <f t="shared" si="2"/>
        <v>353.98665872560201</v>
      </c>
      <c r="F26" s="802">
        <f t="shared" si="2"/>
        <v>16.531406005661246</v>
      </c>
      <c r="G26" s="802">
        <f t="shared" si="2"/>
        <v>5726.4997035710121</v>
      </c>
      <c r="H26" s="802">
        <f t="shared" si="2"/>
        <v>0</v>
      </c>
      <c r="I26" s="802">
        <f t="shared" si="2"/>
        <v>0</v>
      </c>
      <c r="J26" s="802">
        <f t="shared" si="2"/>
        <v>0</v>
      </c>
      <c r="K26" s="802">
        <f t="shared" si="2"/>
        <v>217.07748247975576</v>
      </c>
      <c r="L26" s="802">
        <f t="shared" si="2"/>
        <v>0</v>
      </c>
      <c r="M26" s="802">
        <f t="shared" si="2"/>
        <v>0</v>
      </c>
      <c r="N26" s="802">
        <f t="shared" si="2"/>
        <v>0</v>
      </c>
      <c r="O26" s="802">
        <f t="shared" si="2"/>
        <v>0</v>
      </c>
      <c r="P26" s="802">
        <f t="shared" si="2"/>
        <v>0</v>
      </c>
      <c r="Q26" s="802">
        <f t="shared" si="2"/>
        <v>0</v>
      </c>
      <c r="R26" s="802">
        <f t="shared" si="2"/>
        <v>8413.3066265807101</v>
      </c>
      <c r="S26" s="68"/>
    </row>
    <row r="27" spans="1:19" s="453" customFormat="1" ht="17.25" thickTop="1" thickBot="1">
      <c r="A27" s="691" t="s">
        <v>115</v>
      </c>
      <c r="B27" s="794"/>
      <c r="C27" s="692">
        <f ca="1">C22+C16+C26</f>
        <v>21271.116604868203</v>
      </c>
      <c r="D27" s="692">
        <f t="shared" ref="D27:R27" ca="1" si="3">D22+D16+D26</f>
        <v>0</v>
      </c>
      <c r="E27" s="692">
        <f t="shared" ca="1" si="3"/>
        <v>7998.3517441361655</v>
      </c>
      <c r="F27" s="692">
        <f t="shared" si="3"/>
        <v>3145.7932866987871</v>
      </c>
      <c r="G27" s="692">
        <f t="shared" ca="1" si="3"/>
        <v>35508.635933611644</v>
      </c>
      <c r="H27" s="692">
        <f t="shared" si="3"/>
        <v>41874.020307794788</v>
      </c>
      <c r="I27" s="692">
        <f t="shared" si="3"/>
        <v>6749.6839632655156</v>
      </c>
      <c r="J27" s="692">
        <f t="shared" si="3"/>
        <v>0</v>
      </c>
      <c r="K27" s="692">
        <f t="shared" si="3"/>
        <v>4021.8574313048043</v>
      </c>
      <c r="L27" s="692">
        <f t="shared" si="3"/>
        <v>0</v>
      </c>
      <c r="M27" s="692">
        <f t="shared" ca="1" si="3"/>
        <v>0</v>
      </c>
      <c r="N27" s="692">
        <f t="shared" si="3"/>
        <v>2171.8918262682437</v>
      </c>
      <c r="O27" s="692">
        <f t="shared" ca="1" si="3"/>
        <v>10789.58461891546</v>
      </c>
      <c r="P27" s="692">
        <f t="shared" si="3"/>
        <v>62.533333333333339</v>
      </c>
      <c r="Q27" s="692">
        <f t="shared" si="3"/>
        <v>152.53333333333333</v>
      </c>
      <c r="R27" s="692">
        <f t="shared" ca="1" si="3"/>
        <v>133746.00238353029</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1123.6276338813821</v>
      </c>
      <c r="D40" s="684">
        <f ca="1">tertiair!C20</f>
        <v>0</v>
      </c>
      <c r="E40" s="684">
        <f ca="1">tertiair!D20</f>
        <v>417.19677508836696</v>
      </c>
      <c r="F40" s="684">
        <f>tertiair!E20</f>
        <v>11.110539758805386</v>
      </c>
      <c r="G40" s="684">
        <f ca="1">tertiair!F20</f>
        <v>256.3044359656277</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1808.2393846941823</v>
      </c>
    </row>
    <row r="41" spans="1:18">
      <c r="A41" s="812" t="s">
        <v>224</v>
      </c>
      <c r="B41" s="819"/>
      <c r="C41" s="684">
        <f ca="1">huishoudens!B12</f>
        <v>2685.9637624360298</v>
      </c>
      <c r="D41" s="684">
        <f ca="1">huishoudens!C12</f>
        <v>0</v>
      </c>
      <c r="E41" s="684">
        <f>huishoudens!D12</f>
        <v>1112.7332326979463</v>
      </c>
      <c r="F41" s="684">
        <f>huishoudens!E12</f>
        <v>659.37201739889792</v>
      </c>
      <c r="G41" s="684">
        <f>huishoudens!F12</f>
        <v>7615.1610729465619</v>
      </c>
      <c r="H41" s="684">
        <f>huishoudens!G12</f>
        <v>0</v>
      </c>
      <c r="I41" s="684">
        <f>huishoudens!H12</f>
        <v>0</v>
      </c>
      <c r="J41" s="684">
        <f>huishoudens!I12</f>
        <v>0</v>
      </c>
      <c r="K41" s="684">
        <f>huishoudens!J12</f>
        <v>1345.5750542797666</v>
      </c>
      <c r="L41" s="684">
        <f>huishoudens!K12</f>
        <v>0</v>
      </c>
      <c r="M41" s="684">
        <f>huishoudens!L12</f>
        <v>0</v>
      </c>
      <c r="N41" s="684">
        <f>huishoudens!M12</f>
        <v>0</v>
      </c>
      <c r="O41" s="684">
        <f>huishoudens!N12</f>
        <v>0</v>
      </c>
      <c r="P41" s="684">
        <f>huishoudens!O12</f>
        <v>0</v>
      </c>
      <c r="Q41" s="759">
        <f>huishoudens!P12</f>
        <v>0</v>
      </c>
      <c r="R41" s="840">
        <f t="shared" ca="1" si="4"/>
        <v>13418.805139759203</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194.73036360054525</v>
      </c>
      <c r="D43" s="684">
        <f ca="1">industrie!C22</f>
        <v>0</v>
      </c>
      <c r="E43" s="684">
        <f>industrie!D22</f>
        <v>13.694853734114128</v>
      </c>
      <c r="F43" s="684">
        <f>industrie!E22</f>
        <v>1.758898716239474</v>
      </c>
      <c r="G43" s="684">
        <f>industrie!F22</f>
        <v>80.364864508659196</v>
      </c>
      <c r="H43" s="684">
        <f>industrie!G22</f>
        <v>0</v>
      </c>
      <c r="I43" s="684">
        <f>industrie!H22</f>
        <v>0</v>
      </c>
      <c r="J43" s="684">
        <f>industrie!I22</f>
        <v>0</v>
      </c>
      <c r="K43" s="684">
        <f>industrie!J22</f>
        <v>1.3170476043003758</v>
      </c>
      <c r="L43" s="684">
        <f>industrie!K22</f>
        <v>0</v>
      </c>
      <c r="M43" s="684">
        <f>industrie!L22</f>
        <v>0</v>
      </c>
      <c r="N43" s="684">
        <f>industrie!M22</f>
        <v>0</v>
      </c>
      <c r="O43" s="684">
        <f>industrie!N22</f>
        <v>0</v>
      </c>
      <c r="P43" s="684">
        <f>industrie!O22</f>
        <v>0</v>
      </c>
      <c r="Q43" s="759">
        <f>industrie!P22</f>
        <v>0</v>
      </c>
      <c r="R43" s="839">
        <f t="shared" ca="1" si="4"/>
        <v>291.86602816385846</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4004.321759917957</v>
      </c>
      <c r="D46" s="717">
        <f t="shared" ref="D46:Q46" ca="1" si="5">SUM(D39:D45)</f>
        <v>0</v>
      </c>
      <c r="E46" s="717">
        <f t="shared" ca="1" si="5"/>
        <v>1543.6248615204272</v>
      </c>
      <c r="F46" s="717">
        <f t="shared" si="5"/>
        <v>672.24145587394287</v>
      </c>
      <c r="G46" s="717">
        <f t="shared" ca="1" si="5"/>
        <v>7951.8303734208494</v>
      </c>
      <c r="H46" s="717">
        <f t="shared" si="5"/>
        <v>0</v>
      </c>
      <c r="I46" s="717">
        <f t="shared" si="5"/>
        <v>0</v>
      </c>
      <c r="J46" s="717">
        <f t="shared" si="5"/>
        <v>0</v>
      </c>
      <c r="K46" s="717">
        <f t="shared" si="5"/>
        <v>1346.892101884067</v>
      </c>
      <c r="L46" s="717">
        <f t="shared" si="5"/>
        <v>0</v>
      </c>
      <c r="M46" s="717">
        <f t="shared" ca="1" si="5"/>
        <v>0</v>
      </c>
      <c r="N46" s="717">
        <f t="shared" si="5"/>
        <v>0</v>
      </c>
      <c r="O46" s="717">
        <f t="shared" ca="1" si="5"/>
        <v>0</v>
      </c>
      <c r="P46" s="717">
        <f t="shared" si="5"/>
        <v>0</v>
      </c>
      <c r="Q46" s="717">
        <f t="shared" si="5"/>
        <v>0</v>
      </c>
      <c r="R46" s="717">
        <f ca="1">SUM(R39:R45)</f>
        <v>15518.910552617243</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212.1755694572073</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212.1755694572073</v>
      </c>
    </row>
    <row r="50" spans="1:18">
      <c r="A50" s="815" t="s">
        <v>306</v>
      </c>
      <c r="B50" s="825"/>
      <c r="C50" s="997">
        <f ca="1">transport!B18</f>
        <v>0.23250622260482801</v>
      </c>
      <c r="D50" s="997">
        <f>transport!C18</f>
        <v>0</v>
      </c>
      <c r="E50" s="997">
        <f>transport!D18</f>
        <v>0.53688573250632809</v>
      </c>
      <c r="F50" s="997">
        <f>transport!E18</f>
        <v>38.100991043396867</v>
      </c>
      <c r="G50" s="997">
        <f>transport!F18</f>
        <v>0</v>
      </c>
      <c r="H50" s="997">
        <f>transport!G18</f>
        <v>10968.187852724002</v>
      </c>
      <c r="I50" s="997">
        <f>transport!H18</f>
        <v>1680.6713068531133</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12687.729542575624</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0.23250622260482801</v>
      </c>
      <c r="D52" s="717">
        <f t="shared" ref="D52:Q52" ca="1" si="6">SUM(D48:D51)</f>
        <v>0</v>
      </c>
      <c r="E52" s="717">
        <f t="shared" si="6"/>
        <v>0.53688573250632809</v>
      </c>
      <c r="F52" s="717">
        <f t="shared" si="6"/>
        <v>38.100991043396867</v>
      </c>
      <c r="G52" s="717">
        <f t="shared" si="6"/>
        <v>0</v>
      </c>
      <c r="H52" s="717">
        <f t="shared" si="6"/>
        <v>11180.36342218121</v>
      </c>
      <c r="I52" s="717">
        <f t="shared" si="6"/>
        <v>1680.6713068531133</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12899.905112032831</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366.53623101823797</v>
      </c>
      <c r="D54" s="997">
        <f ca="1">+landbouw!C12</f>
        <v>0</v>
      </c>
      <c r="E54" s="997">
        <f>+landbouw!D12</f>
        <v>0</v>
      </c>
      <c r="F54" s="997">
        <f>+landbouw!E12</f>
        <v>3.752629163285103</v>
      </c>
      <c r="G54" s="997">
        <f>+landbouw!F12</f>
        <v>1528.9754208534603</v>
      </c>
      <c r="H54" s="997">
        <f>+landbouw!G12</f>
        <v>0</v>
      </c>
      <c r="I54" s="997">
        <f>+landbouw!H12</f>
        <v>0</v>
      </c>
      <c r="J54" s="997">
        <f>+landbouw!I12</f>
        <v>0</v>
      </c>
      <c r="K54" s="997">
        <f>+landbouw!J12</f>
        <v>76.845428797833534</v>
      </c>
      <c r="L54" s="997">
        <f>+landbouw!K12</f>
        <v>0</v>
      </c>
      <c r="M54" s="997">
        <f>+landbouw!L12</f>
        <v>0</v>
      </c>
      <c r="N54" s="997">
        <f>+landbouw!M12</f>
        <v>0</v>
      </c>
      <c r="O54" s="997">
        <f>+landbouw!N12</f>
        <v>0</v>
      </c>
      <c r="P54" s="997">
        <f>+landbouw!O12</f>
        <v>0</v>
      </c>
      <c r="Q54" s="998">
        <f>+landbouw!P12</f>
        <v>0</v>
      </c>
      <c r="R54" s="716">
        <f ca="1">SUM(C54:Q54)</f>
        <v>1976.1097098328171</v>
      </c>
    </row>
    <row r="55" spans="1:18" ht="15" thickBot="1">
      <c r="A55" s="815" t="s">
        <v>896</v>
      </c>
      <c r="B55" s="825"/>
      <c r="C55" s="997">
        <f ca="1">C25*'EF ele_warmte'!B12</f>
        <v>71.939015444963175</v>
      </c>
      <c r="D55" s="997"/>
      <c r="E55" s="997">
        <f>E25*EF_CO2_aardgas</f>
        <v>71.505305062571608</v>
      </c>
      <c r="F55" s="997"/>
      <c r="G55" s="997"/>
      <c r="H55" s="997"/>
      <c r="I55" s="997"/>
      <c r="J55" s="997"/>
      <c r="K55" s="997"/>
      <c r="L55" s="997"/>
      <c r="M55" s="997"/>
      <c r="N55" s="997"/>
      <c r="O55" s="997"/>
      <c r="P55" s="997"/>
      <c r="Q55" s="998"/>
      <c r="R55" s="716">
        <f ca="1">SUM(C55:Q55)</f>
        <v>143.44432050753477</v>
      </c>
    </row>
    <row r="56" spans="1:18" ht="15.75" thickBot="1">
      <c r="A56" s="813" t="s">
        <v>897</v>
      </c>
      <c r="B56" s="826"/>
      <c r="C56" s="717">
        <f ca="1">SUM(C54:C55)</f>
        <v>438.47524646320113</v>
      </c>
      <c r="D56" s="717">
        <f t="shared" ref="D56:Q56" ca="1" si="7">SUM(D54:D55)</f>
        <v>0</v>
      </c>
      <c r="E56" s="717">
        <f t="shared" si="7"/>
        <v>71.505305062571608</v>
      </c>
      <c r="F56" s="717">
        <f t="shared" si="7"/>
        <v>3.752629163285103</v>
      </c>
      <c r="G56" s="717">
        <f t="shared" si="7"/>
        <v>1528.9754208534603</v>
      </c>
      <c r="H56" s="717">
        <f t="shared" si="7"/>
        <v>0</v>
      </c>
      <c r="I56" s="717">
        <f t="shared" si="7"/>
        <v>0</v>
      </c>
      <c r="J56" s="717">
        <f t="shared" si="7"/>
        <v>0</v>
      </c>
      <c r="K56" s="717">
        <f t="shared" si="7"/>
        <v>76.845428797833534</v>
      </c>
      <c r="L56" s="717">
        <f t="shared" si="7"/>
        <v>0</v>
      </c>
      <c r="M56" s="717">
        <f t="shared" si="7"/>
        <v>0</v>
      </c>
      <c r="N56" s="717">
        <f t="shared" si="7"/>
        <v>0</v>
      </c>
      <c r="O56" s="717">
        <f t="shared" si="7"/>
        <v>0</v>
      </c>
      <c r="P56" s="717">
        <f t="shared" si="7"/>
        <v>0</v>
      </c>
      <c r="Q56" s="718">
        <f t="shared" si="7"/>
        <v>0</v>
      </c>
      <c r="R56" s="719">
        <f ca="1">SUM(R54:R55)</f>
        <v>2119.5540303403518</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4443.0295126037636</v>
      </c>
      <c r="D61" s="725">
        <f t="shared" ref="D61:Q61" ca="1" si="8">D46+D52+D56</f>
        <v>0</v>
      </c>
      <c r="E61" s="725">
        <f t="shared" ca="1" si="8"/>
        <v>1615.6670523155051</v>
      </c>
      <c r="F61" s="725">
        <f t="shared" si="8"/>
        <v>714.09507608062484</v>
      </c>
      <c r="G61" s="725">
        <f t="shared" ca="1" si="8"/>
        <v>9480.8057942743089</v>
      </c>
      <c r="H61" s="725">
        <f t="shared" si="8"/>
        <v>11180.36342218121</v>
      </c>
      <c r="I61" s="725">
        <f t="shared" si="8"/>
        <v>1680.6713068531133</v>
      </c>
      <c r="J61" s="725">
        <f t="shared" si="8"/>
        <v>0</v>
      </c>
      <c r="K61" s="725">
        <f t="shared" si="8"/>
        <v>1423.7375306819006</v>
      </c>
      <c r="L61" s="725">
        <f t="shared" si="8"/>
        <v>0</v>
      </c>
      <c r="M61" s="725">
        <f t="shared" ca="1" si="8"/>
        <v>0</v>
      </c>
      <c r="N61" s="725">
        <f t="shared" si="8"/>
        <v>0</v>
      </c>
      <c r="O61" s="725">
        <f t="shared" ca="1" si="8"/>
        <v>0</v>
      </c>
      <c r="P61" s="725">
        <f t="shared" si="8"/>
        <v>0</v>
      </c>
      <c r="Q61" s="725">
        <f t="shared" si="8"/>
        <v>0</v>
      </c>
      <c r="R61" s="725">
        <f ca="1">R46+R52+R56</f>
        <v>30538.369694990422</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0.2088761767958581</v>
      </c>
      <c r="D63" s="769">
        <f t="shared" ca="1" si="9"/>
        <v>0</v>
      </c>
      <c r="E63" s="999">
        <f t="shared" ca="1" si="9"/>
        <v>0.20199999999999996</v>
      </c>
      <c r="F63" s="769">
        <f t="shared" si="9"/>
        <v>0.22700000000000006</v>
      </c>
      <c r="G63" s="769">
        <f t="shared" ca="1" si="9"/>
        <v>0.26700000000000002</v>
      </c>
      <c r="H63" s="769">
        <f t="shared" si="9"/>
        <v>0.26700000000000002</v>
      </c>
      <c r="I63" s="769">
        <f t="shared" si="9"/>
        <v>0.24899999999999997</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1166.9106654846614</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0</v>
      </c>
      <c r="D76" s="1009">
        <f>'lokale energieproductie'!C8</f>
        <v>0</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1166.9106654846614</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B29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1166.9106654846614</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N29</f>
        <v>0</v>
      </c>
      <c r="C8" s="554">
        <f>B48</f>
        <v>0</v>
      </c>
      <c r="D8" s="980"/>
      <c r="E8" s="980">
        <f>E48</f>
        <v>0</v>
      </c>
      <c r="F8" s="981"/>
      <c r="G8" s="555"/>
      <c r="H8" s="980">
        <f>I48</f>
        <v>0</v>
      </c>
      <c r="I8" s="980">
        <f>G48+F48</f>
        <v>0</v>
      </c>
      <c r="J8" s="980">
        <f>H48+D48+C48</f>
        <v>0</v>
      </c>
      <c r="K8" s="980"/>
      <c r="L8" s="980"/>
      <c r="M8" s="980"/>
      <c r="N8" s="556"/>
      <c r="O8" s="557">
        <f>C8*$C$12+D8*$D$12+E8*$E$12+F8*$F$12+G8*$G$12+H8*$H$12+I8*$I$12+J8*$J$12</f>
        <v>0</v>
      </c>
      <c r="P8" s="1256"/>
      <c r="Q8" s="1257"/>
      <c r="S8" s="1017"/>
      <c r="T8" s="1231"/>
      <c r="U8" s="1231"/>
    </row>
    <row r="9" spans="1:21" s="542" customFormat="1" ht="17.45" customHeight="1" thickBot="1">
      <c r="A9" s="558" t="s">
        <v>247</v>
      </c>
      <c r="B9" s="98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1166.9106654846614</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0</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87"/>
      <c r="O17" s="582">
        <f>C17*$C$22+E17*$E$22+H17*$H$22+I17*$I$22+J17*$J$22+D17*$D$22+F17*$F$22+G17*$G$22+K17*$K$22+L17*$L$22</f>
        <v>0</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551</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551</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12859.119712159014</v>
      </c>
      <c r="C4" s="457">
        <f>huishoudens!C8</f>
        <v>0</v>
      </c>
      <c r="D4" s="457">
        <f>huishoudens!D8</f>
        <v>5508.5803598908233</v>
      </c>
      <c r="E4" s="457">
        <f>huishoudens!E8</f>
        <v>2904.7225436074796</v>
      </c>
      <c r="F4" s="457">
        <f>huishoudens!F8</f>
        <v>28521.202520399107</v>
      </c>
      <c r="G4" s="457">
        <f>huishoudens!G8</f>
        <v>0</v>
      </c>
      <c r="H4" s="457">
        <f>huishoudens!H8</f>
        <v>0</v>
      </c>
      <c r="I4" s="457">
        <f>huishoudens!I8</f>
        <v>0</v>
      </c>
      <c r="J4" s="457">
        <f>huishoudens!J8</f>
        <v>3801.0594753665728</v>
      </c>
      <c r="K4" s="457">
        <f>huishoudens!K8</f>
        <v>0</v>
      </c>
      <c r="L4" s="457">
        <f>huishoudens!L8</f>
        <v>0</v>
      </c>
      <c r="M4" s="457">
        <f>huishoudens!M8</f>
        <v>0</v>
      </c>
      <c r="N4" s="457">
        <f>huishoudens!N8</f>
        <v>10522.63433805446</v>
      </c>
      <c r="O4" s="457">
        <f>huishoudens!O8</f>
        <v>60.970000000000006</v>
      </c>
      <c r="P4" s="458">
        <f>huishoudens!P8</f>
        <v>133.46666666666667</v>
      </c>
      <c r="Q4" s="459">
        <f>SUM(B4:P4)</f>
        <v>64311.755616144124</v>
      </c>
    </row>
    <row r="5" spans="1:17">
      <c r="A5" s="456" t="s">
        <v>155</v>
      </c>
      <c r="B5" s="457">
        <f ca="1">tertiair!B16</f>
        <v>4823.4018273161146</v>
      </c>
      <c r="C5" s="457">
        <f ca="1">tertiair!C16</f>
        <v>0</v>
      </c>
      <c r="D5" s="457">
        <f ca="1">tertiair!D16</f>
        <v>2065.3305697443907</v>
      </c>
      <c r="E5" s="457">
        <f>tertiair!E16</f>
        <v>48.94510906962725</v>
      </c>
      <c r="F5" s="457">
        <f ca="1">tertiair!F16</f>
        <v>959.94170773643327</v>
      </c>
      <c r="G5" s="457">
        <f>tertiair!G16</f>
        <v>0</v>
      </c>
      <c r="H5" s="457">
        <f>tertiair!H16</f>
        <v>0</v>
      </c>
      <c r="I5" s="457">
        <f>tertiair!I16</f>
        <v>0</v>
      </c>
      <c r="J5" s="457">
        <f>tertiair!J16</f>
        <v>0</v>
      </c>
      <c r="K5" s="457">
        <f>tertiair!K16</f>
        <v>0</v>
      </c>
      <c r="L5" s="457">
        <f ca="1">tertiair!L16</f>
        <v>0</v>
      </c>
      <c r="M5" s="457">
        <f>tertiair!M16</f>
        <v>0</v>
      </c>
      <c r="N5" s="457">
        <f ca="1">tertiair!N16</f>
        <v>229.49279386215636</v>
      </c>
      <c r="O5" s="457">
        <f>tertiair!O16</f>
        <v>1.5633333333333335</v>
      </c>
      <c r="P5" s="458">
        <f>tertiair!P16</f>
        <v>19.066666666666666</v>
      </c>
      <c r="Q5" s="456">
        <f t="shared" ref="Q5:Q14" ca="1" si="0">SUM(B5:P5)</f>
        <v>8147.7420077287225</v>
      </c>
    </row>
    <row r="6" spans="1:17">
      <c r="A6" s="456" t="s">
        <v>193</v>
      </c>
      <c r="B6" s="457">
        <f>'openbare verlichting'!B8</f>
        <v>555.99400000000003</v>
      </c>
      <c r="C6" s="457"/>
      <c r="D6" s="457"/>
      <c r="E6" s="457"/>
      <c r="F6" s="457"/>
      <c r="G6" s="457"/>
      <c r="H6" s="457"/>
      <c r="I6" s="457"/>
      <c r="J6" s="457"/>
      <c r="K6" s="457"/>
      <c r="L6" s="457"/>
      <c r="M6" s="457"/>
      <c r="N6" s="457"/>
      <c r="O6" s="457"/>
      <c r="P6" s="458"/>
      <c r="Q6" s="456">
        <f t="shared" si="0"/>
        <v>555.99400000000003</v>
      </c>
    </row>
    <row r="7" spans="1:17">
      <c r="A7" s="456" t="s">
        <v>111</v>
      </c>
      <c r="B7" s="457">
        <f>landbouw!B8</f>
        <v>1754.80151274727</v>
      </c>
      <c r="C7" s="457">
        <f>landbouw!C8</f>
        <v>0</v>
      </c>
      <c r="D7" s="457">
        <f>landbouw!D8</f>
        <v>0</v>
      </c>
      <c r="E7" s="457">
        <f>landbouw!E8</f>
        <v>16.531406005661246</v>
      </c>
      <c r="F7" s="457">
        <f>landbouw!F8</f>
        <v>5726.4997035710121</v>
      </c>
      <c r="G7" s="457">
        <f>landbouw!G8</f>
        <v>0</v>
      </c>
      <c r="H7" s="457">
        <f>landbouw!H8</f>
        <v>0</v>
      </c>
      <c r="I7" s="457">
        <f>landbouw!I8</f>
        <v>0</v>
      </c>
      <c r="J7" s="457">
        <f>landbouw!J8</f>
        <v>217.07748247975576</v>
      </c>
      <c r="K7" s="457">
        <f>landbouw!K8</f>
        <v>0</v>
      </c>
      <c r="L7" s="457">
        <f>landbouw!L8</f>
        <v>0</v>
      </c>
      <c r="M7" s="457">
        <f>landbouw!M8</f>
        <v>0</v>
      </c>
      <c r="N7" s="457">
        <f>landbouw!N8</f>
        <v>0</v>
      </c>
      <c r="O7" s="457">
        <f>landbouw!O8</f>
        <v>0</v>
      </c>
      <c r="P7" s="458">
        <f>landbouw!P8</f>
        <v>0</v>
      </c>
      <c r="Q7" s="456">
        <f t="shared" si="0"/>
        <v>7714.9101048036991</v>
      </c>
    </row>
    <row r="8" spans="1:17">
      <c r="A8" s="456" t="s">
        <v>682</v>
      </c>
      <c r="B8" s="457">
        <f>industrie!B18</f>
        <v>932.27656015009302</v>
      </c>
      <c r="C8" s="457">
        <f>industrie!C18</f>
        <v>0</v>
      </c>
      <c r="D8" s="457">
        <f>industrie!D18</f>
        <v>67.796305614426373</v>
      </c>
      <c r="E8" s="457">
        <f>industrie!E18</f>
        <v>7.7484524944470223</v>
      </c>
      <c r="F8" s="457">
        <f>industrie!F18</f>
        <v>300.9920019050906</v>
      </c>
      <c r="G8" s="457">
        <f>industrie!G18</f>
        <v>0</v>
      </c>
      <c r="H8" s="457">
        <f>industrie!H18</f>
        <v>0</v>
      </c>
      <c r="I8" s="457">
        <f>industrie!I18</f>
        <v>0</v>
      </c>
      <c r="J8" s="457">
        <f>industrie!J18</f>
        <v>3.720473458475638</v>
      </c>
      <c r="K8" s="457">
        <f>industrie!K18</f>
        <v>0</v>
      </c>
      <c r="L8" s="457">
        <f>industrie!L18</f>
        <v>0</v>
      </c>
      <c r="M8" s="457">
        <f>industrie!M18</f>
        <v>0</v>
      </c>
      <c r="N8" s="457">
        <f>industrie!N18</f>
        <v>37.457486998842441</v>
      </c>
      <c r="O8" s="457">
        <f>industrie!O18</f>
        <v>0</v>
      </c>
      <c r="P8" s="458">
        <f>industrie!P18</f>
        <v>0</v>
      </c>
      <c r="Q8" s="456">
        <f t="shared" si="0"/>
        <v>1349.9912806213752</v>
      </c>
    </row>
    <row r="9" spans="1:17" s="462" customFormat="1">
      <c r="A9" s="460" t="s">
        <v>578</v>
      </c>
      <c r="B9" s="461">
        <f>transport!B14</f>
        <v>1.1131294443026138</v>
      </c>
      <c r="C9" s="461">
        <f>transport!C14</f>
        <v>0</v>
      </c>
      <c r="D9" s="461">
        <f>transport!D14</f>
        <v>2.6578501609224161</v>
      </c>
      <c r="E9" s="461">
        <f>transport!E14</f>
        <v>167.84577552157211</v>
      </c>
      <c r="F9" s="461">
        <f>transport!F14</f>
        <v>0</v>
      </c>
      <c r="G9" s="461">
        <f>transport!G14</f>
        <v>41079.355253647947</v>
      </c>
      <c r="H9" s="461">
        <f>transport!H14</f>
        <v>6749.6839632655156</v>
      </c>
      <c r="I9" s="461">
        <f>transport!I14</f>
        <v>0</v>
      </c>
      <c r="J9" s="461">
        <f>transport!J14</f>
        <v>0</v>
      </c>
      <c r="K9" s="461">
        <f>transport!K14</f>
        <v>0</v>
      </c>
      <c r="L9" s="461">
        <f>transport!L14</f>
        <v>0</v>
      </c>
      <c r="M9" s="461">
        <f>transport!M14</f>
        <v>2137.0249688632607</v>
      </c>
      <c r="N9" s="461">
        <f>transport!N14</f>
        <v>0</v>
      </c>
      <c r="O9" s="461">
        <f>transport!O14</f>
        <v>0</v>
      </c>
      <c r="P9" s="461">
        <f>transport!P14</f>
        <v>0</v>
      </c>
      <c r="Q9" s="460">
        <f>SUM(B9:P9)</f>
        <v>50137.68094090352</v>
      </c>
    </row>
    <row r="10" spans="1:17">
      <c r="A10" s="456" t="s">
        <v>568</v>
      </c>
      <c r="B10" s="457">
        <f>transport!B54</f>
        <v>0</v>
      </c>
      <c r="C10" s="457">
        <f>transport!C54</f>
        <v>0</v>
      </c>
      <c r="D10" s="457">
        <f>transport!D54</f>
        <v>0</v>
      </c>
      <c r="E10" s="457">
        <f>transport!E54</f>
        <v>0</v>
      </c>
      <c r="F10" s="457">
        <f>transport!F54</f>
        <v>0</v>
      </c>
      <c r="G10" s="457">
        <f>transport!G54</f>
        <v>794.66505414684377</v>
      </c>
      <c r="H10" s="457">
        <f>transport!H54</f>
        <v>0</v>
      </c>
      <c r="I10" s="457">
        <f>transport!I54</f>
        <v>0</v>
      </c>
      <c r="J10" s="457">
        <f>transport!J54</f>
        <v>0</v>
      </c>
      <c r="K10" s="457">
        <f>transport!K54</f>
        <v>0</v>
      </c>
      <c r="L10" s="457">
        <f>transport!L54</f>
        <v>0</v>
      </c>
      <c r="M10" s="457">
        <f>transport!M54</f>
        <v>34.866857404983193</v>
      </c>
      <c r="N10" s="457">
        <f>transport!N54</f>
        <v>0</v>
      </c>
      <c r="O10" s="457">
        <f>transport!O54</f>
        <v>0</v>
      </c>
      <c r="P10" s="458">
        <f>transport!P54</f>
        <v>0</v>
      </c>
      <c r="Q10" s="456">
        <f t="shared" si="0"/>
        <v>829.53191155182697</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344.40986305140802</v>
      </c>
      <c r="C14" s="464"/>
      <c r="D14" s="464">
        <f>'SEAP template'!E25</f>
        <v>353.98665872560201</v>
      </c>
      <c r="E14" s="464"/>
      <c r="F14" s="464"/>
      <c r="G14" s="464"/>
      <c r="H14" s="464"/>
      <c r="I14" s="464"/>
      <c r="J14" s="464"/>
      <c r="K14" s="464"/>
      <c r="L14" s="464"/>
      <c r="M14" s="464"/>
      <c r="N14" s="464"/>
      <c r="O14" s="464"/>
      <c r="P14" s="465"/>
      <c r="Q14" s="456">
        <f t="shared" si="0"/>
        <v>698.39652177701009</v>
      </c>
    </row>
    <row r="15" spans="1:17" s="469" customFormat="1">
      <c r="A15" s="466" t="s">
        <v>572</v>
      </c>
      <c r="B15" s="467">
        <f ca="1">SUM(B4:B14)</f>
        <v>21271.116604868203</v>
      </c>
      <c r="C15" s="467">
        <f t="shared" ref="C15:Q15" ca="1" si="1">SUM(C4:C14)</f>
        <v>0</v>
      </c>
      <c r="D15" s="467">
        <f t="shared" ca="1" si="1"/>
        <v>7998.3517441361655</v>
      </c>
      <c r="E15" s="467">
        <f t="shared" si="1"/>
        <v>3145.7932866987871</v>
      </c>
      <c r="F15" s="467">
        <f t="shared" ca="1" si="1"/>
        <v>35508.635933611644</v>
      </c>
      <c r="G15" s="467">
        <f t="shared" si="1"/>
        <v>41874.020307794788</v>
      </c>
      <c r="H15" s="467">
        <f t="shared" si="1"/>
        <v>6749.6839632655156</v>
      </c>
      <c r="I15" s="467">
        <f t="shared" si="1"/>
        <v>0</v>
      </c>
      <c r="J15" s="467">
        <f t="shared" si="1"/>
        <v>4021.8574313048043</v>
      </c>
      <c r="K15" s="467">
        <f t="shared" si="1"/>
        <v>0</v>
      </c>
      <c r="L15" s="467">
        <f t="shared" ca="1" si="1"/>
        <v>0</v>
      </c>
      <c r="M15" s="467">
        <f t="shared" si="1"/>
        <v>2171.8918262682437</v>
      </c>
      <c r="N15" s="467">
        <f t="shared" ca="1" si="1"/>
        <v>10789.58461891546</v>
      </c>
      <c r="O15" s="467">
        <f t="shared" si="1"/>
        <v>62.533333333333339</v>
      </c>
      <c r="P15" s="467">
        <f t="shared" si="1"/>
        <v>152.53333333333333</v>
      </c>
      <c r="Q15" s="467">
        <f t="shared" ca="1" si="1"/>
        <v>133746.00238353029</v>
      </c>
    </row>
    <row r="17" spans="1:17">
      <c r="A17" s="470" t="s">
        <v>573</v>
      </c>
      <c r="B17" s="774">
        <f ca="1">huishoudens!B10</f>
        <v>0.20887617679585807</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2685.9637624360298</v>
      </c>
      <c r="C22" s="457">
        <f t="shared" ref="C22:C32" ca="1" si="3">C4*$C$17</f>
        <v>0</v>
      </c>
      <c r="D22" s="457">
        <f t="shared" ref="D22:D32" si="4">D4*$D$17</f>
        <v>1112.7332326979463</v>
      </c>
      <c r="E22" s="457">
        <f t="shared" ref="E22:E32" si="5">E4*$E$17</f>
        <v>659.37201739889792</v>
      </c>
      <c r="F22" s="457">
        <f t="shared" ref="F22:F32" si="6">F4*$F$17</f>
        <v>7615.1610729465619</v>
      </c>
      <c r="G22" s="457">
        <f t="shared" ref="G22:G32" si="7">G4*$G$17</f>
        <v>0</v>
      </c>
      <c r="H22" s="457">
        <f t="shared" ref="H22:H32" si="8">H4*$H$17</f>
        <v>0</v>
      </c>
      <c r="I22" s="457">
        <f t="shared" ref="I22:I32" si="9">I4*$I$17</f>
        <v>0</v>
      </c>
      <c r="J22" s="457">
        <f t="shared" ref="J22:J32" si="10">J4*$J$17</f>
        <v>1345.5750542797666</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13418.805139759203</v>
      </c>
    </row>
    <row r="23" spans="1:17">
      <c r="A23" s="456" t="s">
        <v>155</v>
      </c>
      <c r="B23" s="457">
        <f t="shared" ca="1" si="2"/>
        <v>1007.4937328399457</v>
      </c>
      <c r="C23" s="457">
        <f t="shared" ca="1" si="3"/>
        <v>0</v>
      </c>
      <c r="D23" s="457">
        <f t="shared" ca="1" si="4"/>
        <v>417.19677508836696</v>
      </c>
      <c r="E23" s="457">
        <f t="shared" si="5"/>
        <v>11.110539758805386</v>
      </c>
      <c r="F23" s="457">
        <f t="shared" ca="1" si="6"/>
        <v>256.3044359656277</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1692.1054836527455</v>
      </c>
    </row>
    <row r="24" spans="1:17">
      <c r="A24" s="456" t="s">
        <v>193</v>
      </c>
      <c r="B24" s="457">
        <f t="shared" ca="1" si="2"/>
        <v>116.13390104143632</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116.13390104143632</v>
      </c>
    </row>
    <row r="25" spans="1:17">
      <c r="A25" s="456" t="s">
        <v>111</v>
      </c>
      <c r="B25" s="457">
        <f t="shared" ca="1" si="2"/>
        <v>366.53623101823797</v>
      </c>
      <c r="C25" s="457">
        <f t="shared" ca="1" si="3"/>
        <v>0</v>
      </c>
      <c r="D25" s="457">
        <f t="shared" si="4"/>
        <v>0</v>
      </c>
      <c r="E25" s="457">
        <f t="shared" si="5"/>
        <v>3.752629163285103</v>
      </c>
      <c r="F25" s="457">
        <f t="shared" si="6"/>
        <v>1528.9754208534603</v>
      </c>
      <c r="G25" s="457">
        <f t="shared" si="7"/>
        <v>0</v>
      </c>
      <c r="H25" s="457">
        <f t="shared" si="8"/>
        <v>0</v>
      </c>
      <c r="I25" s="457">
        <f t="shared" si="9"/>
        <v>0</v>
      </c>
      <c r="J25" s="457">
        <f t="shared" si="10"/>
        <v>76.845428797833534</v>
      </c>
      <c r="K25" s="457">
        <f t="shared" si="11"/>
        <v>0</v>
      </c>
      <c r="L25" s="457">
        <f t="shared" si="12"/>
        <v>0</v>
      </c>
      <c r="M25" s="457">
        <f t="shared" si="13"/>
        <v>0</v>
      </c>
      <c r="N25" s="457">
        <f t="shared" si="14"/>
        <v>0</v>
      </c>
      <c r="O25" s="457">
        <f t="shared" si="15"/>
        <v>0</v>
      </c>
      <c r="P25" s="458">
        <f t="shared" si="16"/>
        <v>0</v>
      </c>
      <c r="Q25" s="456">
        <f t="shared" ca="1" si="17"/>
        <v>1976.1097098328171</v>
      </c>
    </row>
    <row r="26" spans="1:17">
      <c r="A26" s="456" t="s">
        <v>682</v>
      </c>
      <c r="B26" s="457">
        <f t="shared" ca="1" si="2"/>
        <v>194.73036360054525</v>
      </c>
      <c r="C26" s="457">
        <f t="shared" ca="1" si="3"/>
        <v>0</v>
      </c>
      <c r="D26" s="457">
        <f t="shared" si="4"/>
        <v>13.694853734114128</v>
      </c>
      <c r="E26" s="457">
        <f t="shared" si="5"/>
        <v>1.758898716239474</v>
      </c>
      <c r="F26" s="457">
        <f t="shared" si="6"/>
        <v>80.364864508659196</v>
      </c>
      <c r="G26" s="457">
        <f t="shared" si="7"/>
        <v>0</v>
      </c>
      <c r="H26" s="457">
        <f t="shared" si="8"/>
        <v>0</v>
      </c>
      <c r="I26" s="457">
        <f t="shared" si="9"/>
        <v>0</v>
      </c>
      <c r="J26" s="457">
        <f t="shared" si="10"/>
        <v>1.3170476043003758</v>
      </c>
      <c r="K26" s="457">
        <f t="shared" si="11"/>
        <v>0</v>
      </c>
      <c r="L26" s="457">
        <f t="shared" si="12"/>
        <v>0</v>
      </c>
      <c r="M26" s="457">
        <f t="shared" si="13"/>
        <v>0</v>
      </c>
      <c r="N26" s="457">
        <f t="shared" si="14"/>
        <v>0</v>
      </c>
      <c r="O26" s="457">
        <f t="shared" si="15"/>
        <v>0</v>
      </c>
      <c r="P26" s="458">
        <f t="shared" si="16"/>
        <v>0</v>
      </c>
      <c r="Q26" s="456">
        <f t="shared" ca="1" si="17"/>
        <v>291.86602816385846</v>
      </c>
    </row>
    <row r="27" spans="1:17" s="462" customFormat="1">
      <c r="A27" s="460" t="s">
        <v>578</v>
      </c>
      <c r="B27" s="768">
        <f t="shared" ca="1" si="2"/>
        <v>0.23250622260482801</v>
      </c>
      <c r="C27" s="461">
        <f t="shared" ca="1" si="3"/>
        <v>0</v>
      </c>
      <c r="D27" s="461">
        <f t="shared" si="4"/>
        <v>0.53688573250632809</v>
      </c>
      <c r="E27" s="461">
        <f t="shared" si="5"/>
        <v>38.100991043396867</v>
      </c>
      <c r="F27" s="461">
        <f t="shared" si="6"/>
        <v>0</v>
      </c>
      <c r="G27" s="461">
        <f t="shared" si="7"/>
        <v>10968.187852724002</v>
      </c>
      <c r="H27" s="461">
        <f t="shared" si="8"/>
        <v>1680.6713068531133</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12687.729542575624</v>
      </c>
    </row>
    <row r="28" spans="1:17">
      <c r="A28" s="456" t="s">
        <v>568</v>
      </c>
      <c r="B28" s="457">
        <f t="shared" ca="1" si="2"/>
        <v>0</v>
      </c>
      <c r="C28" s="457">
        <f t="shared" ca="1" si="3"/>
        <v>0</v>
      </c>
      <c r="D28" s="457">
        <f t="shared" si="4"/>
        <v>0</v>
      </c>
      <c r="E28" s="457">
        <f t="shared" si="5"/>
        <v>0</v>
      </c>
      <c r="F28" s="457">
        <f t="shared" si="6"/>
        <v>0</v>
      </c>
      <c r="G28" s="457">
        <f t="shared" si="7"/>
        <v>212.1755694572073</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212.1755694572073</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71.939015444963175</v>
      </c>
      <c r="C32" s="457">
        <f t="shared" ca="1" si="3"/>
        <v>0</v>
      </c>
      <c r="D32" s="457">
        <f t="shared" si="4"/>
        <v>71.505305062571608</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143.44432050753477</v>
      </c>
    </row>
    <row r="33" spans="1:17" s="469" customFormat="1">
      <c r="A33" s="466" t="s">
        <v>572</v>
      </c>
      <c r="B33" s="467">
        <f ca="1">SUM(B22:B32)</f>
        <v>4443.0295126037627</v>
      </c>
      <c r="C33" s="467">
        <f t="shared" ref="C33:Q33" ca="1" si="18">SUM(C22:C32)</f>
        <v>0</v>
      </c>
      <c r="D33" s="467">
        <f t="shared" ca="1" si="18"/>
        <v>1615.6670523155051</v>
      </c>
      <c r="E33" s="467">
        <f t="shared" si="18"/>
        <v>714.09507608062484</v>
      </c>
      <c r="F33" s="467">
        <f t="shared" ca="1" si="18"/>
        <v>9480.8057942743089</v>
      </c>
      <c r="G33" s="467">
        <f t="shared" si="18"/>
        <v>11180.36342218121</v>
      </c>
      <c r="H33" s="467">
        <f t="shared" si="18"/>
        <v>1680.6713068531133</v>
      </c>
      <c r="I33" s="467">
        <f t="shared" si="18"/>
        <v>0</v>
      </c>
      <c r="J33" s="467">
        <f t="shared" si="18"/>
        <v>1423.7375306819006</v>
      </c>
      <c r="K33" s="467">
        <f t="shared" si="18"/>
        <v>0</v>
      </c>
      <c r="L33" s="467">
        <f t="shared" ca="1" si="18"/>
        <v>0</v>
      </c>
      <c r="M33" s="467">
        <f t="shared" si="18"/>
        <v>0</v>
      </c>
      <c r="N33" s="467">
        <f t="shared" ca="1" si="18"/>
        <v>0</v>
      </c>
      <c r="O33" s="467">
        <f t="shared" si="18"/>
        <v>0</v>
      </c>
      <c r="P33" s="467">
        <f t="shared" si="18"/>
        <v>0</v>
      </c>
      <c r="Q33" s="467">
        <f t="shared" ca="1" si="18"/>
        <v>30538.369694990422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1166.9106654846614</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1166.9106654846614</v>
      </c>
      <c r="C10" s="1030">
        <f>SUM(C4:C9)</f>
        <v>0</v>
      </c>
      <c r="D10" s="1030">
        <f t="shared" ref="D10:H10" si="0">SUM(D8:D9)</f>
        <v>0</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0</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0.20887617679585807</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0</v>
      </c>
      <c r="D20" s="1030">
        <f t="shared" ref="D20:H20" si="2">SUM(D17:D19)</f>
        <v>0</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0</v>
      </c>
    </row>
    <row r="22" spans="1:16">
      <c r="A22" s="470" t="s">
        <v>916</v>
      </c>
      <c r="B22" s="774" t="s">
        <v>910</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0.20887617679585807</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2020-06-20T16:33:23Z</dcterms:modified>
</cp:coreProperties>
</file>