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D20" i="18" s="1"/>
  <c r="C18" i="18"/>
  <c r="B18" i="18"/>
  <c r="L9" i="18"/>
  <c r="K9" i="18"/>
  <c r="G9" i="18"/>
  <c r="G10" i="18" s="1"/>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B17" i="18"/>
  <c r="G12" i="18"/>
  <c r="F12" i="18"/>
  <c r="E12" i="18"/>
  <c r="D12" i="18"/>
  <c r="C12" i="18"/>
  <c r="L10" i="18"/>
  <c r="K10" i="18"/>
  <c r="D10" i="18"/>
  <c r="B8" i="18"/>
  <c r="B6" i="18"/>
  <c r="B5" i="18"/>
  <c r="B4" i="18"/>
  <c r="F20" i="18" l="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10" i="56" l="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B4" i="48" l="1"/>
  <c r="C11" i="14"/>
  <c r="P11" i="14"/>
  <c r="O4" i="48"/>
  <c r="O22" i="48" s="1"/>
  <c r="C24" i="14"/>
  <c r="C26" i="14" s="1"/>
  <c r="B7" i="48"/>
  <c r="E11" i="14"/>
  <c r="D4" i="48"/>
  <c r="D22" i="48" s="1"/>
  <c r="B38" i="13"/>
  <c r="Q11" i="14"/>
  <c r="P4" i="48"/>
  <c r="P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B47" i="13" s="1"/>
  <c r="N8" i="17"/>
  <c r="G31" i="20"/>
  <c r="H48" i="14" s="1"/>
  <c r="G12" i="22"/>
  <c r="D14" i="22"/>
  <c r="D18" i="22" s="1"/>
  <c r="E50" i="14" s="1"/>
  <c r="E52" i="14" s="1"/>
  <c r="M12" i="22"/>
  <c r="B36" i="13"/>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12" i="17"/>
  <c r="F54" i="14" s="1"/>
  <c r="F56" i="14" s="1"/>
  <c r="P15" i="48" l="1"/>
  <c r="O8" i="48"/>
  <c r="O26" i="48" s="1"/>
  <c r="P13" i="14"/>
  <c r="P16" i="14" s="1"/>
  <c r="P27" i="14" s="1"/>
  <c r="D16" i="14"/>
  <c r="Q63" i="14"/>
  <c r="E7" i="48"/>
  <c r="E25" i="48" s="1"/>
  <c r="F24" i="14"/>
  <c r="F26" i="14" s="1"/>
  <c r="P46" i="14"/>
  <c r="P61" i="14" s="1"/>
  <c r="O23" i="48"/>
  <c r="O33" i="48" s="1"/>
  <c r="O15"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G58" i="22"/>
  <c r="H49" i="14" s="1"/>
  <c r="M58" i="22"/>
  <c r="N49" i="14" s="1"/>
  <c r="M18" i="22"/>
  <c r="N50" i="14" s="1"/>
  <c r="N52" i="14" s="1"/>
  <c r="N61"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P63" i="14" l="1"/>
  <c r="E5" i="48"/>
  <c r="E23" i="48" s="1"/>
  <c r="F10" i="14"/>
  <c r="K10" i="14"/>
  <c r="J5" i="48"/>
  <c r="J23" i="48" s="1"/>
  <c r="N22" i="14"/>
  <c r="N27" i="14" s="1"/>
  <c r="N63" i="14" s="1"/>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K46" i="14" l="1"/>
  <c r="K61" i="14" s="1"/>
  <c r="J33" i="48"/>
  <c r="F13" i="14"/>
  <c r="F16" i="14" s="1"/>
  <c r="F27" i="14" s="1"/>
  <c r="E8" i="48"/>
  <c r="J15" i="48"/>
  <c r="Q5" i="48"/>
  <c r="J8" i="48"/>
  <c r="J26" i="48" s="1"/>
  <c r="K13" i="14"/>
  <c r="K16" i="14" s="1"/>
  <c r="K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C12" i="13"/>
  <c r="D41" i="14" s="1"/>
  <c r="D46" i="14" s="1"/>
  <c r="D61" i="14" s="1"/>
  <c r="D63" i="14" s="1"/>
  <c r="E26" i="48" l="1"/>
  <c r="E33" i="48" s="1"/>
  <c r="E15" i="48"/>
  <c r="K63" i="14"/>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<sst xmlns="http://schemas.openxmlformats.org/spreadsheetml/2006/main" count="2498" uniqueCount="954">
  <si>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</si>
  <si>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</si>
  <si>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</si>
  <si>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</si>
  <si>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</si>
  <si>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</si>
  <si>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</si>
  <si>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</si>
  <si>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</si>
  <si>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</si>
  <si>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</si>
  <si>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</si>
  <si>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</si>
  <si>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</si>
  <si>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</si>
  <si>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</si>
  <si>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</si>
  <si>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</si>
  <si>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</si>
  <si>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</si>
  <si>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</si>
  <si>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</si>
  <si>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</si>
  <si>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</si>
  <si>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</si>
  <si>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</si>
  <si>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</si>
  <si>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</si>
  <si>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</si>
  <si>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</si>
  <si>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</si>
  <si>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</si>
  <si>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</si>
  <si>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</si>
  <si>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</si>
  <si>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</si>
  <si>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</si>
  <si>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</si>
  <si>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</si>
  <si>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</si>
  <si>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</si>
  <si>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</si>
  <si>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</si>
  <si>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</si>
  <si>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</si>
  <si>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</si>
  <si>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</si>
  <si>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</si>
  <si>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</si>
  <si>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</si>
  <si>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</si>
  <si>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</si>
  <si>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</si>
  <si>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</si>
  <si>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</si>
  <si>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</si>
  <si>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</si>
  <si>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</si>
  <si>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</si>
  <si>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</si>
  <si>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</si>
  <si>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</si>
  <si>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</si>
  <si>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</si>
  <si>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</si>
  <si>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</si>
  <si>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</si>
  <si>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</si>
  <si>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</si>
  <si>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</si>
  <si>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</si>
  <si>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</si>
  <si>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</si>
  <si>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</si>
  <si>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</si>
  <si>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</si>
  <si>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</si>
  <si>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</si>
  <si>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</si>
  <si>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</si>
  <si>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</si>
  <si>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</si>
  <si>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</si>
  <si>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</si>
  <si>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</si>
  <si>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</si>
  <si>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</si>
  <si>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</si>
  <si>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</si>
  <si>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</si>
  <si>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</si>
  <si>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</si>
  <si>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</si>
  <si>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</si>
  <si>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</si>
  <si>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</si>
  <si>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</si>
  <si>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</si>
  <si>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</si>
  <si>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</si>
  <si>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</si>
  <si>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</si>
  <si>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</si>
  <si>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</si>
  <si>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</si>
  <si>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</si>
  <si>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</si>
  <si>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</si>
  <si>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</si>
  <si>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</si>
  <si>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</si>
  <si>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</si>
  <si>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</si>
  <si>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</si>
  <si>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</si>
  <si>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</si>
  <si>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</si>
  <si>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</si>
  <si>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</si>
  <si>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</si>
  <si>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</si>
  <si>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</si>
  <si>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</si>
  <si>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</si>
  <si>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</si>
  <si>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</si>
  <si>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</si>
  <si>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</si>
  <si>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</si>
  <si>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</si>
  <si>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</si>
  <si>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</si>
  <si>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</si>
  <si>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</si>
  <si>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</si>
  <si>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</si>
  <si>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</si>
  <si>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</si>
  <si>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</si>
  <si>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</si>
  <si>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</si>
  <si>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</si>
  <si>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</si>
  <si>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</si>
  <si>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</si>
  <si>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</si>
  <si>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</si>
  <si>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</si>
  <si>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</si>
  <si>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</si>
  <si>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</si>
  <si>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</si>
  <si>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</si>
  <si>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</si>
  <si>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</si>
  <si>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</si>
  <si>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</si>
  <si>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</si>
  <si>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</si>
  <si>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</si>
  <si>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</si>
  <si>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</si>
  <si>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</si>
  <si>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</si>
  <si>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</si>
  <si>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</si>
  <si>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</si>
  <si>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</si>
  <si>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</si>
  <si>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</si>
  <si>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</si>
  <si>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</si>
  <si>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</si>
  <si>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</si>
  <si>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</si>
  <si>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</si>
  <si>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</si>
  <si>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</si>
  <si>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</si>
  <si>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</si>
  <si>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</si>
  <si>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</si>
  <si>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</si>
  <si>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</si>
  <si>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</si>
  <si>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</si>
  <si>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</si>
  <si>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</si>
  <si>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</si>
  <si>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</si>
  <si>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</si>
  <si>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</si>
  <si>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</si>
  <si>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</si>
  <si>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</si>
  <si>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</si>
  <si>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</si>
  <si>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</si>
  <si>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</si>
  <si>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</si>
  <si>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</si>
  <si>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</si>
  <si>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</si>
  <si>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</si>
  <si>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</si>
  <si>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</si>
  <si>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</si>
  <si>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</si>
  <si>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</si>
  <si>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</si>
  <si>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</si>
  <si>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</si>
  <si>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</si>
  <si>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</si>
  <si>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</si>
  <si>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</si>
  <si>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</si>
  <si>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</si>
  <si>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</si>
  <si>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</si>
  <si>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</si>
  <si>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</si>
  <si>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</si>
  <si>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</si>
  <si>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</si>
  <si>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</si>
  <si>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</si>
  <si>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</si>
  <si>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</si>
  <si>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</si>
  <si>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</si>
  <si>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</si>
  <si>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</si>
  <si>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</si>
  <si>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</si>
  <si>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</si>
  <si>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</si>
  <si>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</si>
  <si>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</si>
  <si>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</si>
  <si>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</si>
  <si>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</si>
  <si>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</si>
  <si>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</si>
  <si>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</si>
  <si>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</si>
  <si>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</si>
  <si>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</si>
  <si>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</si>
  <si>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</si>
  <si>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</si>
  <si>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</si>
  <si>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</si>
  <si>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</si>
  <si>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</si>
  <si>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</si>
  <si>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</si>
  <si>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</si>
  <si>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</si>
  <si>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</si>
  <si>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</si>
  <si>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</si>
  <si>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</si>
  <si>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</si>
  <si>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</si>
  <si>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</si>
  <si>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</si>
  <si>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</si>
  <si>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</si>
  <si>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</si>
  <si>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</si>
  <si>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</si>
  <si>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</si>
  <si>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</si>
  <si>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</si>
  <si>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</si>
  <si>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</si>
  <si>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</si>
  <si>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</si>
  <si>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</si>
  <si>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</si>
  <si>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</si>
  <si>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</si>
  <si>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</si>
  <si>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</si>
  <si>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</si>
  <si>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</si>
  <si>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</si>
  <si>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</si>
  <si>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</si>
  <si>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</si>
  <si>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</si>
  <si>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</si>
  <si>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</si>
  <si>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</si>
  <si>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</si>
  <si>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</si>
  <si>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</si>
  <si>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</si>
  <si>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</si>
  <si>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</si>
  <si>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</si>
  <si>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</si>
  <si>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</si>
  <si>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</si>
  <si>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</si>
  <si>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</si>
  <si>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</si>
  <si>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</si>
  <si>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</si>
  <si>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</si>
  <si>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</si>
  <si>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</si>
  <si>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</si>
  <si>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</si>
  <si>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</si>
  <si>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</si>
  <si>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</si>
  <si>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</si>
  <si>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</si>
  <si>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</si>
  <si>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</si>
  <si>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</si>
  <si>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</si>
  <si>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</si>
  <si>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</si>
  <si>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</si>
  <si>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</si>
  <si>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</si>
  <si>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</si>
  <si>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</si>
  <si>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</si>
  <si>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</si>
  <si>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</si>
  <si>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</si>
  <si>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</si>
  <si>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</si>
  <si>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</si>
  <si>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</si>
  <si>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</si>
  <si>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</si>
  <si>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</si>
  <si>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</si>
  <si>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</si>
  <si>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</si>
  <si>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</si>
  <si>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</si>
  <si>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</si>
  <si>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</si>
  <si>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</si>
  <si>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</si>
  <si>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</si>
  <si>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</si>
  <si>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</si>
  <si>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</si>
  <si>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</si>
  <si>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</si>
  <si>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</si>
  <si>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</si>
  <si>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</si>
  <si>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</si>
  <si>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</si>
  <si>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</si>
  <si>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</si>
  <si>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</si>
  <si>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</si>
  <si>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</si>
  <si>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</si>
  <si>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</si>
  <si>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</si>
  <si>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</si>
  <si>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</si>
  <si>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</si>
  <si>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</si>
  <si>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</si>
  <si>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</si>
  <si>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</si>
  <si>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</si>
  <si>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</si>
  <si>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</si>
  <si>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</si>
  <si>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</si>
  <si>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</si>
  <si>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</si>
  <si>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</si>
  <si>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</si>
  <si>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</si>
  <si>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</si>
  <si>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</si>
  <si>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</si>
  <si>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</si>
  <si>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</si>
  <si>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</si>
  <si>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</si>
  <si>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</si>
  <si>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</si>
  <si>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</si>
  <si>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</si>
  <si>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</si>
  <si>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</si>
  <si>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</si>
  <si>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</si>
  <si>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</si>
  <si>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</si>
  <si>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</si>
  <si>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</si>
  <si>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</si>
  <si>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</si>
  <si>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</si>
  <si>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</si>
  <si>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</si>
  <si>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</si>
  <si>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</si>
  <si>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</si>
  <si>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</si>
  <si>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</si>
  <si>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</si>
  <si>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</si>
  <si>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</si>
  <si>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</si>
  <si>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</si>
  <si>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</si>
  <si>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</si>
  <si>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</si>
  <si>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</si>
  <si>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</si>
  <si>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</si>
  <si>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</si>
  <si>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</si>
  <si>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</si>
  <si>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</si>
  <si>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</si>
  <si>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</si>
  <si>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</si>
  <si>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</si>
  <si>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</si>
  <si>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</si>
  <si>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</si>
  <si>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</si>
  <si>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</si>
  <si>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</si>
  <si>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</si>
  <si>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</si>
  <si>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</si>
  <si>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</si>
  <si>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</si>
  <si>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</si>
  <si>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</si>
  <si>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</si>
  <si>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</si>
  <si>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</si>
  <si>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</si>
  <si>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</si>
  <si>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</si>
  <si>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</si>
  <si>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</si>
  <si>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</si>
  <si>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</si>
  <si>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</si>
  <si>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</si>
  <si>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</si>
  <si>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</si>
  <si>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</si>
  <si>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</si>
  <si>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</si>
  <si>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</si>
  <si>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</si>
  <si>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</si>
  <si>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</si>
  <si>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</si>
  <si>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</si>
  <si>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</si>
  <si>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</si>
  <si>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</si>
  <si>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</si>
  <si>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</si>
  <si>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</si>
  <si>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</si>
  <si>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</si>
  <si>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</si>
  <si>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</si>
  <si>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</si>
  <si>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</si>
  <si>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</si>
  <si>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</si>
  <si>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</si>
  <si>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</si>
  <si>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</si>
  <si>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</si>
  <si>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</si>
  <si>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</si>
  <si>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</si>
  <si>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</si>
  <si>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</si>
  <si>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</si>
  <si>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</si>
  <si>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</si>
  <si>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</si>
  <si>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</si>
  <si>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</si>
  <si>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</si>
  <si>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</si>
  <si>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</si>
  <si>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</si>
  <si>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</si>
  <si>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</si>
  <si>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</si>
  <si>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</si>
  <si>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</si>
  <si>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</si>
  <si>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</si>
  <si>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</si>
  <si>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</si>
  <si>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</si>
  <si>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</si>
  <si>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</si>
  <si>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</si>
  <si>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</si>
  <si>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</si>
  <si>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</si>
  <si>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</si>
  <si>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</si>
  <si>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</si>
  <si>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</si>
  <si>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</si>
  <si>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</si>
  <si>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</si>
  <si>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</si>
  <si>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</si>
  <si>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</si>
  <si>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</si>
  <si>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</si>
  <si>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</si>
  <si>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</si>
  <si>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</si>
  <si>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</si>
  <si>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</si>
  <si>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</si>
  <si>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</si>
  <si>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</si>
  <si>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</si>
  <si>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</si>
  <si>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</si>
  <si>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</si>
  <si>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</si>
  <si>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</si>
  <si>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</si>
  <si>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</si>
  <si>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</si>
  <si>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</si>
  <si>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</si>
  <si>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</si>
  <si>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</si>
  <si>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</si>
  <si>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</si>
  <si>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</si>
  <si>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</si>
  <si>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</si>
  <si>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</si>
  <si>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</si>
  <si>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</si>
  <si>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</si>
  <si>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</si>
  <si>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</si>
  <si>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</si>
  <si>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</si>
  <si>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</si>
  <si>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</si>
  <si>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</si>
  <si>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</si>
  <si>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</si>
  <si>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</si>
  <si>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</si>
  <si>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</si>
  <si>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</si>
  <si>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</si>
  <si>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</si>
  <si>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</si>
  <si>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</si>
  <si>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</si>
  <si>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</si>
  <si>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</si>
  <si>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</si>
  <si>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</si>
  <si>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</si>
  <si>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</si>
  <si>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</si>
  <si>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</si>
  <si>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</si>
  <si>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</si>
  <si>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</si>
  <si>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</si>
  <si>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</si>
  <si>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</si>
  <si>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</si>
  <si>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</si>
  <si>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</si>
  <si>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</si>
  <si>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</si>
  <si>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</si>
  <si>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</si>
  <si>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</si>
  <si>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</si>
  <si>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</si>
  <si>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</si>
  <si>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</si>
  <si>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</si>
  <si>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</si>
  <si>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</si>
  <si>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</si>
  <si>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</si>
  <si>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</si>
  <si>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</si>
  <si>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</si>
  <si>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</si>
  <si>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</si>
  <si>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</si>
  <si>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</si>
  <si>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</si>
  <si>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</si>
  <si>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</si>
  <si>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</si>
  <si>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</si>
  <si>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</si>
  <si>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</si>
  <si>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</si>
  <si>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</si>
  <si>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</si>
  <si>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</si>
  <si>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</si>
  <si>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</si>
  <si>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</si>
  <si>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</si>
  <si>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</si>
  <si>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</si>
  <si>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</si>
  <si>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</si>
  <si>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</si>
  <si>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</si>
  <si>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</si>
  <si>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</si>
  <si>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</si>
  <si>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</si>
  <si>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</si>
  <si>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</si>
  <si>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</si>
  <si>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</si>
  <si>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</si>
  <si>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</si>
  <si>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</si>
  <si>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</si>
  <si>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</si>
  <si>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</si>
  <si>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</si>
  <si>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</si>
  <si>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</si>
  <si>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</si>
  <si>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</si>
  <si>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</si>
  <si>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</si>
  <si>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</si>
  <si>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</si>
  <si>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</si>
  <si>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</si>
  <si>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</si>
  <si>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</si>
  <si>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</si>
  <si>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</si>
  <si>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</si>
  <si>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</si>
  <si>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</si>
  <si>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</si>
  <si>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</si>
  <si>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</si>
  <si>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</si>
  <si>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</si>
  <si>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</si>
  <si>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</si>
  <si>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</si>
  <si>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</si>
  <si>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</si>
  <si>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</si>
  <si>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</si>
  <si>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</si>
  <si>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</si>
  <si>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</si>
  <si>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</si>
  <si>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</si>
  <si>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</si>
  <si>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</si>
  <si>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</si>
  <si>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</si>
  <si>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</si>
  <si>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</si>
  <si>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</si>
  <si>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</si>
  <si>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</si>
  <si>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</si>
  <si>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</si>
  <si>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</si>
  <si>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</si>
  <si>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</si>
  <si>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</si>
  <si>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</si>
  <si>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</si>
  <si>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</si>
  <si>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</si>
  <si>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</si>
  <si>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</si>
  <si>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</si>
  <si>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</si>
  <si>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</si>
  <si>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</si>
  <si>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</si>
  <si>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</si>
  <si>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</si>
  <si>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</si>
  <si>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</si>
  <si>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</si>
  <si>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</si>
  <si>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</si>
  <si>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</si>
  <si>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</si>
  <si>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</si>
  <si>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</si>
  <si>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</si>
  <si>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</si>
  <si>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</si>
  <si>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</si>
  <si>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</si>
  <si>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</si>
  <si>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</si>
  <si>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</si>
  <si>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</si>
  <si>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</si>
  <si>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</si>
  <si>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</si>
  <si>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</si>
  <si>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</si>
  <si>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</si>
  <si>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</si>
  <si>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</si>
  <si>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</si>
  <si>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</si>
  <si>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</si>
  <si>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</si>
  <si>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</si>
  <si>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</si>
  <si>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</si>
  <si>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</si>
  <si>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</si>
  <si>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</si>
  <si>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</si>
  <si>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</si>
  <si>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</si>
  <si>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</si>
  <si>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</si>
  <si>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</si>
  <si>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</si>
  <si>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</si>
  <si>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</si>
  <si>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</si>
  <si>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</si>
  <si>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</si>
  <si>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</si>
  <si>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</si>
  <si>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</si>
  <si>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</si>
  <si>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</si>
  <si>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</si>
  <si>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</si>
  <si>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</si>
  <si>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</si>
  <si>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</si>
  <si>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</si>
  <si>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</si>
  <si>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</si>
  <si>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</si>
  <si>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</si>
  <si>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</si>
  <si>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</si>
  <si>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</si>
  <si>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</si>
  <si>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</si>
  <si>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</si>
  <si>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</si>
  <si>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</si>
  <si>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</si>
  <si>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</si>
  <si>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</si>
  <si>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</si>
  <si>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</si>
  <si>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</si>
  <si>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</si>
  <si>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</si>
  <si>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</si>
  <si>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</si>
  <si>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</si>
  <si>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</si>
  <si>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</si>
  <si>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</si>
  <si>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</si>
  <si>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</si>
  <si>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</si>
  <si>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</si>
  <si>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</si>
  <si>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</si>
  <si>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</si>
  <si>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</si>
  <si>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</si>
  <si>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</si>
  <si>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</si>
  <si>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</si>
  <si>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</si>
  <si>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</si>
  <si>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</si>
  <si>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</si>
  <si>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</si>
  <si>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</si>
  <si>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</si>
  <si>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</si>
  <si>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</si>
  <si>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</si>
  <si>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</si>
  <si>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</si>
  <si>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</si>
  <si>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</si>
  <si>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</si>
  <si>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</si>
  <si>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</si>
  <si>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</si>
  <si>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</si>
  <si>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</si>
  <si>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</si>
  <si>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</si>
  <si>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</si>
  <si>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</si>
  <si>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</si>
  <si>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</si>
  <si>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</si>
  <si>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</si>
  <si>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</si>
  <si>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</si>
  <si>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</si>
  <si>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</si>
  <si>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</si>
  <si>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</si>
  <si>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</si>
  <si>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</si>
  <si>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</si>
  <si>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</si>
  <si>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</si>
  <si>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</si>
  <si>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</si>
  <si>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</si>
  <si>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</si>
  <si>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</si>
  <si>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</si>
  <si>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</si>
  <si>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</si>
  <si>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</si>
  <si>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</si>
  <si>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</si>
  <si>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</si>
  <si>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</si>
  <si>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</si>
  <si>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</si>
  <si>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</si>
  <si>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</si>
  <si>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</si>
  <si>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</si>
  <si>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</si>
  <si>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</si>
  <si>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</si>
  <si>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</si>
  <si>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</si>
  <si>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</si>
  <si>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</si>
  <si>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</si>
  <si>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</si>
  <si>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</si>
  <si>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</si>
  <si>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</si>
  <si>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</si>
  <si>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</si>
  <si>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</si>
  <si>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</si>
  <si>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</si>
  <si>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</si>
  <si>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</si>
  <si>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</si>
  <si>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</si>
  <si>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</si>
  <si>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</si>
  <si>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</si>
  <si>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</si>
  <si>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</si>
  <si>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</si>
  <si>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</si>
  <si>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</si>
  <si>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</si>
  <si>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</si>
  <si>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</si>
  <si>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</si>
  <si>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</si>
  <si>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</si>
  <si>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</si>
  <si>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</si>
  <si>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</si>
  <si>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</si>
  <si>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</si>
  <si>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</si>
  <si>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</si>
  <si>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</si>
  <si>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</si>
  <si>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</si>
  <si>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</si>
  <si>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</si>
  <si>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</si>
  <si>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</si>
  <si>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</si>
  <si>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</si>
  <si>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</si>
  <si>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</si>
  <si>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</si>
  <si>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</si>
  <si>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</si>
  <si>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</si>
  <si>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</si>
  <si>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</si>
  <si>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</si>
  <si>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</si>
  <si>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</si>
  <si>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</si>
  <si>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</si>
  <si>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</si>
  <si>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</si>
  <si>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</si>
  <si>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</si>
  <si>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</si>
  <si>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</si>
  <si>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</si>
  <si>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</si>
  <si>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</si>
  <si>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</si>
  <si>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</si>
  <si>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</si>
  <si>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</si>
  <si>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44043</t>
  </si>
  <si>
    <t>MERELBEKE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</si>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</sst>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44043</v>
      </c>
      <c r="B6" s="394"/>
      <c r="C6" s="395"/>
    </row>
    <row r="7" spans="1:7" s="392" customFormat="1" ht="15.75" customHeight="1">
      <c r="A7" s="396" t="str">
        <f>txtMunicipality</f>
        <v>MERELBEKE</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72386.037816271928</v>
      </c>
      <c r="D10" s="684">
        <f ca="1">tertiair!C16</f>
        <v>0</v>
      </c>
      <c r="E10" s="684">
        <f ca="1">tertiair!D16</f>
        <v>49796.991310676873</v>
      </c>
      <c r="F10" s="684">
        <f>tertiair!E16</f>
        <v>237.23911688569606</v>
      </c>
      <c r="G10" s="684">
        <f ca="1">tertiair!F16</f>
        <v>19295.593456174178</v>
      </c>
      <c r="H10" s="684">
        <f>tertiair!G16</f>
        <v>0</v>
      </c>
      <c r="I10" s="684">
        <f>tertiair!H16</f>
        <v>0</v>
      </c>
      <c r="J10" s="684">
        <f>tertiair!I16</f>
        <v>0</v>
      </c>
      <c r="K10" s="684">
        <f>tertiair!J16</f>
        <v>0</v>
      </c>
      <c r="L10" s="684">
        <f>tertiair!K16</f>
        <v>0</v>
      </c>
      <c r="M10" s="684">
        <f ca="1">tertiair!L16</f>
        <v>0</v>
      </c>
      <c r="N10" s="684">
        <f>tertiair!M16</f>
        <v>0</v>
      </c>
      <c r="O10" s="684">
        <f ca="1">tertiair!N16</f>
        <v>2348.5657114545243</v>
      </c>
      <c r="P10" s="684">
        <f>tertiair!O16</f>
        <v>6.2533333333333339</v>
      </c>
      <c r="Q10" s="685">
        <f>tertiair!P16</f>
        <v>57.2</v>
      </c>
      <c r="R10" s="687">
        <f ca="1">SUM(C10:Q10)</f>
        <v>144127.88074479654</v>
      </c>
      <c r="S10" s="68"/>
    </row>
    <row r="11" spans="1:19" s="453" customFormat="1">
      <c r="A11" s="799" t="s">
        <v>224</v>
      </c>
      <c r="B11" s="804"/>
      <c r="C11" s="684">
        <f>huishoudens!B8</f>
        <v>48457.663238180081</v>
      </c>
      <c r="D11" s="684">
        <f>huishoudens!C8</f>
        <v>0</v>
      </c>
      <c r="E11" s="684">
        <f>huishoudens!D8</f>
        <v>100579.1694004684</v>
      </c>
      <c r="F11" s="684">
        <f>huishoudens!E8</f>
        <v>3148.7471407759735</v>
      </c>
      <c r="G11" s="684">
        <f>huishoudens!F8</f>
        <v>21568.975010808692</v>
      </c>
      <c r="H11" s="684">
        <f>huishoudens!G8</f>
        <v>0</v>
      </c>
      <c r="I11" s="684">
        <f>huishoudens!H8</f>
        <v>0</v>
      </c>
      <c r="J11" s="684">
        <f>huishoudens!I8</f>
        <v>0</v>
      </c>
      <c r="K11" s="684">
        <f>huishoudens!J8</f>
        <v>0</v>
      </c>
      <c r="L11" s="684">
        <f>huishoudens!K8</f>
        <v>0</v>
      </c>
      <c r="M11" s="684">
        <f>huishoudens!L8</f>
        <v>0</v>
      </c>
      <c r="N11" s="684">
        <f>huishoudens!M8</f>
        <v>0</v>
      </c>
      <c r="O11" s="684">
        <f>huishoudens!N8</f>
        <v>12555.923950257426</v>
      </c>
      <c r="P11" s="684">
        <f>huishoudens!O8</f>
        <v>200.10666666666668</v>
      </c>
      <c r="Q11" s="685">
        <f>huishoudens!P8</f>
        <v>362.26666666666665</v>
      </c>
      <c r="R11" s="687">
        <f>SUM(C11:Q11)</f>
        <v>186872.85207382392</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29432.213527841584</v>
      </c>
      <c r="D13" s="684">
        <f>industrie!C18</f>
        <v>0</v>
      </c>
      <c r="E13" s="684">
        <f>industrie!D18</f>
        <v>13352.817844320103</v>
      </c>
      <c r="F13" s="684">
        <f>industrie!E18</f>
        <v>268.57497615434391</v>
      </c>
      <c r="G13" s="684">
        <f>industrie!F18</f>
        <v>6894.381298841271</v>
      </c>
      <c r="H13" s="684">
        <f>industrie!G18</f>
        <v>0</v>
      </c>
      <c r="I13" s="684">
        <f>industrie!H18</f>
        <v>0</v>
      </c>
      <c r="J13" s="684">
        <f>industrie!I18</f>
        <v>0</v>
      </c>
      <c r="K13" s="684">
        <f>industrie!J18</f>
        <v>143.22406911657015</v>
      </c>
      <c r="L13" s="684">
        <f>industrie!K18</f>
        <v>0</v>
      </c>
      <c r="M13" s="684">
        <f>industrie!L18</f>
        <v>0</v>
      </c>
      <c r="N13" s="684">
        <f>industrie!M18</f>
        <v>0</v>
      </c>
      <c r="O13" s="684">
        <f>industrie!N18</f>
        <v>1095.3314962892323</v>
      </c>
      <c r="P13" s="684">
        <f>industrie!O18</f>
        <v>0</v>
      </c>
      <c r="Q13" s="685">
        <f>industrie!P18</f>
        <v>0</v>
      </c>
      <c r="R13" s="687">
        <f>SUM(C13:Q13)</f>
        <v>51186.543212563098</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150275.9145822936</v>
      </c>
      <c r="D16" s="717">
        <f t="shared" ref="D16:R16" ca="1" si="0">SUM(D9:D15)</f>
        <v>0</v>
      </c>
      <c r="E16" s="717">
        <f t="shared" ca="1" si="0"/>
        <v>163728.97855546535</v>
      </c>
      <c r="F16" s="717">
        <f t="shared" si="0"/>
        <v>3654.5612338160136</v>
      </c>
      <c r="G16" s="717">
        <f t="shared" ca="1" si="0"/>
        <v>47758.949765824138</v>
      </c>
      <c r="H16" s="717">
        <f t="shared" si="0"/>
        <v>0</v>
      </c>
      <c r="I16" s="717">
        <f t="shared" si="0"/>
        <v>0</v>
      </c>
      <c r="J16" s="717">
        <f t="shared" si="0"/>
        <v>0</v>
      </c>
      <c r="K16" s="717">
        <f t="shared" si="0"/>
        <v>143.22406911657015</v>
      </c>
      <c r="L16" s="717">
        <f t="shared" si="0"/>
        <v>0</v>
      </c>
      <c r="M16" s="717">
        <f t="shared" ca="1" si="0"/>
        <v>0</v>
      </c>
      <c r="N16" s="717">
        <f t="shared" si="0"/>
        <v>0</v>
      </c>
      <c r="O16" s="717">
        <f t="shared" ca="1" si="0"/>
        <v>15999.821158001183</v>
      </c>
      <c r="P16" s="717">
        <f t="shared" si="0"/>
        <v>206.36</v>
      </c>
      <c r="Q16" s="717">
        <f t="shared" si="0"/>
        <v>419.46666666666664</v>
      </c>
      <c r="R16" s="717">
        <f t="shared" ca="1" si="0"/>
        <v>382187.27603118354</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3356.7809171183558</v>
      </c>
      <c r="I19" s="684">
        <f>transport!H54</f>
        <v>0</v>
      </c>
      <c r="J19" s="684">
        <f>transport!I54</f>
        <v>0</v>
      </c>
      <c r="K19" s="684">
        <f>transport!J54</f>
        <v>0</v>
      </c>
      <c r="L19" s="684">
        <f>transport!K54</f>
        <v>0</v>
      </c>
      <c r="M19" s="684">
        <f>transport!L54</f>
        <v>0</v>
      </c>
      <c r="N19" s="684">
        <f>transport!M54</f>
        <v>147.28268339745929</v>
      </c>
      <c r="O19" s="684">
        <f>transport!N54</f>
        <v>0</v>
      </c>
      <c r="P19" s="684">
        <f>transport!O54</f>
        <v>0</v>
      </c>
      <c r="Q19" s="685">
        <f>transport!P54</f>
        <v>0</v>
      </c>
      <c r="R19" s="687">
        <f>SUM(C19:Q19)</f>
        <v>3504.0636005158149</v>
      </c>
      <c r="S19" s="68"/>
    </row>
    <row r="20" spans="1:19" s="453" customFormat="1">
      <c r="A20" s="799" t="s">
        <v>306</v>
      </c>
      <c r="B20" s="804"/>
      <c r="C20" s="684">
        <f>transport!B14</f>
        <v>5.5160861502078689</v>
      </c>
      <c r="D20" s="684">
        <f>transport!C14</f>
        <v>0</v>
      </c>
      <c r="E20" s="684">
        <f>transport!D14</f>
        <v>12.977553024660926</v>
      </c>
      <c r="F20" s="684">
        <f>transport!E14</f>
        <v>901.17681223958721</v>
      </c>
      <c r="G20" s="684">
        <f>transport!F14</f>
        <v>0</v>
      </c>
      <c r="H20" s="684">
        <f>transport!G14</f>
        <v>193652.32295051924</v>
      </c>
      <c r="I20" s="684">
        <f>transport!H14</f>
        <v>33628.031301262468</v>
      </c>
      <c r="J20" s="684">
        <f>transport!I14</f>
        <v>0</v>
      </c>
      <c r="K20" s="684">
        <f>transport!J14</f>
        <v>0</v>
      </c>
      <c r="L20" s="684">
        <f>transport!K14</f>
        <v>0</v>
      </c>
      <c r="M20" s="684">
        <f>transport!L14</f>
        <v>0</v>
      </c>
      <c r="N20" s="684">
        <f>transport!M14</f>
        <v>10157.034865456813</v>
      </c>
      <c r="O20" s="684">
        <f>transport!N14</f>
        <v>0</v>
      </c>
      <c r="P20" s="684">
        <f>transport!O14</f>
        <v>0</v>
      </c>
      <c r="Q20" s="685">
        <f>transport!P14</f>
        <v>0</v>
      </c>
      <c r="R20" s="687">
        <f>SUM(C20:Q20)</f>
        <v>238357.05956865297</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5.5160861502078689</v>
      </c>
      <c r="D22" s="802">
        <f t="shared" ref="D22:R22" si="1">SUM(D18:D21)</f>
        <v>0</v>
      </c>
      <c r="E22" s="802">
        <f t="shared" si="1"/>
        <v>12.977553024660926</v>
      </c>
      <c r="F22" s="802">
        <f t="shared" si="1"/>
        <v>901.17681223958721</v>
      </c>
      <c r="G22" s="802">
        <f t="shared" si="1"/>
        <v>0</v>
      </c>
      <c r="H22" s="802">
        <f t="shared" si="1"/>
        <v>197009.1038676376</v>
      </c>
      <c r="I22" s="802">
        <f t="shared" si="1"/>
        <v>33628.031301262468</v>
      </c>
      <c r="J22" s="802">
        <f t="shared" si="1"/>
        <v>0</v>
      </c>
      <c r="K22" s="802">
        <f t="shared" si="1"/>
        <v>0</v>
      </c>
      <c r="L22" s="802">
        <f t="shared" si="1"/>
        <v>0</v>
      </c>
      <c r="M22" s="802">
        <f t="shared" si="1"/>
        <v>0</v>
      </c>
      <c r="N22" s="802">
        <f t="shared" si="1"/>
        <v>10304.317548854273</v>
      </c>
      <c r="O22" s="802">
        <f t="shared" si="1"/>
        <v>0</v>
      </c>
      <c r="P22" s="802">
        <f t="shared" si="1"/>
        <v>0</v>
      </c>
      <c r="Q22" s="802">
        <f t="shared" si="1"/>
        <v>0</v>
      </c>
      <c r="R22" s="802">
        <f t="shared" si="1"/>
        <v>241861.12316916877</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2470.5409279138603</v>
      </c>
      <c r="D24" s="684">
        <f>+landbouw!C8</f>
        <v>0</v>
      </c>
      <c r="E24" s="684">
        <f>+landbouw!D8</f>
        <v>9624.7677649820998</v>
      </c>
      <c r="F24" s="684">
        <f>+landbouw!E8</f>
        <v>23.274150857669785</v>
      </c>
      <c r="G24" s="684">
        <f>+landbouw!F8</f>
        <v>8062.1949483105618</v>
      </c>
      <c r="H24" s="684">
        <f>+landbouw!G8</f>
        <v>0</v>
      </c>
      <c r="I24" s="684">
        <f>+landbouw!H8</f>
        <v>0</v>
      </c>
      <c r="J24" s="684">
        <f>+landbouw!I8</f>
        <v>0</v>
      </c>
      <c r="K24" s="684">
        <f>+landbouw!J8</f>
        <v>305.61792949170962</v>
      </c>
      <c r="L24" s="684">
        <f>+landbouw!K8</f>
        <v>0</v>
      </c>
      <c r="M24" s="684">
        <f>+landbouw!L8</f>
        <v>0</v>
      </c>
      <c r="N24" s="684">
        <f>+landbouw!M8</f>
        <v>0</v>
      </c>
      <c r="O24" s="684">
        <f>+landbouw!N8</f>
        <v>0</v>
      </c>
      <c r="P24" s="684">
        <f>+landbouw!O8</f>
        <v>0</v>
      </c>
      <c r="Q24" s="685">
        <f>+landbouw!P8</f>
        <v>0</v>
      </c>
      <c r="R24" s="687">
        <f>SUM(C24:Q24)</f>
        <v>20486.395721555898</v>
      </c>
      <c r="S24" s="68"/>
    </row>
    <row r="25" spans="1:19" s="453" customFormat="1" ht="15" thickBot="1">
      <c r="A25" s="821" t="s">
        <v>896</v>
      </c>
      <c r="B25" s="990"/>
      <c r="C25" s="991">
        <f>IF(Onbekend_ele_kWh="---",0,Onbekend_ele_kWh)/1000+IF(REST_rest_ele_kWh="---",0,REST_rest_ele_kWh)/1000</f>
        <v>1351.8936842472599</v>
      </c>
      <c r="D25" s="991"/>
      <c r="E25" s="991">
        <f>IF(onbekend_gas_kWh="---",0,onbekend_gas_kWh)/1000+IF(REST_rest_gas_kWh="---",0,REST_rest_gas_kWh)/1000</f>
        <v>5595.84944357931</v>
      </c>
      <c r="F25" s="991"/>
      <c r="G25" s="991"/>
      <c r="H25" s="991"/>
      <c r="I25" s="991"/>
      <c r="J25" s="991"/>
      <c r="K25" s="991"/>
      <c r="L25" s="991"/>
      <c r="M25" s="991"/>
      <c r="N25" s="991"/>
      <c r="O25" s="991"/>
      <c r="P25" s="991"/>
      <c r="Q25" s="992"/>
      <c r="R25" s="687">
        <f>SUM(C25:Q25)</f>
        <v>6947.7431278265703</v>
      </c>
      <c r="S25" s="68"/>
    </row>
    <row r="26" spans="1:19" s="453" customFormat="1" ht="15.75" thickBot="1">
      <c r="A26" s="690" t="s">
        <v>897</v>
      </c>
      <c r="B26" s="807"/>
      <c r="C26" s="802">
        <f>SUM(C24:C25)</f>
        <v>3822.4346121611202</v>
      </c>
      <c r="D26" s="802">
        <f t="shared" ref="D26:R26" si="2">SUM(D24:D25)</f>
        <v>0</v>
      </c>
      <c r="E26" s="802">
        <f t="shared" si="2"/>
        <v>15220.617208561409</v>
      </c>
      <c r="F26" s="802">
        <f t="shared" si="2"/>
        <v>23.274150857669785</v>
      </c>
      <c r="G26" s="802">
        <f t="shared" si="2"/>
        <v>8062.1949483105618</v>
      </c>
      <c r="H26" s="802">
        <f t="shared" si="2"/>
        <v>0</v>
      </c>
      <c r="I26" s="802">
        <f t="shared" si="2"/>
        <v>0</v>
      </c>
      <c r="J26" s="802">
        <f t="shared" si="2"/>
        <v>0</v>
      </c>
      <c r="K26" s="802">
        <f t="shared" si="2"/>
        <v>305.61792949170962</v>
      </c>
      <c r="L26" s="802">
        <f t="shared" si="2"/>
        <v>0</v>
      </c>
      <c r="M26" s="802">
        <f t="shared" si="2"/>
        <v>0</v>
      </c>
      <c r="N26" s="802">
        <f t="shared" si="2"/>
        <v>0</v>
      </c>
      <c r="O26" s="802">
        <f t="shared" si="2"/>
        <v>0</v>
      </c>
      <c r="P26" s="802">
        <f t="shared" si="2"/>
        <v>0</v>
      </c>
      <c r="Q26" s="802">
        <f t="shared" si="2"/>
        <v>0</v>
      </c>
      <c r="R26" s="802">
        <f t="shared" si="2"/>
        <v>27434.138849382471</v>
      </c>
      <c r="S26" s="68"/>
    </row>
    <row r="27" spans="1:19" s="453" customFormat="1" ht="17.25" thickTop="1" thickBot="1">
      <c r="A27" s="691" t="s">
        <v>115</v>
      </c>
      <c r="B27" s="794"/>
      <c r="C27" s="692">
        <f ca="1">C22+C16+C26</f>
        <v>154103.86528060492</v>
      </c>
      <c r="D27" s="692">
        <f t="shared" ref="D27:R27" ca="1" si="3">D22+D16+D26</f>
        <v>0</v>
      </c>
      <c r="E27" s="692">
        <f t="shared" ca="1" si="3"/>
        <v>178962.5733170514</v>
      </c>
      <c r="F27" s="692">
        <f t="shared" si="3"/>
        <v>4579.0121969132706</v>
      </c>
      <c r="G27" s="692">
        <f t="shared" ca="1" si="3"/>
        <v>55821.144714134702</v>
      </c>
      <c r="H27" s="692">
        <f t="shared" si="3"/>
        <v>197009.1038676376</v>
      </c>
      <c r="I27" s="692">
        <f t="shared" si="3"/>
        <v>33628.031301262468</v>
      </c>
      <c r="J27" s="692">
        <f t="shared" si="3"/>
        <v>0</v>
      </c>
      <c r="K27" s="692">
        <f t="shared" si="3"/>
        <v>448.84199860827977</v>
      </c>
      <c r="L27" s="692">
        <f t="shared" si="3"/>
        <v>0</v>
      </c>
      <c r="M27" s="692">
        <f t="shared" ca="1" si="3"/>
        <v>0</v>
      </c>
      <c r="N27" s="692">
        <f t="shared" si="3"/>
        <v>10304.317548854273</v>
      </c>
      <c r="O27" s="692">
        <f t="shared" ca="1" si="3"/>
        <v>15999.821158001183</v>
      </c>
      <c r="P27" s="692">
        <f t="shared" si="3"/>
        <v>206.36</v>
      </c>
      <c r="Q27" s="692">
        <f t="shared" si="3"/>
        <v>419.46666666666664</v>
      </c>
      <c r="R27" s="692">
        <f t="shared" ca="1" si="3"/>
        <v>651482.5380497349</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15594.374898065566</v>
      </c>
      <c r="D40" s="684">
        <f ca="1">tertiair!C20</f>
        <v>0</v>
      </c>
      <c r="E40" s="684">
        <f ca="1">tertiair!D20</f>
        <v>10058.99224475673</v>
      </c>
      <c r="F40" s="684">
        <f>tertiair!E20</f>
        <v>53.853279533053005</v>
      </c>
      <c r="G40" s="684">
        <f ca="1">tertiair!F20</f>
        <v>5151.9234527985054</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30859.143875153855</v>
      </c>
    </row>
    <row r="41" spans="1:18">
      <c r="A41" s="812" t="s">
        <v>224</v>
      </c>
      <c r="B41" s="819"/>
      <c r="C41" s="684">
        <f ca="1">huishoudens!B12</f>
        <v>10439.402266199473</v>
      </c>
      <c r="D41" s="684">
        <f ca="1">huishoudens!C12</f>
        <v>0</v>
      </c>
      <c r="E41" s="684">
        <f>huishoudens!D12</f>
        <v>20316.992218894618</v>
      </c>
      <c r="F41" s="684">
        <f>huishoudens!E12</f>
        <v>714.76560095614605</v>
      </c>
      <c r="G41" s="684">
        <f>huishoudens!F12</f>
        <v>5758.9163278859214</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37230.076413936156</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6340.6837240911027</v>
      </c>
      <c r="D43" s="684">
        <f ca="1">industrie!C22</f>
        <v>0</v>
      </c>
      <c r="E43" s="684">
        <f>industrie!D22</f>
        <v>2697.269204552661</v>
      </c>
      <c r="F43" s="684">
        <f>industrie!E22</f>
        <v>60.966519587036068</v>
      </c>
      <c r="G43" s="684">
        <f>industrie!F22</f>
        <v>1840.7998067906194</v>
      </c>
      <c r="H43" s="684">
        <f>industrie!G22</f>
        <v>0</v>
      </c>
      <c r="I43" s="684">
        <f>industrie!H22</f>
        <v>0</v>
      </c>
      <c r="J43" s="684">
        <f>industrie!I22</f>
        <v>0</v>
      </c>
      <c r="K43" s="684">
        <f>industrie!J22</f>
        <v>50.70132046726583</v>
      </c>
      <c r="L43" s="684">
        <f>industrie!K22</f>
        <v>0</v>
      </c>
      <c r="M43" s="684">
        <f>industrie!L22</f>
        <v>0</v>
      </c>
      <c r="N43" s="684">
        <f>industrie!M22</f>
        <v>0</v>
      </c>
      <c r="O43" s="684">
        <f>industrie!N22</f>
        <v>0</v>
      </c>
      <c r="P43" s="684">
        <f>industrie!O22</f>
        <v>0</v>
      </c>
      <c r="Q43" s="759">
        <f>industrie!P22</f>
        <v>0</v>
      </c>
      <c r="R43" s="839">
        <f t="shared" ca="1" si="4"/>
        <v>10990.420575488686</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32374.460888356145</v>
      </c>
      <c r="D46" s="717">
        <f t="shared" ref="D46:Q46" ca="1" si="5">SUM(D39:D45)</f>
        <v>0</v>
      </c>
      <c r="E46" s="717">
        <f t="shared" ca="1" si="5"/>
        <v>33073.253668204008</v>
      </c>
      <c r="F46" s="717">
        <f t="shared" si="5"/>
        <v>829.58540007623503</v>
      </c>
      <c r="G46" s="717">
        <f t="shared" ca="1" si="5"/>
        <v>12751.639587475045</v>
      </c>
      <c r="H46" s="717">
        <f t="shared" si="5"/>
        <v>0</v>
      </c>
      <c r="I46" s="717">
        <f t="shared" si="5"/>
        <v>0</v>
      </c>
      <c r="J46" s="717">
        <f t="shared" si="5"/>
        <v>0</v>
      </c>
      <c r="K46" s="717">
        <f t="shared" si="5"/>
        <v>50.70132046726583</v>
      </c>
      <c r="L46" s="717">
        <f t="shared" si="5"/>
        <v>0</v>
      </c>
      <c r="M46" s="717">
        <f t="shared" ca="1" si="5"/>
        <v>0</v>
      </c>
      <c r="N46" s="717">
        <f t="shared" si="5"/>
        <v>0</v>
      </c>
      <c r="O46" s="717">
        <f t="shared" ca="1" si="5"/>
        <v>0</v>
      </c>
      <c r="P46" s="717">
        <f t="shared" si="5"/>
        <v>0</v>
      </c>
      <c r="Q46" s="717">
        <f t="shared" si="5"/>
        <v>0</v>
      </c>
      <c r="R46" s="717">
        <f ca="1">SUM(R39:R45)</f>
        <v>79079.640864578687</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896.26050487060104</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896.26050487060104</v>
      </c>
    </row>
    <row r="50" spans="1:18">
      <c r="A50" s="815" t="s">
        <v>306</v>
      </c>
      <c r="B50" s="825"/>
      <c r="C50" s="997">
        <f ca="1">transport!B18</f>
        <v>1.188349549048421</v>
      </c>
      <c r="D50" s="997">
        <f>transport!C18</f>
        <v>0</v>
      </c>
      <c r="E50" s="997">
        <f>transport!D18</f>
        <v>2.6214657109815072</v>
      </c>
      <c r="F50" s="997">
        <f>transport!E18</f>
        <v>204.56713637838629</v>
      </c>
      <c r="G50" s="997">
        <f>transport!F18</f>
        <v>0</v>
      </c>
      <c r="H50" s="997">
        <f>transport!G18</f>
        <v>51705.170227788643</v>
      </c>
      <c r="I50" s="997">
        <f>transport!H18</f>
        <v>8373.379794014354</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60286.926973441412</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1.188349549048421</v>
      </c>
      <c r="D52" s="717">
        <f t="shared" ref="D52:Q52" ca="1" si="6">SUM(D48:D51)</f>
        <v>0</v>
      </c>
      <c r="E52" s="717">
        <f t="shared" si="6"/>
        <v>2.6214657109815072</v>
      </c>
      <c r="F52" s="717">
        <f t="shared" si="6"/>
        <v>204.56713637838629</v>
      </c>
      <c r="G52" s="717">
        <f t="shared" si="6"/>
        <v>0</v>
      </c>
      <c r="H52" s="717">
        <f t="shared" si="6"/>
        <v>52601.430732659246</v>
      </c>
      <c r="I52" s="717">
        <f t="shared" si="6"/>
        <v>8373.379794014354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61183.187478312015</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532.23719094406601</v>
      </c>
      <c r="D54" s="997">
        <f ca="1">+landbouw!C12</f>
        <v>0</v>
      </c>
      <c r="E54" s="997">
        <f>+landbouw!D12</f>
        <v>1944.2030885263844</v>
      </c>
      <c r="F54" s="997">
        <f>+landbouw!E12</f>
        <v>5.2832322446910416</v>
      </c>
      <c r="G54" s="997">
        <f>+landbouw!F12</f>
        <v>2152.6060511989203</v>
      </c>
      <c r="H54" s="997">
        <f>+landbouw!G12</f>
        <v>0</v>
      </c>
      <c r="I54" s="997">
        <f>+landbouw!H12</f>
        <v>0</v>
      </c>
      <c r="J54" s="997">
        <f>+landbouw!I12</f>
        <v>0</v>
      </c>
      <c r="K54" s="997">
        <f>+landbouw!J12</f>
        <v>108.18874704006519</v>
      </c>
      <c r="L54" s="997">
        <f>+landbouw!K12</f>
        <v>0</v>
      </c>
      <c r="M54" s="997">
        <f>+landbouw!L12</f>
        <v>0</v>
      </c>
      <c r="N54" s="997">
        <f>+landbouw!M12</f>
        <v>0</v>
      </c>
      <c r="O54" s="997">
        <f>+landbouw!N12</f>
        <v>0</v>
      </c>
      <c r="P54" s="997">
        <f>+landbouw!O12</f>
        <v>0</v>
      </c>
      <c r="Q54" s="998">
        <f>+landbouw!P12</f>
        <v>0</v>
      </c>
      <c r="R54" s="716">
        <f ca="1">SUM(C54:Q54)</f>
        <v>4742.5183099541264</v>
      </c>
    </row>
    <row r="55" spans="1:18" ht="15" thickBot="1">
      <c r="A55" s="815" t="s">
        <v>896</v>
      </c>
      <c r="B55" s="825"/>
      <c r="C55" s="997">
        <f ca="1">C25*'EF ele_warmte'!B12</f>
        <v>291.24313984401778</v>
      </c>
      <c r="D55" s="997"/>
      <c r="E55" s="997">
        <f>E25*EF_CO2_aardgas</f>
        <v>1130.3615876030208</v>
      </c>
      <c r="F55" s="997"/>
      <c r="G55" s="997"/>
      <c r="H55" s="997"/>
      <c r="I55" s="997"/>
      <c r="J55" s="997"/>
      <c r="K55" s="997"/>
      <c r="L55" s="997"/>
      <c r="M55" s="997"/>
      <c r="N55" s="997"/>
      <c r="O55" s="997"/>
      <c r="P55" s="997"/>
      <c r="Q55" s="998"/>
      <c r="R55" s="716">
        <f ca="1">SUM(C55:Q55)</f>
        <v>1421.6047274470386</v>
      </c>
    </row>
    <row r="56" spans="1:18" ht="15.75" thickBot="1">
      <c r="A56" s="813" t="s">
        <v>897</v>
      </c>
      <c r="B56" s="826"/>
      <c r="C56" s="717">
        <f ca="1">SUM(C54:C55)</f>
        <v>823.48033078808385</v>
      </c>
      <c r="D56" s="717">
        <f t="shared" ref="D56:Q56" ca="1" si="7">SUM(D54:D55)</f>
        <v>0</v>
      </c>
      <c r="E56" s="717">
        <f t="shared" si="7"/>
        <v>3074.5646761294051</v>
      </c>
      <c r="F56" s="717">
        <f t="shared" si="7"/>
        <v>5.2832322446910416</v>
      </c>
      <c r="G56" s="717">
        <f t="shared" si="7"/>
        <v>2152.6060511989203</v>
      </c>
      <c r="H56" s="717">
        <f t="shared" si="7"/>
        <v>0</v>
      </c>
      <c r="I56" s="717">
        <f t="shared" si="7"/>
        <v>0</v>
      </c>
      <c r="J56" s="717">
        <f t="shared" si="7"/>
        <v>0</v>
      </c>
      <c r="K56" s="717">
        <f t="shared" si="7"/>
        <v>108.18874704006519</v>
      </c>
      <c r="L56" s="717">
        <f t="shared" si="7"/>
        <v>0</v>
      </c>
      <c r="M56" s="717">
        <f t="shared" si="7"/>
        <v>0</v>
      </c>
      <c r="N56" s="717">
        <f t="shared" si="7"/>
        <v>0</v>
      </c>
      <c r="O56" s="717">
        <f t="shared" si="7"/>
        <v>0</v>
      </c>
      <c r="P56" s="717">
        <f t="shared" si="7"/>
        <v>0</v>
      </c>
      <c r="Q56" s="718">
        <f t="shared" si="7"/>
        <v>0</v>
      </c>
      <c r="R56" s="719">
        <f ca="1">SUM(R54:R55)</f>
        <v>6164.1230374011648</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33199.129568693279</v>
      </c>
      <c r="D61" s="725">
        <f t="shared" ref="D61:Q61" ca="1" si="8">D46+D52+D56</f>
        <v>0</v>
      </c>
      <c r="E61" s="725">
        <f t="shared" ca="1" si="8"/>
        <v>36150.439810044394</v>
      </c>
      <c r="F61" s="725">
        <f t="shared" si="8"/>
        <v>1039.4357686993126</v>
      </c>
      <c r="G61" s="725">
        <f t="shared" ca="1" si="8"/>
        <v>14904.245638673965</v>
      </c>
      <c r="H61" s="725">
        <f t="shared" si="8"/>
        <v>52601.430732659246</v>
      </c>
      <c r="I61" s="725">
        <f t="shared" si="8"/>
        <v>8373.379794014354</v>
      </c>
      <c r="J61" s="725">
        <f t="shared" si="8"/>
        <v>0</v>
      </c>
      <c r="K61" s="725">
        <f t="shared" si="8"/>
        <v>158.89006750733103</v>
      </c>
      <c r="L61" s="725">
        <f t="shared" si="8"/>
        <v>0</v>
      </c>
      <c r="M61" s="725">
        <f t="shared" ca="1" si="8"/>
        <v>0</v>
      </c>
      <c r="N61" s="725">
        <f t="shared" si="8"/>
        <v>0</v>
      </c>
      <c r="O61" s="725">
        <f t="shared" ca="1" si="8"/>
        <v>0</v>
      </c>
      <c r="P61" s="725">
        <f t="shared" si="8"/>
        <v>0</v>
      </c>
      <c r="Q61" s="725">
        <f t="shared" si="8"/>
        <v>0</v>
      </c>
      <c r="R61" s="725">
        <f ca="1">R46+R52+R56</f>
        <v>146426.9513802919</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0.21543346436016766</v>
      </c>
      <c r="D63" s="769">
        <f t="shared" ca="1" si="9"/>
        <v>0</v>
      </c>
      <c r="E63" s="999">
        <f t="shared" ca="1" si="9"/>
        <v>0.20200000000000007</v>
      </c>
      <c r="F63" s="769">
        <f t="shared" si="9"/>
        <v>0.22700000000000004</v>
      </c>
      <c r="G63" s="769">
        <f t="shared" ca="1" si="9"/>
        <v>0.26700000000000002</v>
      </c>
      <c r="H63" s="769">
        <f t="shared" si="9"/>
        <v>0.26700000000000002</v>
      </c>
      <c r="I63" s="769">
        <f t="shared" si="9"/>
        <v>0.24899999999999997</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3881.5595399114072</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3881.5595399114072</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48457.663238180081</v>
      </c>
      <c r="C4" s="457">
        <f>huishoudens!C8</f>
        <v>0</v>
      </c>
      <c r="D4" s="457">
        <f>huishoudens!D8</f>
        <v>100579.1694004684</v>
      </c>
      <c r="E4" s="457">
        <f>huishoudens!E8</f>
        <v>3148.7471407759735</v>
      </c>
      <c r="F4" s="457">
        <f>huishoudens!F8</f>
        <v>21568.975010808692</v>
      </c>
      <c r="G4" s="457">
        <f>huishoudens!G8</f>
        <v>0</v>
      </c>
      <c r="H4" s="457">
        <f>huishoudens!H8</f>
        <v>0</v>
      </c>
      <c r="I4" s="457">
        <f>huishoudens!I8</f>
        <v>0</v>
      </c>
      <c r="J4" s="457">
        <f>huishoudens!J8</f>
        <v>0</v>
      </c>
      <c r="K4" s="457">
        <f>huishoudens!K8</f>
        <v>0</v>
      </c>
      <c r="L4" s="457">
        <f>huishoudens!L8</f>
        <v>0</v>
      </c>
      <c r="M4" s="457">
        <f>huishoudens!M8</f>
        <v>0</v>
      </c>
      <c r="N4" s="457">
        <f>huishoudens!N8</f>
        <v>12555.923950257426</v>
      </c>
      <c r="O4" s="457">
        <f>huishoudens!O8</f>
        <v>200.10666666666668</v>
      </c>
      <c r="P4" s="458">
        <f>huishoudens!P8</f>
        <v>362.26666666666665</v>
      </c>
      <c r="Q4" s="459">
        <f>SUM(B4:P4)</f>
        <v>186872.85207382392</v>
      </c>
    </row>
    <row r="5" spans="1:17">
      <c r="A5" s="456" t="s">
        <v>155</v>
      </c>
      <c r="B5" s="457">
        <f ca="1">tertiair!B16</f>
        <v>70519.054816271935</v>
      </c>
      <c r="C5" s="457">
        <f ca="1">tertiair!C16</f>
        <v>0</v>
      </c>
      <c r="D5" s="457">
        <f ca="1">tertiair!D16</f>
        <v>49796.991310676873</v>
      </c>
      <c r="E5" s="457">
        <f>tertiair!E16</f>
        <v>237.23911688569606</v>
      </c>
      <c r="F5" s="457">
        <f ca="1">tertiair!F16</f>
        <v>19295.593456174178</v>
      </c>
      <c r="G5" s="457">
        <f>tertiair!G16</f>
        <v>0</v>
      </c>
      <c r="H5" s="457">
        <f>tertiair!H16</f>
        <v>0</v>
      </c>
      <c r="I5" s="457">
        <f>tertiair!I16</f>
        <v>0</v>
      </c>
      <c r="J5" s="457">
        <f>tertiair!J16</f>
        <v>0</v>
      </c>
      <c r="K5" s="457">
        <f>tertiair!K16</f>
        <v>0</v>
      </c>
      <c r="L5" s="457">
        <f ca="1">tertiair!L16</f>
        <v>0</v>
      </c>
      <c r="M5" s="457">
        <f>tertiair!M16</f>
        <v>0</v>
      </c>
      <c r="N5" s="457">
        <f ca="1">tertiair!N16</f>
        <v>2348.5657114545243</v>
      </c>
      <c r="O5" s="457">
        <f>tertiair!O16</f>
        <v>6.2533333333333339</v>
      </c>
      <c r="P5" s="458">
        <f>tertiair!P16</f>
        <v>57.2</v>
      </c>
      <c r="Q5" s="456">
        <f t="shared" ref="Q5:Q14" ca="1" si="0">SUM(B5:P5)</f>
        <v>142260.89774479656</v>
      </c>
    </row>
    <row r="6" spans="1:17">
      <c r="A6" s="456" t="s">
        <v>193</v>
      </c>
      <c r="B6" s="457">
        <f>'openbare verlichting'!B8</f>
        <v>1866.9829999999999</v>
      </c>
      <c r="C6" s="457"/>
      <c r="D6" s="457"/>
      <c r="E6" s="457"/>
      <c r="F6" s="457"/>
      <c r="G6" s="457"/>
      <c r="H6" s="457"/>
      <c r="I6" s="457"/>
      <c r="J6" s="457"/>
      <c r="K6" s="457"/>
      <c r="L6" s="457"/>
      <c r="M6" s="457"/>
      <c r="N6" s="457"/>
      <c r="O6" s="457"/>
      <c r="P6" s="458"/>
      <c r="Q6" s="456">
        <f t="shared" si="0"/>
        <v>1866.9829999999999</v>
      </c>
    </row>
    <row r="7" spans="1:17">
      <c r="A7" s="456" t="s">
        <v>111</v>
      </c>
      <c r="B7" s="457">
        <f>landbouw!B8</f>
        <v>2470.5409279138603</v>
      </c>
      <c r="C7" s="457">
        <f>landbouw!C8</f>
        <v>0</v>
      </c>
      <c r="D7" s="457">
        <f>landbouw!D8</f>
        <v>9624.7677649820998</v>
      </c>
      <c r="E7" s="457">
        <f>landbouw!E8</f>
        <v>23.274150857669785</v>
      </c>
      <c r="F7" s="457">
        <f>landbouw!F8</f>
        <v>8062.1949483105618</v>
      </c>
      <c r="G7" s="457">
        <f>landbouw!G8</f>
        <v>0</v>
      </c>
      <c r="H7" s="457">
        <f>landbouw!H8</f>
        <v>0</v>
      </c>
      <c r="I7" s="457">
        <f>landbouw!I8</f>
        <v>0</v>
      </c>
      <c r="J7" s="457">
        <f>landbouw!J8</f>
        <v>305.61792949170962</v>
      </c>
      <c r="K7" s="457">
        <f>landbouw!K8</f>
        <v>0</v>
      </c>
      <c r="L7" s="457">
        <f>landbouw!L8</f>
        <v>0</v>
      </c>
      <c r="M7" s="457">
        <f>landbouw!M8</f>
        <v>0</v>
      </c>
      <c r="N7" s="457">
        <f>landbouw!N8</f>
        <v>0</v>
      </c>
      <c r="O7" s="457">
        <f>landbouw!O8</f>
        <v>0</v>
      </c>
      <c r="P7" s="458">
        <f>landbouw!P8</f>
        <v>0</v>
      </c>
      <c r="Q7" s="456">
        <f t="shared" si="0"/>
        <v>20486.395721555898</v>
      </c>
    </row>
    <row r="8" spans="1:17">
      <c r="A8" s="456" t="s">
        <v>682</v>
      </c>
      <c r="B8" s="457">
        <f>industrie!B18</f>
        <v>29432.213527841584</v>
      </c>
      <c r="C8" s="457">
        <f>industrie!C18</f>
        <v>0</v>
      </c>
      <c r="D8" s="457">
        <f>industrie!D18</f>
        <v>13352.817844320103</v>
      </c>
      <c r="E8" s="457">
        <f>industrie!E18</f>
        <v>268.57497615434391</v>
      </c>
      <c r="F8" s="457">
        <f>industrie!F18</f>
        <v>6894.381298841271</v>
      </c>
      <c r="G8" s="457">
        <f>industrie!G18</f>
        <v>0</v>
      </c>
      <c r="H8" s="457">
        <f>industrie!H18</f>
        <v>0</v>
      </c>
      <c r="I8" s="457">
        <f>industrie!I18</f>
        <v>0</v>
      </c>
      <c r="J8" s="457">
        <f>industrie!J18</f>
        <v>143.22406911657015</v>
      </c>
      <c r="K8" s="457">
        <f>industrie!K18</f>
        <v>0</v>
      </c>
      <c r="L8" s="457">
        <f>industrie!L18</f>
        <v>0</v>
      </c>
      <c r="M8" s="457">
        <f>industrie!M18</f>
        <v>0</v>
      </c>
      <c r="N8" s="457">
        <f>industrie!N18</f>
        <v>1095.3314962892323</v>
      </c>
      <c r="O8" s="457">
        <f>industrie!O18</f>
        <v>0</v>
      </c>
      <c r="P8" s="458">
        <f>industrie!P18</f>
        <v>0</v>
      </c>
      <c r="Q8" s="456">
        <f t="shared" si="0"/>
        <v>51186.543212563098</v>
      </c>
    </row>
    <row r="9" spans="1:17" s="462" customFormat="1">
      <c r="A9" s="460" t="s">
        <v>578</v>
      </c>
      <c r="B9" s="461">
        <f>transport!B14</f>
        <v>5.5160861502078689</v>
      </c>
      <c r="C9" s="461">
        <f>transport!C14</f>
        <v>0</v>
      </c>
      <c r="D9" s="461">
        <f>transport!D14</f>
        <v>12.977553024660926</v>
      </c>
      <c r="E9" s="461">
        <f>transport!E14</f>
        <v>901.17681223958721</v>
      </c>
      <c r="F9" s="461">
        <f>transport!F14</f>
        <v>0</v>
      </c>
      <c r="G9" s="461">
        <f>transport!G14</f>
        <v>193652.32295051924</v>
      </c>
      <c r="H9" s="461">
        <f>transport!H14</f>
        <v>33628.031301262468</v>
      </c>
      <c r="I9" s="461">
        <f>transport!I14</f>
        <v>0</v>
      </c>
      <c r="J9" s="461">
        <f>transport!J14</f>
        <v>0</v>
      </c>
      <c r="K9" s="461">
        <f>transport!K14</f>
        <v>0</v>
      </c>
      <c r="L9" s="461">
        <f>transport!L14</f>
        <v>0</v>
      </c>
      <c r="M9" s="461">
        <f>transport!M14</f>
        <v>10157.034865456813</v>
      </c>
      <c r="N9" s="461">
        <f>transport!N14</f>
        <v>0</v>
      </c>
      <c r="O9" s="461">
        <f>transport!O14</f>
        <v>0</v>
      </c>
      <c r="P9" s="461">
        <f>transport!P14</f>
        <v>0</v>
      </c>
      <c r="Q9" s="460">
        <f>SUM(B9:P9)</f>
        <v>238357.05956865297</v>
      </c>
    </row>
    <row r="10" spans="1:17">
      <c r="A10" s="456" t="s">
        <v>568</v>
      </c>
      <c r="B10" s="457">
        <f>transport!B54</f>
        <v>0</v>
      </c>
      <c r="C10" s="457">
        <f>transport!C54</f>
        <v>0</v>
      </c>
      <c r="D10" s="457">
        <f>transport!D54</f>
        <v>0</v>
      </c>
      <c r="E10" s="457">
        <f>transport!E54</f>
        <v>0</v>
      </c>
      <c r="F10" s="457">
        <f>transport!F54</f>
        <v>0</v>
      </c>
      <c r="G10" s="457">
        <f>transport!G54</f>
        <v>3356.7809171183558</v>
      </c>
      <c r="H10" s="457">
        <f>transport!H54</f>
        <v>0</v>
      </c>
      <c r="I10" s="457">
        <f>transport!I54</f>
        <v>0</v>
      </c>
      <c r="J10" s="457">
        <f>transport!J54</f>
        <v>0</v>
      </c>
      <c r="K10" s="457">
        <f>transport!K54</f>
        <v>0</v>
      </c>
      <c r="L10" s="457">
        <f>transport!L54</f>
        <v>0</v>
      </c>
      <c r="M10" s="457">
        <f>transport!M54</f>
        <v>147.28268339745929</v>
      </c>
      <c r="N10" s="457">
        <f>transport!N54</f>
        <v>0</v>
      </c>
      <c r="O10" s="457">
        <f>transport!O54</f>
        <v>0</v>
      </c>
      <c r="P10" s="458">
        <f>transport!P54</f>
        <v>0</v>
      </c>
      <c r="Q10" s="456">
        <f t="shared" si="0"/>
        <v>3504.0636005158149</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1351.8936842472599</v>
      </c>
      <c r="C14" s="464"/>
      <c r="D14" s="464">
        <f>'SEAP template'!E25</f>
        <v>5595.84944357931</v>
      </c>
      <c r="E14" s="464"/>
      <c r="F14" s="464"/>
      <c r="G14" s="464"/>
      <c r="H14" s="464"/>
      <c r="I14" s="464"/>
      <c r="J14" s="464"/>
      <c r="K14" s="464"/>
      <c r="L14" s="464"/>
      <c r="M14" s="464"/>
      <c r="N14" s="464"/>
      <c r="O14" s="464"/>
      <c r="P14" s="465"/>
      <c r="Q14" s="456">
        <f t="shared" si="0"/>
        <v>6947.7431278265703</v>
      </c>
    </row>
    <row r="15" spans="1:17" s="469" customFormat="1">
      <c r="A15" s="466" t="s">
        <v>572</v>
      </c>
      <c r="B15" s="467">
        <f ca="1">SUM(B4:B14)</f>
        <v>154103.86528060489</v>
      </c>
      <c r="C15" s="467">
        <f t="shared" ref="C15:Q15" ca="1" si="1">SUM(C4:C14)</f>
        <v>0</v>
      </c>
      <c r="D15" s="467">
        <f t="shared" ca="1" si="1"/>
        <v>178962.57331705143</v>
      </c>
      <c r="E15" s="467">
        <f t="shared" si="1"/>
        <v>4579.0121969132706</v>
      </c>
      <c r="F15" s="467">
        <f t="shared" ca="1" si="1"/>
        <v>55821.144714134702</v>
      </c>
      <c r="G15" s="467">
        <f t="shared" si="1"/>
        <v>197009.1038676376</v>
      </c>
      <c r="H15" s="467">
        <f t="shared" si="1"/>
        <v>33628.031301262468</v>
      </c>
      <c r="I15" s="467">
        <f t="shared" si="1"/>
        <v>0</v>
      </c>
      <c r="J15" s="467">
        <f t="shared" si="1"/>
        <v>448.84199860827977</v>
      </c>
      <c r="K15" s="467">
        <f t="shared" si="1"/>
        <v>0</v>
      </c>
      <c r="L15" s="467">
        <f t="shared" ca="1" si="1"/>
        <v>0</v>
      </c>
      <c r="M15" s="467">
        <f t="shared" si="1"/>
        <v>10304.317548854273</v>
      </c>
      <c r="N15" s="467">
        <f t="shared" ca="1" si="1"/>
        <v>15999.821158001183</v>
      </c>
      <c r="O15" s="467">
        <f t="shared" si="1"/>
        <v>206.36</v>
      </c>
      <c r="P15" s="467">
        <f t="shared" si="1"/>
        <v>419.46666666666664</v>
      </c>
      <c r="Q15" s="467">
        <f t="shared" ca="1" si="1"/>
        <v>651482.5380497349</v>
      </c>
    </row>
    <row r="17" spans="1:17">
      <c r="A17" s="470" t="s">
        <v>573</v>
      </c>
      <c r="B17" s="774">
        <f ca="1">huishoudens!B10</f>
        <v>0.21543346436016761</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10439.402266199473</v>
      </c>
      <c r="C22" s="457">
        <f t="shared" ref="C22:C32" ca="1" si="3">C4*$C$17</f>
        <v>0</v>
      </c>
      <c r="D22" s="457">
        <f t="shared" ref="D22:D32" si="4">D4*$D$17</f>
        <v>20316.992218894618</v>
      </c>
      <c r="E22" s="457">
        <f t="shared" ref="E22:E32" si="5">E4*$E$17</f>
        <v>714.76560095614605</v>
      </c>
      <c r="F22" s="457">
        <f t="shared" ref="F22:F32" si="6">F4*$F$17</f>
        <v>5758.9163278859214</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37230.076413936156</v>
      </c>
    </row>
    <row r="23" spans="1:17">
      <c r="A23" s="456" t="s">
        <v>155</v>
      </c>
      <c r="B23" s="457">
        <f t="shared" ca="1" si="2"/>
        <v>15192.164282474027</v>
      </c>
      <c r="C23" s="457">
        <f t="shared" ca="1" si="3"/>
        <v>0</v>
      </c>
      <c r="D23" s="457">
        <f t="shared" ca="1" si="4"/>
        <v>10058.99224475673</v>
      </c>
      <c r="E23" s="457">
        <f t="shared" si="5"/>
        <v>53.853279533053005</v>
      </c>
      <c r="F23" s="457">
        <f t="shared" ca="1" si="6"/>
        <v>5151.9234527985054</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30456.933259562316</v>
      </c>
    </row>
    <row r="24" spans="1:17">
      <c r="A24" s="456" t="s">
        <v>193</v>
      </c>
      <c r="B24" s="457">
        <f t="shared" ca="1" si="2"/>
        <v>402.21061559153878</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402.21061559153878</v>
      </c>
    </row>
    <row r="25" spans="1:17">
      <c r="A25" s="456" t="s">
        <v>111</v>
      </c>
      <c r="B25" s="457">
        <f t="shared" ca="1" si="2"/>
        <v>532.23719094406601</v>
      </c>
      <c r="C25" s="457">
        <f t="shared" ca="1" si="3"/>
        <v>0</v>
      </c>
      <c r="D25" s="457">
        <f t="shared" si="4"/>
        <v>1944.2030885263844</v>
      </c>
      <c r="E25" s="457">
        <f t="shared" si="5"/>
        <v>5.2832322446910416</v>
      </c>
      <c r="F25" s="457">
        <f t="shared" si="6"/>
        <v>2152.6060511989203</v>
      </c>
      <c r="G25" s="457">
        <f t="shared" si="7"/>
        <v>0</v>
      </c>
      <c r="H25" s="457">
        <f t="shared" si="8"/>
        <v>0</v>
      </c>
      <c r="I25" s="457">
        <f t="shared" si="9"/>
        <v>0</v>
      </c>
      <c r="J25" s="457">
        <f t="shared" si="10"/>
        <v>108.18874704006519</v>
      </c>
      <c r="K25" s="457">
        <f t="shared" si="11"/>
        <v>0</v>
      </c>
      <c r="L25" s="457">
        <f t="shared" si="12"/>
        <v>0</v>
      </c>
      <c r="M25" s="457">
        <f t="shared" si="13"/>
        <v>0</v>
      </c>
      <c r="N25" s="457">
        <f t="shared" si="14"/>
        <v>0</v>
      </c>
      <c r="O25" s="457">
        <f t="shared" si="15"/>
        <v>0</v>
      </c>
      <c r="P25" s="458">
        <f t="shared" si="16"/>
        <v>0</v>
      </c>
      <c r="Q25" s="456">
        <f t="shared" ca="1" si="17"/>
        <v>4742.5183099541264</v>
      </c>
    </row>
    <row r="26" spans="1:17">
      <c r="A26" s="456" t="s">
        <v>682</v>
      </c>
      <c r="B26" s="457">
        <f t="shared" ca="1" si="2"/>
        <v>6340.6837240911027</v>
      </c>
      <c r="C26" s="457">
        <f t="shared" ca="1" si="3"/>
        <v>0</v>
      </c>
      <c r="D26" s="457">
        <f t="shared" si="4"/>
        <v>2697.269204552661</v>
      </c>
      <c r="E26" s="457">
        <f t="shared" si="5"/>
        <v>60.966519587036068</v>
      </c>
      <c r="F26" s="457">
        <f t="shared" si="6"/>
        <v>1840.7998067906194</v>
      </c>
      <c r="G26" s="457">
        <f t="shared" si="7"/>
        <v>0</v>
      </c>
      <c r="H26" s="457">
        <f t="shared" si="8"/>
        <v>0</v>
      </c>
      <c r="I26" s="457">
        <f t="shared" si="9"/>
        <v>0</v>
      </c>
      <c r="J26" s="457">
        <f t="shared" si="10"/>
        <v>50.70132046726583</v>
      </c>
      <c r="K26" s="457">
        <f t="shared" si="11"/>
        <v>0</v>
      </c>
      <c r="L26" s="457">
        <f t="shared" si="12"/>
        <v>0</v>
      </c>
      <c r="M26" s="457">
        <f t="shared" si="13"/>
        <v>0</v>
      </c>
      <c r="N26" s="457">
        <f t="shared" si="14"/>
        <v>0</v>
      </c>
      <c r="O26" s="457">
        <f t="shared" si="15"/>
        <v>0</v>
      </c>
      <c r="P26" s="458">
        <f t="shared" si="16"/>
        <v>0</v>
      </c>
      <c r="Q26" s="456">
        <f t="shared" ca="1" si="17"/>
        <v>10990.420575488686</v>
      </c>
    </row>
    <row r="27" spans="1:17" s="462" customFormat="1">
      <c r="A27" s="460" t="s">
        <v>578</v>
      </c>
      <c r="B27" s="768">
        <f t="shared" ca="1" si="2"/>
        <v>1.188349549048421</v>
      </c>
      <c r="C27" s="461">
        <f t="shared" ca="1" si="3"/>
        <v>0</v>
      </c>
      <c r="D27" s="461">
        <f t="shared" si="4"/>
        <v>2.6214657109815072</v>
      </c>
      <c r="E27" s="461">
        <f t="shared" si="5"/>
        <v>204.56713637838629</v>
      </c>
      <c r="F27" s="461">
        <f t="shared" si="6"/>
        <v>0</v>
      </c>
      <c r="G27" s="461">
        <f t="shared" si="7"/>
        <v>51705.170227788643</v>
      </c>
      <c r="H27" s="461">
        <f t="shared" si="8"/>
        <v>8373.379794014354</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60286.926973441412</v>
      </c>
    </row>
    <row r="28" spans="1:17">
      <c r="A28" s="456" t="s">
        <v>568</v>
      </c>
      <c r="B28" s="457">
        <f t="shared" ca="1" si="2"/>
        <v>0</v>
      </c>
      <c r="C28" s="457">
        <f t="shared" ca="1" si="3"/>
        <v>0</v>
      </c>
      <c r="D28" s="457">
        <f t="shared" si="4"/>
        <v>0</v>
      </c>
      <c r="E28" s="457">
        <f t="shared" si="5"/>
        <v>0</v>
      </c>
      <c r="F28" s="457">
        <f t="shared" si="6"/>
        <v>0</v>
      </c>
      <c r="G28" s="457">
        <f t="shared" si="7"/>
        <v>896.26050487060104</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896.26050487060104</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291.24313984401778</v>
      </c>
      <c r="C32" s="457">
        <f t="shared" ca="1" si="3"/>
        <v>0</v>
      </c>
      <c r="D32" s="457">
        <f t="shared" si="4"/>
        <v>1130.3615876030208</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1421.6047274470386</v>
      </c>
    </row>
    <row r="33" spans="1:17" s="469" customFormat="1">
      <c r="A33" s="466" t="s">
        <v>572</v>
      </c>
      <c r="B33" s="467">
        <f ca="1">SUM(B22:B32)</f>
        <v>33199.129568693272</v>
      </c>
      <c r="C33" s="467">
        <f t="shared" ref="C33:Q33" ca="1" si="18">SUM(C22:C32)</f>
        <v>0</v>
      </c>
      <c r="D33" s="467">
        <f t="shared" ca="1" si="18"/>
        <v>36150.439810044401</v>
      </c>
      <c r="E33" s="467">
        <f t="shared" si="18"/>
        <v>1039.4357686993123</v>
      </c>
      <c r="F33" s="467">
        <f t="shared" ca="1" si="18"/>
        <v>14904.245638673965</v>
      </c>
      <c r="G33" s="467">
        <f t="shared" si="18"/>
        <v>52601.430732659246</v>
      </c>
      <c r="H33" s="467">
        <f t="shared" si="18"/>
        <v>8373.379794014354</v>
      </c>
      <c r="I33" s="467">
        <f t="shared" si="18"/>
        <v>0</v>
      </c>
      <c r="J33" s="467">
        <f t="shared" si="18"/>
        <v>158.89006750733103</v>
      </c>
      <c r="K33" s="467">
        <f t="shared" si="18"/>
        <v>0</v>
      </c>
      <c r="L33" s="467">
        <f t="shared" ca="1" si="18"/>
        <v>0</v>
      </c>
      <c r="M33" s="467">
        <f t="shared" si="18"/>
        <v>0</v>
      </c>
      <c r="N33" s="467">
        <f t="shared" ca="1" si="18"/>
        <v>0</v>
      </c>
      <c r="O33" s="467">
        <f t="shared" si="18"/>
        <v>0</v>
      </c>
      <c r="P33" s="467">
        <f t="shared" si="18"/>
        <v>0</v>
      </c>
      <c r="Q33" s="467">
        <f t="shared" ca="1" si="18"/>
        <v>146426.95138029187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3881.5595399114072</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3881.5595399114072</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0.21543346436016761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0.21543346436016761</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0.21543346436016761</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0.21543346436016761</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9481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1363</v>
      </c>
      <c r="C14" s="332"/>
      <c r="D14" s="332"/>
      <c r="E14" s="332"/>
      <c r="F14" s="332"/>
    </row>
    <row r="15" spans="1:6">
      <c r="A15" s="1299" t="s">
        <v>183</v>
      </c>
      <c r="B15" s="1300">
        <v>5</v>
      </c>
      <c r="C15" s="332"/>
      <c r="D15" s="332"/>
      <c r="E15" s="332"/>
      <c r="F15" s="332"/>
    </row>
    <row r="16" spans="1:6">
      <c r="A16" s="1299" t="s">
        <v>6</v>
      </c>
      <c r="B16" s="1300">
        <v>223</v>
      </c>
      <c r="C16" s="332"/>
      <c r="D16" s="332"/>
      <c r="E16" s="332"/>
      <c r="F16" s="332"/>
    </row>
    <row r="17" spans="1:6">
      <c r="A17" s="1299" t="s">
        <v>7</v>
      </c>
      <c r="B17" s="1300">
        <v>324</v>
      </c>
      <c r="C17" s="332"/>
      <c r="D17" s="332"/>
      <c r="E17" s="332"/>
      <c r="F17" s="332"/>
    </row>
    <row r="18" spans="1:6">
      <c r="A18" s="1299" t="s">
        <v>8</v>
      </c>
      <c r="B18" s="1300">
        <v>427</v>
      </c>
      <c r="C18" s="332"/>
      <c r="D18" s="332"/>
      <c r="E18" s="332"/>
      <c r="F18" s="332"/>
    </row>
    <row r="19" spans="1:6">
      <c r="A19" s="1299" t="s">
        <v>9</v>
      </c>
      <c r="B19" s="1300">
        <v>399</v>
      </c>
      <c r="C19" s="332"/>
      <c r="D19" s="332"/>
      <c r="E19" s="332"/>
      <c r="F19" s="332"/>
    </row>
    <row r="20" spans="1:6">
      <c r="A20" s="1299" t="s">
        <v>10</v>
      </c>
      <c r="B20" s="1300">
        <v>291</v>
      </c>
      <c r="C20" s="332"/>
      <c r="D20" s="332"/>
      <c r="E20" s="332"/>
      <c r="F20" s="332"/>
    </row>
    <row r="21" spans="1:6">
      <c r="A21" s="1299" t="s">
        <v>11</v>
      </c>
      <c r="B21" s="1300">
        <v>308</v>
      </c>
      <c r="C21" s="332"/>
      <c r="D21" s="332"/>
      <c r="E21" s="332"/>
      <c r="F21" s="332"/>
    </row>
    <row r="22" spans="1:6">
      <c r="A22" s="1299" t="s">
        <v>12</v>
      </c>
      <c r="B22" s="1300">
        <v>115</v>
      </c>
      <c r="C22" s="332"/>
      <c r="D22" s="332"/>
      <c r="E22" s="332"/>
      <c r="F22" s="332"/>
    </row>
    <row r="23" spans="1:6">
      <c r="A23" s="1299" t="s">
        <v>13</v>
      </c>
      <c r="B23" s="1300">
        <v>14</v>
      </c>
      <c r="C23" s="332"/>
      <c r="D23" s="332"/>
      <c r="E23" s="332"/>
      <c r="F23" s="332"/>
    </row>
    <row r="24" spans="1:6">
      <c r="A24" s="1299" t="s">
        <v>14</v>
      </c>
      <c r="B24" s="1300">
        <v>2</v>
      </c>
      <c r="C24" s="332"/>
      <c r="D24" s="332"/>
      <c r="E24" s="332"/>
      <c r="F24" s="332"/>
    </row>
    <row r="25" spans="1:6">
      <c r="A25" s="1299" t="s">
        <v>15</v>
      </c>
      <c r="B25" s="1300">
        <v>109</v>
      </c>
      <c r="C25" s="332"/>
      <c r="D25" s="332"/>
      <c r="E25" s="332"/>
      <c r="F25" s="332"/>
    </row>
    <row r="26" spans="1:6">
      <c r="A26" s="1299" t="s">
        <v>16</v>
      </c>
      <c r="B26" s="1300">
        <v>47</v>
      </c>
      <c r="C26" s="332"/>
      <c r="D26" s="332"/>
      <c r="E26" s="332"/>
      <c r="F26" s="332"/>
    </row>
    <row r="27" spans="1:6">
      <c r="A27" s="1299" t="s">
        <v>17</v>
      </c>
      <c r="B27" s="1300">
        <v>8</v>
      </c>
      <c r="C27" s="332"/>
      <c r="D27" s="332"/>
      <c r="E27" s="332"/>
      <c r="F27" s="332"/>
    </row>
    <row r="28" spans="1:6" s="44" customFormat="1">
      <c r="A28" s="1301" t="s">
        <v>18</v>
      </c>
      <c r="B28" s="1302">
        <v>3472</v>
      </c>
      <c r="C28" s="338"/>
      <c r="D28" s="338"/>
      <c r="E28" s="338"/>
      <c r="F28" s="338"/>
    </row>
    <row r="29" spans="1:6">
      <c r="A29" s="1301" t="s">
        <v>950</v>
      </c>
      <c r="B29" s="1302">
        <v>201</v>
      </c>
      <c r="C29" s="338"/>
      <c r="D29" s="338"/>
      <c r="E29" s="338"/>
      <c r="F29" s="338"/>
    </row>
    <row r="30" spans="1:6">
      <c r="A30" s="1294" t="s">
        <v>951</v>
      </c>
      <c r="B30" s="1303">
        <v>36</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3</v>
      </c>
      <c r="F35" s="1300">
        <v>114459.110797783</v>
      </c>
    </row>
    <row r="36" spans="1:6">
      <c r="A36" s="1299" t="s">
        <v>24</v>
      </c>
      <c r="B36" s="1299" t="s">
        <v>26</v>
      </c>
      <c r="C36" s="1300">
        <v>0</v>
      </c>
      <c r="D36" s="1300">
        <v>0</v>
      </c>
      <c r="E36" s="1300">
        <v>3</v>
      </c>
      <c r="F36" s="1300">
        <v>19504.292618839401</v>
      </c>
    </row>
    <row r="37" spans="1:6">
      <c r="A37" s="1299" t="s">
        <v>24</v>
      </c>
      <c r="B37" s="1299" t="s">
        <v>27</v>
      </c>
      <c r="C37" s="1300">
        <v>0</v>
      </c>
      <c r="D37" s="1300">
        <v>0</v>
      </c>
      <c r="E37" s="1300">
        <v>0</v>
      </c>
      <c r="F37" s="1300">
        <v>0</v>
      </c>
    </row>
    <row r="38" spans="1:6">
      <c r="A38" s="1299" t="s">
        <v>24</v>
      </c>
      <c r="B38" s="1299" t="s">
        <v>28</v>
      </c>
      <c r="C38" s="1300">
        <v>2</v>
      </c>
      <c r="D38" s="1300">
        <v>12819.3029315037</v>
      </c>
      <c r="E38" s="1300">
        <v>3</v>
      </c>
      <c r="F38" s="1300">
        <v>37560.612008797201</v>
      </c>
    </row>
    <row r="39" spans="1:6">
      <c r="A39" s="1299" t="s">
        <v>29</v>
      </c>
      <c r="B39" s="1299" t="s">
        <v>30</v>
      </c>
      <c r="C39" s="1300">
        <v>5947</v>
      </c>
      <c r="D39" s="1300">
        <v>111506839.690098</v>
      </c>
      <c r="E39" s="1300">
        <v>9325</v>
      </c>
      <c r="F39" s="1300">
        <v>44878007.165001102</v>
      </c>
    </row>
    <row r="40" spans="1:6">
      <c r="A40" s="1299" t="s">
        <v>29</v>
      </c>
      <c r="B40" s="1299" t="s">
        <v>28</v>
      </c>
      <c r="C40" s="1300">
        <v>0</v>
      </c>
      <c r="D40" s="1300">
        <v>0</v>
      </c>
      <c r="E40" s="1300">
        <v>0</v>
      </c>
      <c r="F40" s="1300">
        <v>0</v>
      </c>
    </row>
    <row r="41" spans="1:6">
      <c r="A41" s="1299" t="s">
        <v>31</v>
      </c>
      <c r="B41" s="1299" t="s">
        <v>32</v>
      </c>
      <c r="C41" s="1300">
        <v>83</v>
      </c>
      <c r="D41" s="1300">
        <v>2063217.0241845599</v>
      </c>
      <c r="E41" s="1300">
        <v>206</v>
      </c>
      <c r="F41" s="1300">
        <v>2019162.23832156</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7</v>
      </c>
      <c r="D44" s="1300">
        <v>909784.95543490304</v>
      </c>
      <c r="E44" s="1300">
        <v>29</v>
      </c>
      <c r="F44" s="1300">
        <v>850642.21656772797</v>
      </c>
    </row>
    <row r="45" spans="1:6">
      <c r="A45" s="1299" t="s">
        <v>31</v>
      </c>
      <c r="B45" s="1299" t="s">
        <v>36</v>
      </c>
      <c r="C45" s="1300">
        <v>0</v>
      </c>
      <c r="D45" s="1300">
        <v>0</v>
      </c>
      <c r="E45" s="1300">
        <v>3</v>
      </c>
      <c r="F45" s="1300">
        <v>12337.8287102292</v>
      </c>
    </row>
    <row r="46" spans="1:6">
      <c r="A46" s="1299" t="s">
        <v>31</v>
      </c>
      <c r="B46" s="1299" t="s">
        <v>37</v>
      </c>
      <c r="C46" s="1300">
        <v>0</v>
      </c>
      <c r="D46" s="1300">
        <v>0</v>
      </c>
      <c r="E46" s="1300">
        <v>0</v>
      </c>
      <c r="F46" s="1300">
        <v>0</v>
      </c>
    </row>
    <row r="47" spans="1:6">
      <c r="A47" s="1299" t="s">
        <v>31</v>
      </c>
      <c r="B47" s="1299" t="s">
        <v>38</v>
      </c>
      <c r="C47" s="1300">
        <v>4</v>
      </c>
      <c r="D47" s="1300">
        <v>125196.665785513</v>
      </c>
      <c r="E47" s="1300">
        <v>9</v>
      </c>
      <c r="F47" s="1300">
        <v>392653.53967937903</v>
      </c>
    </row>
    <row r="48" spans="1:6">
      <c r="A48" s="1299" t="s">
        <v>31</v>
      </c>
      <c r="B48" s="1299" t="s">
        <v>28</v>
      </c>
      <c r="C48" s="1300">
        <v>34</v>
      </c>
      <c r="D48" s="1300">
        <v>11362109.373916499</v>
      </c>
      <c r="E48" s="1300">
        <v>34</v>
      </c>
      <c r="F48" s="1300">
        <v>25652455.651758499</v>
      </c>
    </row>
    <row r="49" spans="1:6">
      <c r="A49" s="1299" t="s">
        <v>31</v>
      </c>
      <c r="B49" s="1299" t="s">
        <v>39</v>
      </c>
      <c r="C49" s="1300">
        <v>0</v>
      </c>
      <c r="D49" s="1300">
        <v>0</v>
      </c>
      <c r="E49" s="1300">
        <v>0</v>
      </c>
      <c r="F49" s="1300">
        <v>0</v>
      </c>
    </row>
    <row r="50" spans="1:6">
      <c r="A50" s="1299" t="s">
        <v>31</v>
      </c>
      <c r="B50" s="1299" t="s">
        <v>40</v>
      </c>
      <c r="C50" s="1300">
        <v>7</v>
      </c>
      <c r="D50" s="1300">
        <v>343259.43557886197</v>
      </c>
      <c r="E50" s="1300">
        <v>14</v>
      </c>
      <c r="F50" s="1300">
        <v>504962.052804187</v>
      </c>
    </row>
    <row r="51" spans="1:6">
      <c r="A51" s="1299" t="s">
        <v>41</v>
      </c>
      <c r="B51" s="1299" t="s">
        <v>42</v>
      </c>
      <c r="C51" s="1300">
        <v>24</v>
      </c>
      <c r="D51" s="1300">
        <v>10611954.9295571</v>
      </c>
      <c r="E51" s="1300">
        <v>99</v>
      </c>
      <c r="F51" s="1300">
        <v>2424648.5564732198</v>
      </c>
    </row>
    <row r="52" spans="1:6">
      <c r="A52" s="1299" t="s">
        <v>41</v>
      </c>
      <c r="B52" s="1299" t="s">
        <v>28</v>
      </c>
      <c r="C52" s="1300">
        <v>3</v>
      </c>
      <c r="D52" s="1300">
        <v>58519.310999552501</v>
      </c>
      <c r="E52" s="1300">
        <v>6</v>
      </c>
      <c r="F52" s="1300">
        <v>45892.371440640702</v>
      </c>
    </row>
    <row r="53" spans="1:6">
      <c r="A53" s="1299" t="s">
        <v>43</v>
      </c>
      <c r="B53" s="1299" t="s">
        <v>44</v>
      </c>
      <c r="C53" s="1300">
        <v>134</v>
      </c>
      <c r="D53" s="1300">
        <v>5595849.4435793096</v>
      </c>
      <c r="E53" s="1300">
        <v>246</v>
      </c>
      <c r="F53" s="1300">
        <v>1351893.68424726</v>
      </c>
    </row>
    <row r="54" spans="1:6">
      <c r="A54" s="1299" t="s">
        <v>45</v>
      </c>
      <c r="B54" s="1299" t="s">
        <v>46</v>
      </c>
      <c r="C54" s="1300">
        <v>0</v>
      </c>
      <c r="D54" s="1300">
        <v>0</v>
      </c>
      <c r="E54" s="1300">
        <v>5</v>
      </c>
      <c r="F54" s="1300">
        <v>1866983</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39</v>
      </c>
      <c r="D57" s="1300">
        <v>1023163.4155094801</v>
      </c>
      <c r="E57" s="1300">
        <v>147</v>
      </c>
      <c r="F57" s="1300">
        <v>3142731.04694115</v>
      </c>
    </row>
    <row r="58" spans="1:6">
      <c r="A58" s="1299" t="s">
        <v>48</v>
      </c>
      <c r="B58" s="1299" t="s">
        <v>50</v>
      </c>
      <c r="C58" s="1300">
        <v>44</v>
      </c>
      <c r="D58" s="1300">
        <v>3455766.9731864301</v>
      </c>
      <c r="E58" s="1300">
        <v>72</v>
      </c>
      <c r="F58" s="1300">
        <v>34901311.190292597</v>
      </c>
    </row>
    <row r="59" spans="1:6">
      <c r="A59" s="1299" t="s">
        <v>48</v>
      </c>
      <c r="B59" s="1299" t="s">
        <v>51</v>
      </c>
      <c r="C59" s="1300">
        <v>123</v>
      </c>
      <c r="D59" s="1300">
        <v>5896454.2036763001</v>
      </c>
      <c r="E59" s="1300">
        <v>248</v>
      </c>
      <c r="F59" s="1300">
        <v>8979005.8118033502</v>
      </c>
    </row>
    <row r="60" spans="1:6">
      <c r="A60" s="1299" t="s">
        <v>48</v>
      </c>
      <c r="B60" s="1299" t="s">
        <v>52</v>
      </c>
      <c r="C60" s="1300">
        <v>59</v>
      </c>
      <c r="D60" s="1300">
        <v>2808136.4072538801</v>
      </c>
      <c r="E60" s="1300">
        <v>74</v>
      </c>
      <c r="F60" s="1300">
        <v>1525790.05719925</v>
      </c>
    </row>
    <row r="61" spans="1:6">
      <c r="A61" s="1299" t="s">
        <v>48</v>
      </c>
      <c r="B61" s="1299" t="s">
        <v>53</v>
      </c>
      <c r="C61" s="1300">
        <v>276</v>
      </c>
      <c r="D61" s="1300">
        <v>24435545.320319001</v>
      </c>
      <c r="E61" s="1300">
        <v>401</v>
      </c>
      <c r="F61" s="1300">
        <v>14576879.3578439</v>
      </c>
    </row>
    <row r="62" spans="1:6">
      <c r="A62" s="1299" t="s">
        <v>48</v>
      </c>
      <c r="B62" s="1299" t="s">
        <v>54</v>
      </c>
      <c r="C62" s="1300">
        <v>13</v>
      </c>
      <c r="D62" s="1300">
        <v>11500770.648974501</v>
      </c>
      <c r="E62" s="1300">
        <v>20</v>
      </c>
      <c r="F62" s="1300">
        <v>4784935.43796892</v>
      </c>
    </row>
    <row r="63" spans="1:6">
      <c r="A63" s="1299" t="s">
        <v>48</v>
      </c>
      <c r="B63" s="1299" t="s">
        <v>28</v>
      </c>
      <c r="C63" s="1300">
        <v>103</v>
      </c>
      <c r="D63" s="1300">
        <v>6087470.47085521</v>
      </c>
      <c r="E63" s="1300">
        <v>98</v>
      </c>
      <c r="F63" s="1300">
        <v>2608401.9142227601</v>
      </c>
    </row>
    <row r="64" spans="1:6">
      <c r="A64" s="1299" t="s">
        <v>55</v>
      </c>
      <c r="B64" s="1299" t="s">
        <v>56</v>
      </c>
      <c r="C64" s="1300">
        <v>0</v>
      </c>
      <c r="D64" s="1300">
        <v>0</v>
      </c>
      <c r="E64" s="1300">
        <v>0</v>
      </c>
      <c r="F64" s="1300">
        <v>0</v>
      </c>
    </row>
    <row r="65" spans="1:6">
      <c r="A65" s="1299" t="s">
        <v>55</v>
      </c>
      <c r="B65" s="1299" t="s">
        <v>28</v>
      </c>
      <c r="C65" s="1300">
        <v>0</v>
      </c>
      <c r="D65" s="1300">
        <v>0</v>
      </c>
      <c r="E65" s="1300">
        <v>0</v>
      </c>
      <c r="F65" s="1300">
        <v>0</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4</v>
      </c>
      <c r="D68" s="1303">
        <v>133272.775080669</v>
      </c>
      <c r="E68" s="1303">
        <v>7</v>
      </c>
      <c r="F68" s="1303">
        <v>53351.211198635101</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76908536</v>
      </c>
      <c r="E73" s="455"/>
      <c r="F73" s="332"/>
    </row>
    <row r="74" spans="1:6">
      <c r="A74" s="1299" t="s">
        <v>63</v>
      </c>
      <c r="B74" s="1299" t="s">
        <v>768</v>
      </c>
      <c r="C74" s="1313" t="s">
        <v>762</v>
      </c>
      <c r="D74" s="1314">
        <v>6038127.4758955156</v>
      </c>
      <c r="E74" s="455"/>
      <c r="F74" s="332"/>
    </row>
    <row r="75" spans="1:6">
      <c r="A75" s="1299" t="s">
        <v>64</v>
      </c>
      <c r="B75" s="1299" t="s">
        <v>767</v>
      </c>
      <c r="C75" s="1313" t="s">
        <v>763</v>
      </c>
      <c r="D75" s="1314">
        <v>59064818</v>
      </c>
      <c r="E75" s="455"/>
      <c r="F75" s="332"/>
    </row>
    <row r="76" spans="1:6">
      <c r="A76" s="1299" t="s">
        <v>64</v>
      </c>
      <c r="B76" s="1299" t="s">
        <v>768</v>
      </c>
      <c r="C76" s="1313" t="s">
        <v>764</v>
      </c>
      <c r="D76" s="1314">
        <v>3640074.4758955156</v>
      </c>
      <c r="E76" s="455"/>
      <c r="F76" s="332"/>
    </row>
    <row r="77" spans="1:6">
      <c r="A77" s="1299" t="s">
        <v>65</v>
      </c>
      <c r="B77" s="1299" t="s">
        <v>767</v>
      </c>
      <c r="C77" s="1313" t="s">
        <v>765</v>
      </c>
      <c r="D77" s="1314">
        <v>111756333</v>
      </c>
      <c r="E77" s="455"/>
      <c r="F77" s="332"/>
    </row>
    <row r="78" spans="1:6">
      <c r="A78" s="1294" t="s">
        <v>65</v>
      </c>
      <c r="B78" s="1294" t="s">
        <v>768</v>
      </c>
      <c r="C78" s="1294" t="s">
        <v>766</v>
      </c>
      <c r="D78" s="1315">
        <v>11335372</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922337.04820896906</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3579.6560731789764</v>
      </c>
      <c r="C91" s="332"/>
      <c r="D91" s="332"/>
      <c r="E91" s="332"/>
      <c r="F91" s="332"/>
    </row>
    <row r="92" spans="1:6">
      <c r="A92" s="1294" t="s">
        <v>68</v>
      </c>
      <c r="B92" s="1295">
        <v>301.90346673243067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3542</v>
      </c>
      <c r="C97" s="332"/>
      <c r="D97" s="332"/>
      <c r="E97" s="332"/>
      <c r="F97" s="332"/>
    </row>
    <row r="98" spans="1:6">
      <c r="A98" s="1299" t="s">
        <v>71</v>
      </c>
      <c r="B98" s="1300">
        <v>1</v>
      </c>
      <c r="C98" s="332"/>
      <c r="D98" s="332"/>
      <c r="E98" s="332"/>
      <c r="F98" s="332"/>
    </row>
    <row r="99" spans="1:6">
      <c r="A99" s="1299" t="s">
        <v>72</v>
      </c>
      <c r="B99" s="1300">
        <v>75</v>
      </c>
      <c r="C99" s="332"/>
      <c r="D99" s="332"/>
      <c r="E99" s="332"/>
      <c r="F99" s="332"/>
    </row>
    <row r="100" spans="1:6">
      <c r="A100" s="1299" t="s">
        <v>73</v>
      </c>
      <c r="B100" s="1300">
        <v>1093</v>
      </c>
      <c r="C100" s="332"/>
      <c r="D100" s="332"/>
      <c r="E100" s="332"/>
      <c r="F100" s="332"/>
    </row>
    <row r="101" spans="1:6">
      <c r="A101" s="1299" t="s">
        <v>74</v>
      </c>
      <c r="B101" s="1300">
        <v>88</v>
      </c>
      <c r="C101" s="332"/>
      <c r="D101" s="332"/>
      <c r="E101" s="332"/>
      <c r="F101" s="332"/>
    </row>
    <row r="102" spans="1:6">
      <c r="A102" s="1299" t="s">
        <v>75</v>
      </c>
      <c r="B102" s="1300">
        <v>153</v>
      </c>
      <c r="C102" s="332"/>
      <c r="D102" s="332"/>
      <c r="E102" s="332"/>
      <c r="F102" s="332"/>
    </row>
    <row r="103" spans="1:6">
      <c r="A103" s="1299" t="s">
        <v>76</v>
      </c>
      <c r="B103" s="1300">
        <v>240</v>
      </c>
      <c r="C103" s="332"/>
      <c r="D103" s="332"/>
      <c r="E103" s="332"/>
      <c r="F103" s="332"/>
    </row>
    <row r="104" spans="1:6">
      <c r="A104" s="1299" t="s">
        <v>77</v>
      </c>
      <c r="B104" s="1300">
        <v>3188</v>
      </c>
      <c r="C104" s="332"/>
      <c r="D104" s="332"/>
      <c r="E104" s="332"/>
      <c r="F104" s="332"/>
    </row>
    <row r="105" spans="1:6">
      <c r="A105" s="1294" t="s">
        <v>78</v>
      </c>
      <c r="B105" s="1303">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13</v>
      </c>
      <c r="C123" s="1300">
        <v>22</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106</v>
      </c>
      <c r="C129" s="332"/>
      <c r="D129" s="332"/>
      <c r="E129" s="332"/>
      <c r="F129" s="332"/>
    </row>
    <row r="130" spans="1:6">
      <c r="A130" s="1299" t="s">
        <v>294</v>
      </c>
      <c r="B130" s="1300">
        <v>4</v>
      </c>
      <c r="C130" s="332"/>
      <c r="D130" s="332"/>
      <c r="E130" s="332"/>
      <c r="F130" s="332"/>
    </row>
    <row r="131" spans="1:6">
      <c r="A131" s="1299" t="s">
        <v>295</v>
      </c>
      <c r="B131" s="1300">
        <v>3</v>
      </c>
      <c r="C131" s="332"/>
      <c r="D131" s="332"/>
      <c r="E131" s="332"/>
      <c r="F131" s="332"/>
    </row>
    <row r="132" spans="1:6">
      <c r="A132" s="1294" t="s">
        <v>296</v>
      </c>
      <c r="B132" s="1295">
        <v>6</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154103.86528060492</v>
      </c>
      <c r="C3" s="44" t="s">
        <v>169</v>
      </c>
      <c r="D3" s="44"/>
      <c r="E3" s="157"/>
      <c r="F3" s="44"/>
      <c r="G3" s="44"/>
      <c r="H3" s="44"/>
      <c r="I3" s="44"/>
      <c r="J3" s="44"/>
      <c r="K3" s="97"/>
    </row>
    <row r="4" spans="1:11">
      <c r="A4" s="362" t="s">
        <v>170</v>
      </c>
      <c r="B4" s="50">
        <f>IF(ISERROR('SEAP template'!B78+'SEAP template'!C78),0,'SEAP template'!B78+'SEAP template'!C78)</f>
        <v>3881.5595399114072</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0.21543346436016761</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0</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1866.9829999999999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1866.9829999999999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0.21543346436016761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402.21061559153878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44878.007165001101</v>
      </c>
      <c r="C5" s="18">
        <f>IF(ISERROR('Eigen informatie GS &amp; warmtenet'!B57),0,'Eigen informatie GS &amp; warmtenet'!B57)</f>
        <v>0</v>
      </c>
      <c r="D5" s="31">
        <f>(SUM(HH_hh_gas_kWh,HH_rest_gas_kWh)/1000)*0.902</f>
        <v>100579.1694004684</v>
      </c>
      <c r="E5" s="18">
        <f>B46*B57</f>
        <v>3148.7471407759735</v>
      </c>
      <c r="F5" s="18">
        <f>B51*B62</f>
        <v>21568.975010808692</v>
      </c>
      <c r="G5" s="19"/>
      <c r="H5" s="18"/>
      <c r="I5" s="18"/>
      <c r="J5" s="18">
        <f>B50*B61+C50*C61</f>
        <v>0</v>
      </c>
      <c r="K5" s="18"/>
      <c r="L5" s="18"/>
      <c r="M5" s="18"/>
      <c r="N5" s="18">
        <f>B48*B59+C48*C59</f>
        <v>12555.923950257426</v>
      </c>
      <c r="O5" s="18">
        <f>B69*B70*B71</f>
        <v>200.10666666666668</v>
      </c>
      <c r="P5" s="18">
        <f>B77*B78*B79/1000-B77*B78*B79/1000/B80</f>
        <v>362.26666666666665</v>
      </c>
    </row>
    <row r="6" spans="1:16">
      <c r="A6" s="17" t="s">
        <v>638</v>
      </c>
      <c r="B6" s="776">
        <f>kWh_PV_kleiner_dan_10kW</f>
        <v>3579.6560731789764</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48457.663238180081</v>
      </c>
      <c r="C8" s="22">
        <f>C5</f>
        <v>0</v>
      </c>
      <c r="D8" s="22">
        <f>D5</f>
        <v>100579.1694004684</v>
      </c>
      <c r="E8" s="22">
        <f>E5</f>
        <v>3148.7471407759735</v>
      </c>
      <c r="F8" s="22">
        <f>F5</f>
        <v>21568.975010808692</v>
      </c>
      <c r="G8" s="22"/>
      <c r="H8" s="22"/>
      <c r="I8" s="22"/>
      <c r="J8" s="22">
        <f>J5</f>
        <v>0</v>
      </c>
      <c r="K8" s="22"/>
      <c r="L8" s="22">
        <f>L5</f>
        <v>0</v>
      </c>
      <c r="M8" s="22">
        <f>M5</f>
        <v>0</v>
      </c>
      <c r="N8" s="22">
        <f>N5</f>
        <v>12555.923950257426</v>
      </c>
      <c r="O8" s="22">
        <f>O5</f>
        <v>200.10666666666668</v>
      </c>
      <c r="P8" s="22">
        <f>P5</f>
        <v>362.26666666666665</v>
      </c>
    </row>
    <row r="9" spans="1:16">
      <c r="B9" s="20"/>
      <c r="C9" s="20"/>
      <c r="D9" s="262"/>
      <c r="E9" s="20"/>
      <c r="F9" s="20"/>
      <c r="G9" s="20"/>
      <c r="H9" s="20"/>
      <c r="I9" s="20"/>
      <c r="J9" s="20"/>
      <c r="K9" s="20"/>
      <c r="L9" s="20"/>
      <c r="M9" s="20"/>
      <c r="N9" s="20"/>
      <c r="O9" s="20"/>
      <c r="P9" s="20"/>
    </row>
    <row r="10" spans="1:16">
      <c r="A10" s="25" t="s">
        <v>213</v>
      </c>
      <c r="B10" s="26">
        <f ca="1">'EF ele_warmte'!B12</f>
        <v>0.21543346436016761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10439.402266199473</v>
      </c>
      <c r="C12" s="24">
        <f ca="1">C10*C8</f>
        <v>0</v>
      </c>
      <c r="D12" s="24">
        <f>D8*D10</f>
        <v>20316.992218894618</v>
      </c>
      <c r="E12" s="24">
        <f>E10*E8</f>
        <v>714.76560095614605</v>
      </c>
      <c r="F12" s="24">
        <f>F10*F8</f>
        <v>5758.9163278859214</v>
      </c>
      <c r="G12" s="24"/>
      <c r="H12" s="24"/>
      <c r="I12" s="24"/>
      <c r="J12" s="24">
        <f>J10*J8</f>
        <v>0</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3542</v>
      </c>
      <c r="C18" s="169" t="s">
        <v>110</v>
      </c>
      <c r="D18" s="231"/>
      <c r="E18" s="16"/>
    </row>
    <row r="19" spans="1:7">
      <c r="A19" s="174" t="s">
        <v>71</v>
      </c>
      <c r="B19" s="38">
        <f>aantalw2001_ander</f>
        <v>1</v>
      </c>
      <c r="C19" s="169" t="s">
        <v>110</v>
      </c>
      <c r="D19" s="232"/>
      <c r="E19" s="16"/>
    </row>
    <row r="20" spans="1:7">
      <c r="A20" s="174" t="s">
        <v>72</v>
      </c>
      <c r="B20" s="38">
        <f>aantalw2001_propaan</f>
        <v>75</v>
      </c>
      <c r="C20" s="170">
        <f>IF(ISERROR(B20/SUM($B$20,$B$21,$B$22)*100),0,B20/SUM($B$20,$B$21,$B$22)*100)</f>
        <v>5.9713375796178347</v>
      </c>
      <c r="D20" s="232"/>
      <c r="E20" s="16"/>
    </row>
    <row r="21" spans="1:7">
      <c r="A21" s="174" t="s">
        <v>73</v>
      </c>
      <c r="B21" s="38">
        <f>aantalw2001_elektriciteit</f>
        <v>1093</v>
      </c>
      <c r="C21" s="170">
        <f>IF(ISERROR(B21/SUM($B$20,$B$21,$B$22)*100),0,B21/SUM($B$20,$B$21,$B$22)*100)</f>
        <v>87.022292993630572</v>
      </c>
      <c r="D21" s="232"/>
      <c r="E21" s="16"/>
    </row>
    <row r="22" spans="1:7">
      <c r="A22" s="174" t="s">
        <v>74</v>
      </c>
      <c r="B22" s="38">
        <f>aantalw2001_hout</f>
        <v>88</v>
      </c>
      <c r="C22" s="170">
        <f>IF(ISERROR(B22/SUM($B$20,$B$21,$B$22)*100),0,B22/SUM($B$20,$B$21,$B$22)*100)</f>
        <v>7.0063694267515926</v>
      </c>
      <c r="D22" s="232"/>
      <c r="E22" s="16"/>
    </row>
    <row r="23" spans="1:7">
      <c r="A23" s="174" t="s">
        <v>75</v>
      </c>
      <c r="B23" s="38">
        <f>aantalw2001_niet_gespec</f>
        <v>153</v>
      </c>
      <c r="C23" s="169" t="s">
        <v>110</v>
      </c>
      <c r="D23" s="231"/>
      <c r="E23" s="16"/>
    </row>
    <row r="24" spans="1:7">
      <c r="A24" s="174" t="s">
        <v>76</v>
      </c>
      <c r="B24" s="38">
        <f>aantalw2001_steenkool</f>
        <v>240</v>
      </c>
      <c r="C24" s="169" t="s">
        <v>110</v>
      </c>
      <c r="D24" s="232"/>
      <c r="E24" s="16"/>
    </row>
    <row r="25" spans="1:7">
      <c r="A25" s="174" t="s">
        <v>77</v>
      </c>
      <c r="B25" s="38">
        <f>aantalw2001_stookolie</f>
        <v>3188</v>
      </c>
      <c r="C25" s="169" t="s">
        <v>110</v>
      </c>
      <c r="D25" s="231"/>
      <c r="E25" s="53"/>
    </row>
    <row r="26" spans="1:7">
      <c r="A26" s="174" t="s">
        <v>78</v>
      </c>
      <c r="B26" s="38">
        <f>aantalw2001_WP</f>
        <v>4</v>
      </c>
      <c r="C26" s="169" t="s">
        <v>110</v>
      </c>
      <c r="D26" s="231"/>
      <c r="E26" s="16"/>
    </row>
    <row r="27" spans="1:7" s="16" customFormat="1">
      <c r="A27" s="174"/>
      <c r="B27" s="30"/>
      <c r="C27" s="37"/>
      <c r="D27" s="231"/>
    </row>
    <row r="28" spans="1:7" s="16" customFormat="1">
      <c r="A28" s="233" t="s">
        <v>663</v>
      </c>
      <c r="B28" s="38">
        <f>aantalHuishoudens</f>
        <v>9481</v>
      </c>
      <c r="C28" s="37"/>
      <c r="D28" s="231"/>
    </row>
    <row r="29" spans="1:7" s="16" customFormat="1">
      <c r="A29" s="233" t="s">
        <v>664</v>
      </c>
      <c r="B29" s="38">
        <f>SUM(HH_hh_gas_aantal,HH_rest_gas_aantal)</f>
        <v>5947</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5947</v>
      </c>
      <c r="C32" s="170">
        <f>IF(ISERROR(B32/SUM($B$32,$B$34,$B$35,$B$36,$B$38,$B$39)*100),0,B32/SUM($B$32,$B$34,$B$35,$B$36,$B$38,$B$39)*100)</f>
        <v>62.851405622489963</v>
      </c>
      <c r="D32" s="236"/>
      <c r="G32" s="16"/>
    </row>
    <row r="33" spans="1:7">
      <c r="A33" s="174" t="s">
        <v>71</v>
      </c>
      <c r="B33" s="35" t="s">
        <v>110</v>
      </c>
      <c r="C33" s="170"/>
      <c r="D33" s="236"/>
      <c r="G33" s="16"/>
    </row>
    <row r="34" spans="1:7">
      <c r="A34" s="174" t="s">
        <v>72</v>
      </c>
      <c r="B34" s="34">
        <f>IF((($B$28-$B$32-$B$39-$B$77-$B$38)*C20/100)&lt;0,0,($B$28-$B$32-$B$39-$B$77-$B$38)*C20/100)</f>
        <v>148.77587579617835</v>
      </c>
      <c r="C34" s="170">
        <f>IF(ISERROR(B34/SUM($B$32,$B$34,$B$35,$B$36,$B$38,$B$39)*100),0,B34/SUM($B$32,$B$34,$B$35,$B$36,$B$38,$B$39)*100)</f>
        <v>1.5723512555081205</v>
      </c>
      <c r="D34" s="236"/>
      <c r="G34" s="16"/>
    </row>
    <row r="35" spans="1:7">
      <c r="A35" s="174" t="s">
        <v>73</v>
      </c>
      <c r="B35" s="34">
        <f>IF((($B$28-$B$32-$B$39-$B$77-$B$38)*C21/100)&lt;0,0,($B$28-$B$32-$B$39-$B$77-$B$38)*C21/100)</f>
        <v>2168.1604299363057</v>
      </c>
      <c r="C35" s="170">
        <f>IF(ISERROR(B35/SUM($B$32,$B$34,$B$35,$B$36,$B$38,$B$39)*100),0,B35/SUM($B$32,$B$34,$B$35,$B$36,$B$38,$B$39)*100)</f>
        <v>22.914398963605006</v>
      </c>
      <c r="D35" s="236"/>
      <c r="G35" s="16"/>
    </row>
    <row r="36" spans="1:7">
      <c r="A36" s="174" t="s">
        <v>74</v>
      </c>
      <c r="B36" s="34">
        <f>IF((($B$28-$B$32-$B$39-$B$77-$B$38)*C22/100)&lt;0,0,($B$28-$B$32-$B$39-$B$77-$B$38)*C22/100)</f>
        <v>174.56369426751593</v>
      </c>
      <c r="C36" s="170">
        <f>IF(ISERROR(B36/SUM($B$32,$B$34,$B$35,$B$36,$B$38,$B$39)*100),0,B36/SUM($B$32,$B$34,$B$35,$B$36,$B$38,$B$39)*100)</f>
        <v>1.8448921397961944</v>
      </c>
      <c r="D36" s="236"/>
      <c r="G36" s="16"/>
    </row>
    <row r="37" spans="1:7">
      <c r="A37" s="174" t="s">
        <v>75</v>
      </c>
      <c r="B37" s="35" t="s">
        <v>110</v>
      </c>
      <c r="C37" s="170"/>
      <c r="D37" s="176"/>
      <c r="G37" s="16"/>
    </row>
    <row r="38" spans="1:7">
      <c r="A38" s="174" t="s">
        <v>76</v>
      </c>
      <c r="B38" s="34">
        <f>IF((B24-(B29-B18)*0.1)&lt;0,0,B24-(B29-B18)*0.1)</f>
        <v>0</v>
      </c>
      <c r="C38" s="170">
        <f>IF(ISERROR(B38/SUM($B$32,$B$34,$B$35,$B$36,$B$38,$B$39)*100),0,B38/SUM($B$32,$B$34,$B$35,$B$36,$B$38,$B$39)*100)</f>
        <v>0</v>
      </c>
      <c r="D38" s="237"/>
      <c r="G38" s="16"/>
    </row>
    <row r="39" spans="1:7">
      <c r="A39" s="174" t="s">
        <v>77</v>
      </c>
      <c r="B39" s="34">
        <f>IF((B25-(B29-B18))&lt;0,0,B25-(B29-B18)*0.9)</f>
        <v>1023.5</v>
      </c>
      <c r="C39" s="170">
        <f>IF(ISERROR(B39/SUM($B$32,$B$34,$B$35,$B$36,$B$38,$B$39)*100),0,B39/SUM($B$32,$B$34,$B$35,$B$36,$B$38,$B$39)*100)</f>
        <v>10.816952018600718</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5947</v>
      </c>
      <c r="C44" s="35" t="s">
        <v>110</v>
      </c>
      <c r="D44" s="177"/>
    </row>
    <row r="45" spans="1:7">
      <c r="A45" s="174" t="s">
        <v>71</v>
      </c>
      <c r="B45" s="34" t="str">
        <f t="shared" si="0"/>
        <v>-</v>
      </c>
      <c r="C45" s="35" t="s">
        <v>110</v>
      </c>
      <c r="D45" s="177"/>
    </row>
    <row r="46" spans="1:7">
      <c r="A46" s="174" t="s">
        <v>72</v>
      </c>
      <c r="B46" s="34">
        <f t="shared" si="0"/>
        <v>148.77587579617835</v>
      </c>
      <c r="C46" s="35" t="s">
        <v>110</v>
      </c>
      <c r="D46" s="177"/>
    </row>
    <row r="47" spans="1:7">
      <c r="A47" s="174" t="s">
        <v>73</v>
      </c>
      <c r="B47" s="34">
        <f t="shared" si="0"/>
        <v>2168.1604299363057</v>
      </c>
      <c r="C47" s="35" t="s">
        <v>110</v>
      </c>
      <c r="D47" s="177"/>
    </row>
    <row r="48" spans="1:7">
      <c r="A48" s="174" t="s">
        <v>74</v>
      </c>
      <c r="B48" s="34">
        <f t="shared" si="0"/>
        <v>174.56369426751593</v>
      </c>
      <c r="C48" s="34">
        <f>B48*10</f>
        <v>1745.6369426751594</v>
      </c>
      <c r="D48" s="237"/>
    </row>
    <row r="49" spans="1:6">
      <c r="A49" s="174" t="s">
        <v>75</v>
      </c>
      <c r="B49" s="34" t="str">
        <f t="shared" si="0"/>
        <v>-</v>
      </c>
      <c r="C49" s="35" t="s">
        <v>110</v>
      </c>
      <c r="D49" s="237"/>
    </row>
    <row r="50" spans="1:6">
      <c r="A50" s="174" t="s">
        <v>76</v>
      </c>
      <c r="B50" s="34">
        <f t="shared" si="0"/>
        <v>0</v>
      </c>
      <c r="C50" s="34">
        <f>B50*2</f>
        <v>0</v>
      </c>
      <c r="D50" s="237"/>
    </row>
    <row r="51" spans="1:6">
      <c r="A51" s="174" t="s">
        <v>77</v>
      </c>
      <c r="B51" s="34">
        <f t="shared" si="0"/>
        <v>1023.5</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128</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19</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70519.054816271935</v>
      </c>
      <c r="C5" s="18">
        <f>IF(ISERROR('Eigen informatie GS &amp; warmtenet'!B58),0,'Eigen informatie GS &amp; warmtenet'!B58)</f>
        <v>0</v>
      </c>
      <c r="D5" s="31">
        <f>SUM(D6:D12)</f>
        <v>49796.991310676873</v>
      </c>
      <c r="E5" s="18">
        <f>SUM(E6:E12)</f>
        <v>237.23911688569606</v>
      </c>
      <c r="F5" s="18">
        <f>SUM(F6:F12)</f>
        <v>19295.593456174178</v>
      </c>
      <c r="G5" s="19"/>
      <c r="H5" s="18"/>
      <c r="I5" s="18"/>
      <c r="J5" s="18">
        <f>SUM(J6:J12)</f>
        <v>0</v>
      </c>
      <c r="K5" s="18"/>
      <c r="L5" s="18"/>
      <c r="M5" s="18"/>
      <c r="N5" s="18">
        <f>SUM(N6:N12)</f>
        <v>2348.5657114545243</v>
      </c>
      <c r="O5" s="18">
        <f>B38*B39*B40</f>
        <v>6.2533333333333339</v>
      </c>
      <c r="P5" s="18">
        <f>B46*B47*B48/1000-B46*B47*B48/1000/B49</f>
        <v>57.2</v>
      </c>
      <c r="R5" s="33"/>
    </row>
    <row r="6" spans="1:18">
      <c r="A6" s="33" t="s">
        <v>53</v>
      </c>
      <c r="B6" s="38">
        <f>B26</f>
        <v>14576.8793578439</v>
      </c>
      <c r="C6" s="34"/>
      <c r="D6" s="38">
        <f>IF(ISERROR(TER_kantoor_gas_kWh/1000),0,TER_kantoor_gas_kWh/1000)*0.902</f>
        <v>22040.861878927739</v>
      </c>
      <c r="E6" s="34">
        <f>$C$26*'E Balans VL '!I12/100/3.6*1000000</f>
        <v>23.923613407621158</v>
      </c>
      <c r="F6" s="34">
        <f>$C$26*('E Balans VL '!L12+'E Balans VL '!N12)/100/3.6*1000000</f>
        <v>1718.2711009436252</v>
      </c>
      <c r="G6" s="35"/>
      <c r="H6" s="34"/>
      <c r="I6" s="34"/>
      <c r="J6" s="34">
        <f>$C$26*('E Balans VL '!D12+'E Balans VL '!E12)/100/3.6*1000000</f>
        <v>0</v>
      </c>
      <c r="K6" s="34"/>
      <c r="L6" s="34"/>
      <c r="M6" s="34"/>
      <c r="N6" s="34">
        <f>$C$26*'E Balans VL '!Y12/100/3.6*1000000</f>
        <v>2.9451894470775253</v>
      </c>
      <c r="O6" s="34"/>
      <c r="P6" s="34"/>
      <c r="R6" s="33"/>
    </row>
    <row r="7" spans="1:18">
      <c r="A7" s="33" t="s">
        <v>52</v>
      </c>
      <c r="B7" s="38">
        <f t="shared" ref="B7:B12" si="0">B27</f>
        <v>1525.79005719925</v>
      </c>
      <c r="C7" s="34"/>
      <c r="D7" s="38">
        <f>IF(ISERROR(TER_horeca_gas_kWh/1000),0,TER_horeca_gas_kWh/1000)*0.902</f>
        <v>2532.9390393429999</v>
      </c>
      <c r="E7" s="34">
        <f>$C$27*'E Balans VL '!I9/100/3.6*1000000</f>
        <v>79.177463115521732</v>
      </c>
      <c r="F7" s="34">
        <f>$C$27*('E Balans VL '!L9+'E Balans VL '!N9)/100/3.6*1000000</f>
        <v>348.18639817162142</v>
      </c>
      <c r="G7" s="35"/>
      <c r="H7" s="34"/>
      <c r="I7" s="34"/>
      <c r="J7" s="34">
        <f>$C$27*('E Balans VL '!D9+'E Balans VL '!E9)/100/3.6*1000000</f>
        <v>0</v>
      </c>
      <c r="K7" s="34"/>
      <c r="L7" s="34"/>
      <c r="M7" s="34"/>
      <c r="N7" s="34">
        <f>$C$27*'E Balans VL '!Y9/100/3.6*1000000</f>
        <v>0.16112273081644177</v>
      </c>
      <c r="O7" s="34"/>
      <c r="P7" s="34"/>
      <c r="R7" s="33"/>
    </row>
    <row r="8" spans="1:18">
      <c r="A8" s="6" t="s">
        <v>51</v>
      </c>
      <c r="B8" s="38">
        <f t="shared" si="0"/>
        <v>8979.0058118033503</v>
      </c>
      <c r="C8" s="34"/>
      <c r="D8" s="38">
        <f>IF(ISERROR(TER_handel_gas_kWh/1000),0,TER_handel_gas_kWh/1000)*0.902</f>
        <v>5318.6016917160232</v>
      </c>
      <c r="E8" s="34">
        <f>$C$28*'E Balans VL '!I13/100/3.6*1000000</f>
        <v>48.353049669725166</v>
      </c>
      <c r="F8" s="34">
        <f>$C$28*('E Balans VL '!L13+'E Balans VL '!N13)/100/3.6*1000000</f>
        <v>1831.0861170467338</v>
      </c>
      <c r="G8" s="35"/>
      <c r="H8" s="34"/>
      <c r="I8" s="34"/>
      <c r="J8" s="34">
        <f>$C$28*('E Balans VL '!D13+'E Balans VL '!E13)/100/3.6*1000000</f>
        <v>0</v>
      </c>
      <c r="K8" s="34"/>
      <c r="L8" s="34"/>
      <c r="M8" s="34"/>
      <c r="N8" s="34">
        <f>$C$28*'E Balans VL '!Y13/100/3.6*1000000</f>
        <v>44.647854224980655</v>
      </c>
      <c r="O8" s="34"/>
      <c r="P8" s="34"/>
      <c r="R8" s="33"/>
    </row>
    <row r="9" spans="1:18">
      <c r="A9" s="33" t="s">
        <v>50</v>
      </c>
      <c r="B9" s="38">
        <f t="shared" si="0"/>
        <v>34901.311190292596</v>
      </c>
      <c r="C9" s="34"/>
      <c r="D9" s="38">
        <f>IF(ISERROR(TER_gezond_gas_kWh/1000),0,TER_gezond_gas_kWh/1000)*0.902</f>
        <v>3117.1018098141603</v>
      </c>
      <c r="E9" s="34">
        <f>$C$29*'E Balans VL '!I10/100/3.6*1000000</f>
        <v>34.587596285648225</v>
      </c>
      <c r="F9" s="34">
        <f>$C$29*('E Balans VL '!L10+'E Balans VL '!N10)/100/3.6*1000000</f>
        <v>12109.748991330693</v>
      </c>
      <c r="G9" s="35"/>
      <c r="H9" s="34"/>
      <c r="I9" s="34"/>
      <c r="J9" s="34">
        <f>$C$29*('E Balans VL '!D10+'E Balans VL '!E10)/100/3.6*1000000</f>
        <v>0</v>
      </c>
      <c r="K9" s="34"/>
      <c r="L9" s="34"/>
      <c r="M9" s="34"/>
      <c r="N9" s="34">
        <f>$C$29*'E Balans VL '!Y10/100/3.6*1000000</f>
        <v>300.74157504065835</v>
      </c>
      <c r="O9" s="34"/>
      <c r="P9" s="34"/>
      <c r="R9" s="33"/>
    </row>
    <row r="10" spans="1:18">
      <c r="A10" s="33" t="s">
        <v>49</v>
      </c>
      <c r="B10" s="38">
        <f t="shared" si="0"/>
        <v>3142.73104694115</v>
      </c>
      <c r="C10" s="34"/>
      <c r="D10" s="38">
        <f>IF(ISERROR(TER_ander_gas_kWh/1000),0,TER_ander_gas_kWh/1000)*0.902</f>
        <v>922.89340078955104</v>
      </c>
      <c r="E10" s="34">
        <f>$C$30*'E Balans VL '!I14/100/3.6*1000000</f>
        <v>25.710680899969354</v>
      </c>
      <c r="F10" s="34">
        <f>$C$30*('E Balans VL '!L14+'E Balans VL '!N14)/100/3.6*1000000</f>
        <v>918.80661224560083</v>
      </c>
      <c r="G10" s="35"/>
      <c r="H10" s="34"/>
      <c r="I10" s="34"/>
      <c r="J10" s="34">
        <f>$C$30*('E Balans VL '!D14+'E Balans VL '!E14)/100/3.6*1000000</f>
        <v>0</v>
      </c>
      <c r="K10" s="34"/>
      <c r="L10" s="34"/>
      <c r="M10" s="34"/>
      <c r="N10" s="34">
        <f>$C$30*'E Balans VL '!Y14/100/3.6*1000000</f>
        <v>1812.9434529294645</v>
      </c>
      <c r="O10" s="34"/>
      <c r="P10" s="34"/>
      <c r="R10" s="33"/>
    </row>
    <row r="11" spans="1:18">
      <c r="A11" s="33" t="s">
        <v>54</v>
      </c>
      <c r="B11" s="38">
        <f t="shared" si="0"/>
        <v>4784.9354379689203</v>
      </c>
      <c r="C11" s="34"/>
      <c r="D11" s="38">
        <f>IF(ISERROR(TER_onderwijs_gas_kWh/1000),0,TER_onderwijs_gas_kWh/1000)*0.902</f>
        <v>10373.695125375001</v>
      </c>
      <c r="E11" s="34">
        <f>$C$31*'E Balans VL '!I11/100/3.6*1000000</f>
        <v>2.9492323074932663</v>
      </c>
      <c r="F11" s="34">
        <f>$C$31*('E Balans VL '!L11+'E Balans VL '!N11)/100/3.6*1000000</f>
        <v>1849.9335307658953</v>
      </c>
      <c r="G11" s="35"/>
      <c r="H11" s="34"/>
      <c r="I11" s="34"/>
      <c r="J11" s="34">
        <f>$C$31*('E Balans VL '!D11+'E Balans VL '!E11)/100/3.6*1000000</f>
        <v>0</v>
      </c>
      <c r="K11" s="34"/>
      <c r="L11" s="34"/>
      <c r="M11" s="34"/>
      <c r="N11" s="34">
        <f>$C$31*'E Balans VL '!Y11/100/3.6*1000000</f>
        <v>15.564369589942094</v>
      </c>
      <c r="O11" s="34"/>
      <c r="P11" s="34"/>
      <c r="R11" s="33"/>
    </row>
    <row r="12" spans="1:18">
      <c r="A12" s="33" t="s">
        <v>259</v>
      </c>
      <c r="B12" s="38">
        <f t="shared" si="0"/>
        <v>2608.4019142227603</v>
      </c>
      <c r="C12" s="34"/>
      <c r="D12" s="38">
        <f>IF(ISERROR(TER_rest_gas_kWh/1000),0,TER_rest_gas_kWh/1000)*0.902</f>
        <v>5490.8983647113992</v>
      </c>
      <c r="E12" s="34">
        <f>$C$32*'E Balans VL '!I8/100/3.6*1000000</f>
        <v>22.53748119971716</v>
      </c>
      <c r="F12" s="34">
        <f>$C$32*('E Balans VL '!L8+'E Balans VL '!N8)/100/3.6*1000000</f>
        <v>519.56070567001143</v>
      </c>
      <c r="G12" s="35"/>
      <c r="H12" s="34"/>
      <c r="I12" s="34"/>
      <c r="J12" s="34">
        <f>$C$32*('E Balans VL '!D8+'E Balans VL '!E8)/100/3.6*1000000</f>
        <v>0</v>
      </c>
      <c r="K12" s="34"/>
      <c r="L12" s="34"/>
      <c r="M12" s="34"/>
      <c r="N12" s="34">
        <f>$C$32*'E Balans VL '!Y8/100/3.6*1000000</f>
        <v>171.56214749158482</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70519.054816271935</v>
      </c>
      <c r="C16" s="22">
        <f t="shared" ca="1" si="1"/>
        <v>0</v>
      </c>
      <c r="D16" s="22">
        <f t="shared" ca="1" si="1"/>
        <v>49796.991310676873</v>
      </c>
      <c r="E16" s="22">
        <f t="shared" si="1"/>
        <v>237.23911688569606</v>
      </c>
      <c r="F16" s="22">
        <f t="shared" ca="1" si="1"/>
        <v>19295.593456174178</v>
      </c>
      <c r="G16" s="22">
        <f t="shared" si="1"/>
        <v>0</v>
      </c>
      <c r="H16" s="22">
        <f t="shared" si="1"/>
        <v>0</v>
      </c>
      <c r="I16" s="22">
        <f t="shared" si="1"/>
        <v>0</v>
      </c>
      <c r="J16" s="22">
        <f t="shared" si="1"/>
        <v>0</v>
      </c>
      <c r="K16" s="22">
        <f t="shared" si="1"/>
        <v>0</v>
      </c>
      <c r="L16" s="22">
        <f t="shared" ca="1" si="1"/>
        <v>0</v>
      </c>
      <c r="M16" s="22">
        <f t="shared" si="1"/>
        <v>0</v>
      </c>
      <c r="N16" s="22">
        <f t="shared" ca="1" si="1"/>
        <v>2348.5657114545243</v>
      </c>
      <c r="O16" s="22">
        <f>O5</f>
        <v>6.2533333333333339</v>
      </c>
      <c r="P16" s="22">
        <f>P5</f>
        <v>57.2</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0.21543346436016761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15192.164282474027</v>
      </c>
      <c r="C20" s="24">
        <f t="shared" ref="C20:P20" ca="1" si="2">C16*C18</f>
        <v>0</v>
      </c>
      <c r="D20" s="24">
        <f t="shared" ca="1" si="2"/>
        <v>10058.99224475673</v>
      </c>
      <c r="E20" s="24">
        <f t="shared" si="2"/>
        <v>53.853279533053005</v>
      </c>
      <c r="F20" s="24">
        <f t="shared" ca="1" si="2"/>
        <v>5151.9234527985054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14576.8793578439</v>
      </c>
      <c r="C26" s="40">
        <f>IF(ISERROR(B26*3.6/1000000/'E Balans VL '!Z12*100),0,B26*3.6/1000000/'E Balans VL '!Z12*100)</f>
        <v>0.30974823282147507</v>
      </c>
      <c r="D26" s="240" t="s">
        <v>703</v>
      </c>
      <c r="F26" s="6"/>
    </row>
    <row r="27" spans="1:18">
      <c r="A27" s="234" t="s">
        <v>52</v>
      </c>
      <c r="B27" s="34">
        <f>IF(ISERROR(TER_horeca_ele_kWh/1000),0,TER_horeca_ele_kWh/1000)</f>
        <v>1525.79005719925</v>
      </c>
      <c r="C27" s="40">
        <f>IF(ISERROR(B27*3.6/1000000/'E Balans VL '!Z9*100),0,B27*3.6/1000000/'E Balans VL '!Z9*100)</f>
        <v>0.12009147638492555</v>
      </c>
      <c r="D27" s="240" t="s">
        <v>703</v>
      </c>
      <c r="F27" s="6"/>
    </row>
    <row r="28" spans="1:18">
      <c r="A28" s="174" t="s">
        <v>51</v>
      </c>
      <c r="B28" s="34">
        <f>IF(ISERROR(TER_handel_ele_kWh/1000),0,TER_handel_ele_kWh/1000)</f>
        <v>8979.0058118033503</v>
      </c>
      <c r="C28" s="40">
        <f>IF(ISERROR(B28*3.6/1000000/'E Balans VL '!Z13*100),0,B28*3.6/1000000/'E Balans VL '!Z13*100)</f>
        <v>0.25150675816280754</v>
      </c>
      <c r="D28" s="240" t="s">
        <v>703</v>
      </c>
      <c r="F28" s="6"/>
    </row>
    <row r="29" spans="1:18">
      <c r="A29" s="234" t="s">
        <v>50</v>
      </c>
      <c r="B29" s="34">
        <f>IF(ISERROR(TER_gezond_ele_kWh/1000),0,TER_gezond_ele_kWh/1000)</f>
        <v>34901.311190292596</v>
      </c>
      <c r="C29" s="40">
        <f>IF(ISERROR(B29*3.6/1000000/'E Balans VL '!Z10*100),0,B29*3.6/1000000/'E Balans VL '!Z10*100)</f>
        <v>4.4649330743843061</v>
      </c>
      <c r="D29" s="240" t="s">
        <v>703</v>
      </c>
      <c r="F29" s="6"/>
    </row>
    <row r="30" spans="1:18">
      <c r="A30" s="234" t="s">
        <v>49</v>
      </c>
      <c r="B30" s="34">
        <f>IF(ISERROR(TER_ander_ele_kWh/1000),0,TER_ander_ele_kWh/1000)</f>
        <v>3142.73104694115</v>
      </c>
      <c r="C30" s="40">
        <f>IF(ISERROR(B30*3.6/1000000/'E Balans VL '!Z14*100),0,B30*3.6/1000000/'E Balans VL '!Z14*100)</f>
        <v>0.23504980119680055</v>
      </c>
      <c r="D30" s="240" t="s">
        <v>703</v>
      </c>
      <c r="F30" s="6"/>
    </row>
    <row r="31" spans="1:18">
      <c r="A31" s="234" t="s">
        <v>54</v>
      </c>
      <c r="B31" s="34">
        <f>IF(ISERROR(TER_onderwijs_ele_kWh/1000),0,TER_onderwijs_ele_kWh/1000)</f>
        <v>4784.9354379689203</v>
      </c>
      <c r="C31" s="40">
        <f>IF(ISERROR(B31*3.6/1000000/'E Balans VL '!Z11*100),0,B31*3.6/1000000/'E Balans VL '!Z11*100)</f>
        <v>1.0103453158027973</v>
      </c>
      <c r="D31" s="240" t="s">
        <v>703</v>
      </c>
    </row>
    <row r="32" spans="1:18">
      <c r="A32" s="234" t="s">
        <v>259</v>
      </c>
      <c r="B32" s="34">
        <f>IF(ISERROR(TER_rest_ele_kWh/1000),0,TER_rest_ele_kWh/1000)</f>
        <v>2608.4019142227603</v>
      </c>
      <c r="C32" s="40">
        <f>IF(ISERROR(B32*3.6/1000000/'E Balans VL '!Z8*100),0,B32*3.6/1000000/'E Balans VL '!Z8*100)</f>
        <v>2.1487837768729885E-2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4</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3</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29432.213527841584</v>
      </c>
      <c r="C5" s="18">
        <f>IF(ISERROR('Eigen informatie GS &amp; warmtenet'!B59),0,'Eigen informatie GS &amp; warmtenet'!B59)</f>
        <v>0</v>
      </c>
      <c r="D5" s="31">
        <f>SUM(D6:D15)</f>
        <v>13352.817844320103</v>
      </c>
      <c r="E5" s="18">
        <f>SUM(E6:E15)</f>
        <v>268.57497615434391</v>
      </c>
      <c r="F5" s="18">
        <f>SUM(F6:F15)</f>
        <v>6894.381298841271</v>
      </c>
      <c r="G5" s="19"/>
      <c r="H5" s="18"/>
      <c r="I5" s="18"/>
      <c r="J5" s="18">
        <f>SUM(J6:J15)</f>
        <v>143.22406911657015</v>
      </c>
      <c r="K5" s="18"/>
      <c r="L5" s="18"/>
      <c r="M5" s="18"/>
      <c r="N5" s="18">
        <f>SUM(N6:N15)</f>
        <v>1095.3314962892323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850.64221656772793</v>
      </c>
      <c r="C8" s="34"/>
      <c r="D8" s="38">
        <f>IF( ISERROR(IND_metaal_Gas_kWH/1000),0,IND_metaal_Gas_kWH/1000)*0.902</f>
        <v>820.62602980228257</v>
      </c>
      <c r="E8" s="34">
        <f>C30*'E Balans VL '!I18/100/3.6*1000000</f>
        <v>7.7466453700456697</v>
      </c>
      <c r="F8" s="34">
        <f>C30*'E Balans VL '!L18/100/3.6*1000000+C30*'E Balans VL '!N18/100/3.6*1000000</f>
        <v>112.19324847733863</v>
      </c>
      <c r="G8" s="35"/>
      <c r="H8" s="34"/>
      <c r="I8" s="34"/>
      <c r="J8" s="41">
        <f>C30*'E Balans VL '!D18/100/3.6*1000000+C30*'E Balans VL '!E18/100/3.6*1000000</f>
        <v>13.94929726368647</v>
      </c>
      <c r="K8" s="34"/>
      <c r="L8" s="34"/>
      <c r="M8" s="34"/>
      <c r="N8" s="34">
        <f>C30*'E Balans VL '!Y18/100/3.6*1000000</f>
        <v>2.9233193815895708</v>
      </c>
      <c r="O8" s="34"/>
      <c r="P8" s="34"/>
      <c r="R8" s="33"/>
    </row>
    <row r="9" spans="1:18">
      <c r="A9" s="6" t="s">
        <v>32</v>
      </c>
      <c r="B9" s="38">
        <f t="shared" si="0"/>
        <v>2019.1622383215599</v>
      </c>
      <c r="C9" s="34"/>
      <c r="D9" s="38">
        <f>IF( ISERROR(IND_andere_gas_kWh/1000),0,IND_andere_gas_kWh/1000)*0.902</f>
        <v>1861.0217558144734</v>
      </c>
      <c r="E9" s="34">
        <f>C31*'E Balans VL '!I19/100/3.6*1000000</f>
        <v>11.671059476337414</v>
      </c>
      <c r="F9" s="34">
        <f>C31*'E Balans VL '!L19/100/3.6*1000000+C31*'E Balans VL '!N19/100/3.6*1000000</f>
        <v>1606.3407188270155</v>
      </c>
      <c r="G9" s="35"/>
      <c r="H9" s="34"/>
      <c r="I9" s="34"/>
      <c r="J9" s="41">
        <f>C31*'E Balans VL '!D19/100/3.6*1000000+C31*'E Balans VL '!E19/100/3.6*1000000</f>
        <v>0.19099031952632861</v>
      </c>
      <c r="K9" s="34"/>
      <c r="L9" s="34"/>
      <c r="M9" s="34"/>
      <c r="N9" s="34">
        <f>C31*'E Balans VL '!Y19/100/3.6*1000000</f>
        <v>152.98209615539926</v>
      </c>
      <c r="O9" s="34"/>
      <c r="P9" s="34"/>
      <c r="R9" s="33"/>
    </row>
    <row r="10" spans="1:18">
      <c r="A10" s="6" t="s">
        <v>40</v>
      </c>
      <c r="B10" s="38">
        <f t="shared" si="0"/>
        <v>504.96205280418701</v>
      </c>
      <c r="C10" s="34"/>
      <c r="D10" s="38">
        <f>IF( ISERROR(IND_voed_gas_kWh/1000),0,IND_voed_gas_kWh/1000)*0.902</f>
        <v>309.62001089213351</v>
      </c>
      <c r="E10" s="34">
        <f>C32*'E Balans VL '!I20/100/3.6*1000000</f>
        <v>4.9650980362034796</v>
      </c>
      <c r="F10" s="34">
        <f>C32*'E Balans VL '!L20/100/3.6*1000000+C32*'E Balans VL '!N20/100/3.6*1000000</f>
        <v>56.082627054011454</v>
      </c>
      <c r="G10" s="35"/>
      <c r="H10" s="34"/>
      <c r="I10" s="34"/>
      <c r="J10" s="41">
        <f>C32*'E Balans VL '!D20/100/3.6*1000000+C32*'E Balans VL '!E20/100/3.6*1000000</f>
        <v>1.9902846890794365E-3</v>
      </c>
      <c r="K10" s="34"/>
      <c r="L10" s="34"/>
      <c r="M10" s="34"/>
      <c r="N10" s="34">
        <f>C32*'E Balans VL '!Y20/100/3.6*1000000</f>
        <v>7.477300206078942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12.3378287102292</v>
      </c>
      <c r="C12" s="34"/>
      <c r="D12" s="38">
        <f>IF( ISERROR(IND_min_gas_kWh/1000),0,IND_min_gas_kWh/1000)*0.902</f>
        <v>0</v>
      </c>
      <c r="E12" s="34">
        <f>C34*'E Balans VL '!I22/100/3.6*1000000</f>
        <v>0.3127859129097717</v>
      </c>
      <c r="F12" s="34">
        <f>C34*'E Balans VL '!L22/100/3.6*1000000+C34*'E Balans VL '!N22/100/3.6*1000000</f>
        <v>3.4139202087362075</v>
      </c>
      <c r="G12" s="35"/>
      <c r="H12" s="34"/>
      <c r="I12" s="34"/>
      <c r="J12" s="41">
        <f>C34*'E Balans VL '!D22/100/3.6*1000000+C34*'E Balans VL '!E22/100/3.6*1000000</f>
        <v>8.1481500100480414E-2</v>
      </c>
      <c r="K12" s="34"/>
      <c r="L12" s="34"/>
      <c r="M12" s="34"/>
      <c r="N12" s="34">
        <f>C34*'E Balans VL '!Y22/100/3.6*1000000</f>
        <v>0</v>
      </c>
      <c r="O12" s="34"/>
      <c r="P12" s="34"/>
      <c r="R12" s="33"/>
    </row>
    <row r="13" spans="1:18">
      <c r="A13" s="6" t="s">
        <v>38</v>
      </c>
      <c r="B13" s="38">
        <f t="shared" si="0"/>
        <v>392.65353967937904</v>
      </c>
      <c r="C13" s="34"/>
      <c r="D13" s="38">
        <f>IF( ISERROR(IND_papier_gas_kWh/1000),0,IND_papier_gas_kWh/1000)*0.902</f>
        <v>112.92739253853273</v>
      </c>
      <c r="E13" s="34">
        <f>C35*'E Balans VL '!I23/100/3.6*1000000</f>
        <v>13.374348872304815</v>
      </c>
      <c r="F13" s="34">
        <f>C35*'E Balans VL '!L23/100/3.6*1000000+C35*'E Balans VL '!N23/100/3.6*1000000</f>
        <v>64.85714937482345</v>
      </c>
      <c r="G13" s="35"/>
      <c r="H13" s="34"/>
      <c r="I13" s="34"/>
      <c r="J13" s="41">
        <f>C35*'E Balans VL '!D23/100/3.6*1000000+C35*'E Balans VL '!E23/100/3.6*1000000</f>
        <v>0</v>
      </c>
      <c r="K13" s="34"/>
      <c r="L13" s="34"/>
      <c r="M13" s="34"/>
      <c r="N13" s="34">
        <f>C35*'E Balans VL '!Y23/100/3.6*1000000</f>
        <v>144.48597245037521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25652.455651758501</v>
      </c>
      <c r="C15" s="34"/>
      <c r="D15" s="38">
        <f>IF( ISERROR(IND_rest_gas_kWh/1000),0,IND_rest_gas_kWh/1000)*0.902</f>
        <v>10248.622655272682</v>
      </c>
      <c r="E15" s="34">
        <f>C37*'E Balans VL '!I15/100/3.6*1000000</f>
        <v>230.50503848654279</v>
      </c>
      <c r="F15" s="34">
        <f>C37*'E Balans VL '!L15/100/3.6*1000000+C37*'E Balans VL '!N15/100/3.6*1000000</f>
        <v>5051.493634899346</v>
      </c>
      <c r="G15" s="35"/>
      <c r="H15" s="34"/>
      <c r="I15" s="34"/>
      <c r="J15" s="41">
        <f>C37*'E Balans VL '!D15/100/3.6*1000000+C37*'E Balans VL '!E15/100/3.6*1000000</f>
        <v>129.00030974856779</v>
      </c>
      <c r="K15" s="34"/>
      <c r="L15" s="34"/>
      <c r="M15" s="34"/>
      <c r="N15" s="34">
        <f>C37*'E Balans VL '!Y15/100/3.6*1000000</f>
        <v>787.46280809578923</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29432.213527841584</v>
      </c>
      <c r="C18" s="22">
        <f>C5+C16</f>
        <v>0</v>
      </c>
      <c r="D18" s="22">
        <f>MAX((D5+D16),0)</f>
        <v>13352.817844320103</v>
      </c>
      <c r="E18" s="22">
        <f>MAX((E5+E16),0)</f>
        <v>268.57497615434391</v>
      </c>
      <c r="F18" s="22">
        <f>MAX((F5+F16),0)</f>
        <v>6894.381298841271</v>
      </c>
      <c r="G18" s="22"/>
      <c r="H18" s="22"/>
      <c r="I18" s="22"/>
      <c r="J18" s="22">
        <f>MAX((J5+J16),0)</f>
        <v>143.22406911657015</v>
      </c>
      <c r="K18" s="22"/>
      <c r="L18" s="22">
        <f>MAX((L5+L16),0)</f>
        <v>0</v>
      </c>
      <c r="M18" s="22"/>
      <c r="N18" s="22">
        <f>MAX((N5+N16),0)</f>
        <v>1095.3314962892323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0.21543346436016761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6340.6837240911027</v>
      </c>
      <c r="C22" s="24">
        <f ca="1">C18*C20</f>
        <v>0</v>
      </c>
      <c r="D22" s="24">
        <f>D18*D20</f>
        <v>2697.269204552661</v>
      </c>
      <c r="E22" s="24">
        <f>E18*E20</f>
        <v>60.966519587036068</v>
      </c>
      <c r="F22" s="24">
        <f>F18*F20</f>
        <v>1840.7998067906194</v>
      </c>
      <c r="G22" s="24"/>
      <c r="H22" s="24"/>
      <c r="I22" s="24"/>
      <c r="J22" s="24">
        <f>J18*J20</f>
        <v>50.70132046726583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850.64221656772793</v>
      </c>
      <c r="C30" s="40">
        <f>IF(ISERROR(B30*3.6/1000000/'E Balans VL '!Z18*100),0,B30*3.6/1000000/'E Balans VL '!Z18*100)</f>
        <v>4.7332551156295102E-2</v>
      </c>
      <c r="D30" s="240" t="s">
        <v>703</v>
      </c>
    </row>
    <row r="31" spans="1:18">
      <c r="A31" s="6" t="s">
        <v>32</v>
      </c>
      <c r="B31" s="38">
        <f>IF( ISERROR(IND_ander_ele_kWh/1000),0,IND_ander_ele_kWh/1000)</f>
        <v>2019.1622383215599</v>
      </c>
      <c r="C31" s="40">
        <f>IF(ISERROR(B31*3.6/1000000/'E Balans VL '!Z19*100),0,B31*3.6/1000000/'E Balans VL '!Z19*100)</f>
        <v>9.3865549528298023E-2</v>
      </c>
      <c r="D31" s="240" t="s">
        <v>703</v>
      </c>
    </row>
    <row r="32" spans="1:18">
      <c r="A32" s="174" t="s">
        <v>40</v>
      </c>
      <c r="B32" s="38">
        <f>IF( ISERROR(IND_voed_ele_kWh/1000),0,IND_voed_ele_kWh/1000)</f>
        <v>504.96205280418701</v>
      </c>
      <c r="C32" s="40">
        <f>IF(ISERROR(B32*3.6/1000000/'E Balans VL '!Z20*100),0,B32*3.6/1000000/'E Balans VL '!Z20*100)</f>
        <v>1.78493887525728E-2</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12.3378287102292</v>
      </c>
      <c r="C34" s="40">
        <f>IF(ISERROR(B34*3.6/1000000/'E Balans VL '!Z22*100),0,B34*3.6/1000000/'E Balans VL '!Z22*100)</f>
        <v>2.4795556557404364E-3</v>
      </c>
      <c r="D34" s="240" t="s">
        <v>703</v>
      </c>
    </row>
    <row r="35" spans="1:5">
      <c r="A35" s="174" t="s">
        <v>38</v>
      </c>
      <c r="B35" s="38">
        <f>IF( ISERROR(IND_papier_ele_kWh/1000),0,IND_papier_ele_kWh/1000)</f>
        <v>392.65353967937904</v>
      </c>
      <c r="C35" s="40">
        <f>IF(ISERROR(B35*3.6/1000000/'E Balans VL '!Z22*100),0,B35*3.6/1000000/'E Balans VL '!Z22*100)</f>
        <v>7.8912289019809193E-2</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25652.455651758501</v>
      </c>
      <c r="C37" s="40">
        <f>IF(ISERROR(B37*3.6/1000000/'E Balans VL '!Z15*100),0,B37*3.6/1000000/'E Balans VL '!Z15*100)</f>
        <v>0.19371393457797589</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2470.5409279138603</v>
      </c>
      <c r="C5" s="18">
        <f>'Eigen informatie GS &amp; warmtenet'!B60</f>
        <v>0</v>
      </c>
      <c r="D5" s="31">
        <f>IF(ISERROR(SUM(LB_lb_gas_kWh,LB_rest_gas_kWh)/1000),0,SUM(LB_lb_gas_kWh,LB_rest_gas_kWh)/1000)*0.902</f>
        <v>9624.7677649820998</v>
      </c>
      <c r="E5" s="18">
        <f>B17*'E Balans VL '!I25/3.6*1000000/100</f>
        <v>23.274150857669785</v>
      </c>
      <c r="F5" s="18">
        <f>B17*('E Balans VL '!L25/3.6*1000000+'E Balans VL '!N25/3.6*1000000)/100</f>
        <v>8062.1949483105618</v>
      </c>
      <c r="G5" s="19"/>
      <c r="H5" s="18"/>
      <c r="I5" s="18"/>
      <c r="J5" s="18">
        <f>('E Balans VL '!D25+'E Balans VL '!E25)/3.6*1000000*landbouw!B17/100</f>
        <v>305.61792949170962</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2470.5409279138603</v>
      </c>
      <c r="C8" s="22">
        <f>C5+C6</f>
        <v>0</v>
      </c>
      <c r="D8" s="22">
        <f>MAX((D5+D6),0)</f>
        <v>9624.7677649820998</v>
      </c>
      <c r="E8" s="22">
        <f>MAX((E5+E6),0)</f>
        <v>23.274150857669785</v>
      </c>
      <c r="F8" s="22">
        <f>MAX((F5+F6),0)</f>
        <v>8062.1949483105618</v>
      </c>
      <c r="G8" s="22"/>
      <c r="H8" s="22"/>
      <c r="I8" s="22"/>
      <c r="J8" s="22">
        <f>MAX((J5+J6),0)</f>
        <v>305.61792949170962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0.21543346436016761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532.23719094406601</v>
      </c>
      <c r="C12" s="24">
        <f ca="1">C8*C10</f>
        <v>0</v>
      </c>
      <c r="D12" s="24">
        <f>D8*D10</f>
        <v>1944.2030885263844</v>
      </c>
      <c r="E12" s="24">
        <f>E8*E10</f>
        <v>5.2832322446910416</v>
      </c>
      <c r="F12" s="24">
        <f>F8*F10</f>
        <v>2152.6060511989203</v>
      </c>
      <c r="G12" s="24"/>
      <c r="H12" s="24"/>
      <c r="I12" s="24"/>
      <c r="J12" s="24">
        <f>J8*J10</f>
        <v>108.18874704006519</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0.33447176365750009</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113.49351428912438</v>
      </c>
      <c r="C26" s="250">
        <f>B26*'GWP N2O_CH4'!B5</f>
        <v>2383.3638000716119</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17.415205249229384</v>
      </c>
      <c r="C27" s="250">
        <f>B27*'GWP N2O_CH4'!B5</f>
        <v>365.71931023381705</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1.5708495415896946</v>
      </c>
      <c r="C28" s="250">
        <f>B28*'GWP N2O_CH4'!B4</f>
        <v>486.96335789280533</v>
      </c>
      <c r="D28" s="51"/>
    </row>
    <row r="29" spans="1:4">
      <c r="A29" s="42" t="s">
        <v>276</v>
      </c>
      <c r="B29" s="250">
        <f>B34*'ha_N2O bodem landbouw'!B4</f>
        <v>7.5174422961934564</v>
      </c>
      <c r="C29" s="250">
        <f>B29*'GWP N2O_CH4'!B4</f>
        <v>2330.4071118199713</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2.0294727688828073E-3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1.985791014074833E-5</v>
      </c>
      <c r="C5" s="443" t="s">
        <v>210</v>
      </c>
      <c r="D5" s="428">
        <f>SUM(D6:D11)</f>
        <v>4.6719190888779329E-5</v>
      </c>
      <c r="E5" s="428">
        <f>SUM(E6:E11)</f>
        <v>3.244236524062514E-3</v>
      </c>
      <c r="F5" s="441" t="s">
        <v>210</v>
      </c>
      <c r="G5" s="428">
        <f>SUM(G6:G11)</f>
        <v>0.6971483626218693</v>
      </c>
      <c r="H5" s="428">
        <f>SUM(H6:H11)</f>
        <v>0.12106091268454489</v>
      </c>
      <c r="I5" s="443" t="s">
        <v>210</v>
      </c>
      <c r="J5" s="443" t="s">
        <v>210</v>
      </c>
      <c r="K5" s="443" t="s">
        <v>210</v>
      </c>
      <c r="L5" s="443" t="s">
        <v>210</v>
      </c>
      <c r="M5" s="428">
        <f>SUM(M6:M11)</f>
        <v>3.656532551564453E-2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6.1649567132602401E-6</v>
      </c>
      <c r="C6" s="429"/>
      <c r="D6" s="429">
        <f>vkm_GW_PW*SUMIFS(TableVerdeelsleutelVkm[CNG],TableVerdeelsleutelVkm[Voertuigtype],"Lichte voertuigen")*SUMIFS(TableECFTransport[EnergieConsumptieFactor (PJ per km)],TableECFTransport[Index],CONCATENATE($A6,"_CNG_CNG"))</f>
        <v>1.2473327352189076E-5</v>
      </c>
      <c r="E6" s="431">
        <f>vkm_GW_PW*SUMIFS(TableVerdeelsleutelVkm[LPG],TableVerdeelsleutelVkm[Voertuigtype],"Lichte voertuigen")*SUMIFS(TableECFTransport[EnergieConsumptieFactor (PJ per km)],TableECFTransport[Index],CONCATENATE($A6,"_LPG_LPG"))</f>
        <v>8.0526994281963189E-4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0.12858616467150666</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3.2221397572735767E-2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7.1974503456663213E-3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5.8483473024480225E-2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1.5996213767771787E-6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2.6023251537356132E-3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4.73461159430462E-6</v>
      </c>
      <c r="C8" s="429"/>
      <c r="D8" s="431">
        <f>vkm_NGW_PW*SUMIFS(TableVerdeelsleutelVkm[CNG],TableVerdeelsleutelVkm[Voertuigtype],"Lichte voertuigen")*SUMIFS(TableECFTransport[EnergieConsumptieFactor (PJ per km)],TableECFTransport[Index],CONCATENATE($A8,"_CNG_CNG"))</f>
        <v>1.625888829634136E-5</v>
      </c>
      <c r="E8" s="431">
        <f>vkm_NGW_PW*SUMIFS(TableVerdeelsleutelVkm[LPG],TableVerdeelsleutelVkm[Voertuigtype],"Lichte voertuigen")*SUMIFS(TableECFTransport[EnergieConsumptieFactor (PJ per km)],TableECFTransport[Index],CONCATENATE($A8,"_LPG_LPG"))</f>
        <v>9.8803220960478363E-4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0.15019351081576543</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4.0081392205356101E-2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8.5189176065165358E-3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4.5267958816563668E-2</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1.4378611532333458E-6</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2.0142867170878129E-3</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8.9583418331834697E-6</v>
      </c>
      <c r="C10" s="429"/>
      <c r="D10" s="431">
        <f>vkm_SW_PW*SUMIFS(TableVerdeelsleutelVkm[CNG],TableVerdeelsleutelVkm[Voertuigtype],"Lichte voertuigen")*SUMIFS(TableECFTransport[EnergieConsumptieFactor (PJ per km)],TableECFTransport[Index],CONCATENATE($A10,"_CNG_CNG"))</f>
        <v>1.7986975240248895E-5</v>
      </c>
      <c r="E10" s="431">
        <f>vkm_SW_PW*SUMIFS(TableVerdeelsleutelVkm[LPG],TableVerdeelsleutelVkm[Voertuigtype],"Lichte voertuigen")*SUMIFS(TableECFTransport[EnergieConsumptieFactor (PJ per km)],TableECFTransport[Index],CONCATENATE($A10,"_LPG_LPG"))</f>
        <v>1.4509343716380986E-3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0.21179132091329075</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4.8752018612870394E-2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1.1656912958672841E-2</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0.10282593438026259</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3.0668110526055501E-6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4.5754327339653979E-3</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5.5160861502078689</v>
      </c>
      <c r="C14" s="22"/>
      <c r="D14" s="22">
        <f t="shared" ref="D14:M14" si="0">((D5)*10^9/3600)+D12</f>
        <v>12.977553024660926</v>
      </c>
      <c r="E14" s="22">
        <f t="shared" si="0"/>
        <v>901.17681223958721</v>
      </c>
      <c r="F14" s="22"/>
      <c r="G14" s="22">
        <f t="shared" si="0"/>
        <v>193652.32295051924</v>
      </c>
      <c r="H14" s="22">
        <f t="shared" si="0"/>
        <v>33628.031301262468</v>
      </c>
      <c r="I14" s="22"/>
      <c r="J14" s="22"/>
      <c r="K14" s="22"/>
      <c r="L14" s="22"/>
      <c r="M14" s="22">
        <f t="shared" si="0"/>
        <v>10157.034865456813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0.21543346436016761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1.188349549048421</v>
      </c>
      <c r="C18" s="24"/>
      <c r="D18" s="24">
        <f t="shared" ref="D18:M18" si="1">D14*D16</f>
        <v>2.6214657109815072</v>
      </c>
      <c r="E18" s="24">
        <f t="shared" si="1"/>
        <v>204.56713637838629</v>
      </c>
      <c r="F18" s="24"/>
      <c r="G18" s="24">
        <f t="shared" si="1"/>
        <v>51705.170227788643</v>
      </c>
      <c r="H18" s="24">
        <f t="shared" si="1"/>
        <v>8373.379794014354</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1.2084411301626082E-2</v>
      </c>
      <c r="H50" s="321">
        <f t="shared" si="2"/>
        <v>0</v>
      </c>
      <c r="I50" s="321">
        <f t="shared" si="2"/>
        <v>0</v>
      </c>
      <c r="J50" s="321">
        <f t="shared" si="2"/>
        <v>0</v>
      </c>
      <c r="K50" s="321">
        <f t="shared" si="2"/>
        <v>0</v>
      </c>
      <c r="L50" s="321">
        <f t="shared" si="2"/>
        <v>0</v>
      </c>
      <c r="M50" s="321">
        <f t="shared" si="2"/>
        <v>5.3021766023085342E-4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1.2084411301626082E-2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5.3021766023085342E-4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3356.7809171183558</v>
      </c>
      <c r="H54" s="22">
        <f t="shared" si="3"/>
        <v>0</v>
      </c>
      <c r="I54" s="22">
        <f t="shared" si="3"/>
        <v>0</v>
      </c>
      <c r="J54" s="22">
        <f t="shared" si="3"/>
        <v>0</v>
      </c>
      <c r="K54" s="22">
        <f t="shared" si="3"/>
        <v>0</v>
      </c>
      <c r="L54" s="22">
        <f t="shared" si="3"/>
        <v>0</v>
      </c>
      <c r="M54" s="22">
        <f t="shared" si="3"/>
        <v>147.28268339745929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0.21543346436016761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896.26050487060104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3881.5595399114072</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0</v>
      </c>
      <c r="C8" s="554">
        <f>B48</f>
        <v>0</v>
      </c>
      <c r="D8" s="980"/>
      <c r="E8" s="980">
        <f>E48</f>
        <v>0</v>
      </c>
      <c r="F8" s="981"/>
      <c r="G8" s="555"/>
      <c r="H8" s="980">
        <f>I48</f>
        <v>0</v>
      </c>
      <c r="I8" s="980">
        <f>G48+F48</f>
        <v>0</v>
      </c>
      <c r="J8" s="980">
        <f>H48+D48+C48</f>
        <v>0</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3881.5595399114072</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2020-06-20T16:32:43Z</dcterms:modified>
</cp:coreProperties>
</file>