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D20" i="18" s="1"/>
  <c r="C18" i="18"/>
  <c r="B18" i="18"/>
  <c r="L9" i="18"/>
  <c r="K9" i="18"/>
  <c r="G9" i="18"/>
  <c r="G10" i="18" s="1"/>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K10" i="18"/>
  <c r="D10" i="18"/>
  <c r="B8" i="18"/>
  <c r="B6" i="18"/>
  <c r="B5" i="18"/>
  <c r="B4" i="18"/>
  <c r="F20" i="18" l="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76" i="14" l="1"/>
  <c r="J8" i="56" s="1"/>
  <c r="J10" i="56" s="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P11" i="14" l="1"/>
  <c r="O4" i="48"/>
  <c r="O22" i="48" s="1"/>
  <c r="C24" i="14"/>
  <c r="C26" i="14" s="1"/>
  <c r="B7" i="48"/>
  <c r="B4" i="48"/>
  <c r="C11" i="14"/>
  <c r="E11" i="14"/>
  <c r="D4" i="48"/>
  <c r="D22" i="48" s="1"/>
  <c r="Q11" i="14"/>
  <c r="P4" i="48"/>
  <c r="P22" i="48" s="1"/>
  <c r="B38" i="13"/>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E12" i="17"/>
  <c r="F54" i="14" s="1"/>
  <c r="F56" i="14" s="1"/>
  <c r="P15" i="48" l="1"/>
  <c r="O8" i="48"/>
  <c r="O26" i="48" s="1"/>
  <c r="P13" i="14"/>
  <c r="P16" i="14" s="1"/>
  <c r="P27" i="14" s="1"/>
  <c r="D16" i="14"/>
  <c r="E7" i="48"/>
  <c r="E25" i="48" s="1"/>
  <c r="F24" i="14"/>
  <c r="F26" i="14" s="1"/>
  <c r="Q63" i="14"/>
  <c r="P46" i="14"/>
  <c r="P61" i="14" s="1"/>
  <c r="O23" i="48"/>
  <c r="O33" i="48" s="1"/>
  <c r="O11" i="14"/>
  <c r="N4" i="48"/>
  <c r="N22" i="48" s="1"/>
  <c r="E12" i="13"/>
  <c r="F41" i="14" s="1"/>
  <c r="F11" i="14"/>
  <c r="E4" i="48"/>
  <c r="K11" i="14"/>
  <c r="J4" i="48"/>
  <c r="M10" i="48"/>
  <c r="M28" i="48" s="1"/>
  <c r="N19" i="14"/>
  <c r="G31" i="48"/>
  <c r="Q13" i="48"/>
  <c r="G10" i="48"/>
  <c r="H19" i="14"/>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R19" i="14"/>
  <c r="E5" i="48"/>
  <c r="E23" i="48" s="1"/>
  <c r="F10" i="14"/>
  <c r="O15" i="48"/>
  <c r="N22" i="14"/>
  <c r="N27" i="14" s="1"/>
  <c r="K10" i="14"/>
  <c r="J5" i="48"/>
  <c r="J23" i="48" s="1"/>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C16" i="14"/>
  <c r="Q7" i="48"/>
  <c r="B15" i="48"/>
  <c r="Q5" i="48"/>
  <c r="R24" i="14"/>
  <c r="R26" i="14" s="1"/>
  <c r="L25" i="48"/>
  <c r="L33" i="48" s="1"/>
  <c r="L15" i="48"/>
  <c r="N25" i="48"/>
  <c r="J20" i="15"/>
  <c r="K40" i="14" s="1"/>
  <c r="N18" i="16"/>
  <c r="J18" i="16"/>
  <c r="F18" i="16"/>
  <c r="F22" i="16" s="1"/>
  <c r="G43" i="14" s="1"/>
  <c r="G46" i="14" s="1"/>
  <c r="G61" i="14" s="1"/>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33" i="48" s="1"/>
  <c r="R10" i="14"/>
  <c r="E15" i="48"/>
  <c r="J8" i="48"/>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J26" i="48" l="1"/>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<sst xmlns="http://schemas.openxmlformats.org/spreadsheetml/2006/main" count="2498" uniqueCount="954">
  <si>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</si>
  <si>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</si>
  <si>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</si>
  <si>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</si>
  <si>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</si>
  <si>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</si>
  <si>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</si>
  <si>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</si>
  <si>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</si>
  <si>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</si>
  <si>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</si>
  <si>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</si>
  <si>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</si>
  <si>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</si>
  <si>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</si>
  <si>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</si>
  <si>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</si>
  <si>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</si>
  <si>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</si>
  <si>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</si>
  <si>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</si>
  <si>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</si>
  <si>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</si>
  <si>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</si>
  <si>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</si>
  <si>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</si>
  <si>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</si>
  <si>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</si>
  <si>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</si>
  <si>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</si>
  <si>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</si>
  <si>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</si>
  <si>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</si>
  <si>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</si>
  <si>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</si>
  <si>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</si>
  <si>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</si>
  <si>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</si>
  <si>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</si>
  <si>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</si>
  <si>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</si>
  <si>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</si>
  <si>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</si>
  <si>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</si>
  <si>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</si>
  <si>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</si>
  <si>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</si>
  <si>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</si>
  <si>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</si>
  <si>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</si>
  <si>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</si>
  <si>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</si>
  <si>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</si>
  <si>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</si>
  <si>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</si>
  <si>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</si>
  <si>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</si>
  <si>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</si>
  <si>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</si>
  <si>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</si>
  <si>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</si>
  <si>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</si>
  <si>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</si>
  <si>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</si>
  <si>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</si>
  <si>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</si>
  <si>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</si>
  <si>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</si>
  <si>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</si>
  <si>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</si>
  <si>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</si>
  <si>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</si>
  <si>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</si>
  <si>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</si>
  <si>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</si>
  <si>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</si>
  <si>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</si>
  <si>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</si>
  <si>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</si>
  <si>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</si>
  <si>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</si>
  <si>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</si>
  <si>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</si>
  <si>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</si>
  <si>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</si>
  <si>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</si>
  <si>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</si>
  <si>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</si>
  <si>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</si>
  <si>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</si>
  <si>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</si>
  <si>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</si>
  <si>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</si>
  <si>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</si>
  <si>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</si>
  <si>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</si>
  <si>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</si>
  <si>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</si>
  <si>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</si>
  <si>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</si>
  <si>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</si>
  <si>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</si>
  <si>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</si>
  <si>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</si>
  <si>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</si>
  <si>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</si>
  <si>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</si>
  <si>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</si>
  <si>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</si>
  <si>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</si>
  <si>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</si>
  <si>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</si>
  <si>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</si>
  <si>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</si>
  <si>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</si>
  <si>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</si>
  <si>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</si>
  <si>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</si>
  <si>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</si>
  <si>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</si>
  <si>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</si>
  <si>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</si>
  <si>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</si>
  <si>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</si>
  <si>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</si>
  <si>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</si>
  <si>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</si>
  <si>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</si>
  <si>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</si>
  <si>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</si>
  <si>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</si>
  <si>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</si>
  <si>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</si>
  <si>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</si>
  <si>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</si>
  <si>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</si>
  <si>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</si>
  <si>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</si>
  <si>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</si>
  <si>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</si>
  <si>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</si>
  <si>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</si>
  <si>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</si>
  <si>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</si>
  <si>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</si>
  <si>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</si>
  <si>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</si>
  <si>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</si>
  <si>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</si>
  <si>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</si>
  <si>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</si>
  <si>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</si>
  <si>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</si>
  <si>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</si>
  <si>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</si>
  <si>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</si>
  <si>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</si>
  <si>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</si>
  <si>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</si>
  <si>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</si>
  <si>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</si>
  <si>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</si>
  <si>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</si>
  <si>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</si>
  <si>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</si>
  <si>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</si>
  <si>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</si>
  <si>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</si>
  <si>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</si>
  <si>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</si>
  <si>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</si>
  <si>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</si>
  <si>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</si>
  <si>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</si>
  <si>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</si>
  <si>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</si>
  <si>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</si>
  <si>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</si>
  <si>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</si>
  <si>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</si>
  <si>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</si>
  <si>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</si>
  <si>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</si>
  <si>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</si>
  <si>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</si>
  <si>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</si>
  <si>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</si>
  <si>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</si>
  <si>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</si>
  <si>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</si>
  <si>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</si>
  <si>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</si>
  <si>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</si>
  <si>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</si>
  <si>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</si>
  <si>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</si>
  <si>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</si>
  <si>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</si>
  <si>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</si>
  <si>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</si>
  <si>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</si>
  <si>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</si>
  <si>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</si>
  <si>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</si>
  <si>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</si>
  <si>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</si>
  <si>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</si>
  <si>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</si>
  <si>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</si>
  <si>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</si>
  <si>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</si>
  <si>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</si>
  <si>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</si>
  <si>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</si>
  <si>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</si>
  <si>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</si>
  <si>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</si>
  <si>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</si>
  <si>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</si>
  <si>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</si>
  <si>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</si>
  <si>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</si>
  <si>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</si>
  <si>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</si>
  <si>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</si>
  <si>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</si>
  <si>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</si>
  <si>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</si>
  <si>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</si>
  <si>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</si>
  <si>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</si>
  <si>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</si>
  <si>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</si>
  <si>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</si>
  <si>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</si>
  <si>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</si>
  <si>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</si>
  <si>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</si>
  <si>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</si>
  <si>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</si>
  <si>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</si>
  <si>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</si>
  <si>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</si>
  <si>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</si>
  <si>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</si>
  <si>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</si>
  <si>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</si>
  <si>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</si>
  <si>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</si>
  <si>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</si>
  <si>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</si>
  <si>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</si>
  <si>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</si>
  <si>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</si>
  <si>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</si>
  <si>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</si>
  <si>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</si>
  <si>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</si>
  <si>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</si>
  <si>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</si>
  <si>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</si>
  <si>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</si>
  <si>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</si>
  <si>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</si>
  <si>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</si>
  <si>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</si>
  <si>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</si>
  <si>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</si>
  <si>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</si>
  <si>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</si>
  <si>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</si>
  <si>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</si>
  <si>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</si>
  <si>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</si>
  <si>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</si>
  <si>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</si>
  <si>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</si>
  <si>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</si>
  <si>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</si>
  <si>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</si>
  <si>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</si>
  <si>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</si>
  <si>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</si>
  <si>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</si>
  <si>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</si>
  <si>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</si>
  <si>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</si>
  <si>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</si>
  <si>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</si>
  <si>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</si>
  <si>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</si>
  <si>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</si>
  <si>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</si>
  <si>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</si>
  <si>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</si>
  <si>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</si>
  <si>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</si>
  <si>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</si>
  <si>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</si>
  <si>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</si>
  <si>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</si>
  <si>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</si>
  <si>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</si>
  <si>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</si>
  <si>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</si>
  <si>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</si>
  <si>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</si>
  <si>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</si>
  <si>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</si>
  <si>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</si>
  <si>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</si>
  <si>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</si>
  <si>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</si>
  <si>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</si>
  <si>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</si>
  <si>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</si>
  <si>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</si>
  <si>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</si>
  <si>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</si>
  <si>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</si>
  <si>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</si>
  <si>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</si>
  <si>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</si>
  <si>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</si>
  <si>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</si>
  <si>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</si>
  <si>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</si>
  <si>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</si>
  <si>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</si>
  <si>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</si>
  <si>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</si>
  <si>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</si>
  <si>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</si>
  <si>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</si>
  <si>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</si>
  <si>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</si>
  <si>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</si>
  <si>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</si>
  <si>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</si>
  <si>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</si>
  <si>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</si>
  <si>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</si>
  <si>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</si>
  <si>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</si>
  <si>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</si>
  <si>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</si>
  <si>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</si>
  <si>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</si>
  <si>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</si>
  <si>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</si>
  <si>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</si>
  <si>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</si>
  <si>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</si>
  <si>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</si>
  <si>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</si>
  <si>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</si>
  <si>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</si>
  <si>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</si>
  <si>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</si>
  <si>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</si>
  <si>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</si>
  <si>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</si>
  <si>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</si>
  <si>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</si>
  <si>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</si>
  <si>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</si>
  <si>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</si>
  <si>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</si>
  <si>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</si>
  <si>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</si>
  <si>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</si>
  <si>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</si>
  <si>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</si>
  <si>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</si>
  <si>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</si>
  <si>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</si>
  <si>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</si>
  <si>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</si>
  <si>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</si>
  <si>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</si>
  <si>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</si>
  <si>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</si>
  <si>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</si>
  <si>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</si>
  <si>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</si>
  <si>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</si>
  <si>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</si>
  <si>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</si>
  <si>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</si>
  <si>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</si>
  <si>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</si>
  <si>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</si>
  <si>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</si>
  <si>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</si>
  <si>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</si>
  <si>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</si>
  <si>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</si>
  <si>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</si>
  <si>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</si>
  <si>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</si>
  <si>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</si>
  <si>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</si>
  <si>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</si>
  <si>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</si>
  <si>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</si>
  <si>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</si>
  <si>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</si>
  <si>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</si>
  <si>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</si>
  <si>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</si>
  <si>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</si>
  <si>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</si>
  <si>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</si>
  <si>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</si>
  <si>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</si>
  <si>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</si>
  <si>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</si>
  <si>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</si>
  <si>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</si>
  <si>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</si>
  <si>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</si>
  <si>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</si>
  <si>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</si>
  <si>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</si>
  <si>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</si>
  <si>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</si>
  <si>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</si>
  <si>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</si>
  <si>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</si>
  <si>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</si>
  <si>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</si>
  <si>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</si>
  <si>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</si>
  <si>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</si>
  <si>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</si>
  <si>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</si>
  <si>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</si>
  <si>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</si>
  <si>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</si>
  <si>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</si>
  <si>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</si>
  <si>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</si>
  <si>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</si>
  <si>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</si>
  <si>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</si>
  <si>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</si>
  <si>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</si>
  <si>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</si>
  <si>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</si>
  <si>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</si>
  <si>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</si>
  <si>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</si>
  <si>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</si>
  <si>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</si>
  <si>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</si>
  <si>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</si>
  <si>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</si>
  <si>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</si>
  <si>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</si>
  <si>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</si>
  <si>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</si>
  <si>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</si>
  <si>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</si>
  <si>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</si>
  <si>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</si>
  <si>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</si>
  <si>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</si>
  <si>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</si>
  <si>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</si>
  <si>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</si>
  <si>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</si>
  <si>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</si>
  <si>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</si>
  <si>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</si>
  <si>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</si>
  <si>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</si>
  <si>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</si>
  <si>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</si>
  <si>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</si>
  <si>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</si>
  <si>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</si>
  <si>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</si>
  <si>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</si>
  <si>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</si>
  <si>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</si>
  <si>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</si>
  <si>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</si>
  <si>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</si>
  <si>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</si>
  <si>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</si>
  <si>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</si>
  <si>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</si>
  <si>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</si>
  <si>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</si>
  <si>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</si>
  <si>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</si>
  <si>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</si>
  <si>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</si>
  <si>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</si>
  <si>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</si>
  <si>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</si>
  <si>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</si>
  <si>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</si>
  <si>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</si>
  <si>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</si>
  <si>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</si>
  <si>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</si>
  <si>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</si>
  <si>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</si>
  <si>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</si>
  <si>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</si>
  <si>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</si>
  <si>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</si>
  <si>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</si>
  <si>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</si>
  <si>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</si>
  <si>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</si>
  <si>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</si>
  <si>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</si>
  <si>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</si>
  <si>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</si>
  <si>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</si>
  <si>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</si>
  <si>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</si>
  <si>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</si>
  <si>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</si>
  <si>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</si>
  <si>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</si>
  <si>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</si>
  <si>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</si>
  <si>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</si>
  <si>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</si>
  <si>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</si>
  <si>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</si>
  <si>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</si>
  <si>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</si>
  <si>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</si>
  <si>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</si>
  <si>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</si>
  <si>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</si>
  <si>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</si>
  <si>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</si>
  <si>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</si>
  <si>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</si>
  <si>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</si>
  <si>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</si>
  <si>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</si>
  <si>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</si>
  <si>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</si>
  <si>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</si>
  <si>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</si>
  <si>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</si>
  <si>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</si>
  <si>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</si>
  <si>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</si>
  <si>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</si>
  <si>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</si>
  <si>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</si>
  <si>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</si>
  <si>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</si>
  <si>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</si>
  <si>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</si>
  <si>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</si>
  <si>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</si>
  <si>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</si>
  <si>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</si>
  <si>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</si>
  <si>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</si>
  <si>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</si>
  <si>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</si>
  <si>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</si>
  <si>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</si>
  <si>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</si>
  <si>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</si>
  <si>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</si>
  <si>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</si>
  <si>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</si>
  <si>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</si>
  <si>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</si>
  <si>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</si>
  <si>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</si>
  <si>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</si>
  <si>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</si>
  <si>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</si>
  <si>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</si>
  <si>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</si>
  <si>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</si>
  <si>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</si>
  <si>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</si>
  <si>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</si>
  <si>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</si>
  <si>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</si>
  <si>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</si>
  <si>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</si>
  <si>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</si>
  <si>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</si>
  <si>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</si>
  <si>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</si>
  <si>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</si>
  <si>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</si>
  <si>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</si>
  <si>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</si>
  <si>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</si>
  <si>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</si>
  <si>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</si>
  <si>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</si>
  <si>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</si>
  <si>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</si>
  <si>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</si>
  <si>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</si>
  <si>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</si>
  <si>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</si>
  <si>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</si>
  <si>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</si>
  <si>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</si>
  <si>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</si>
  <si>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</si>
  <si>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</si>
  <si>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</si>
  <si>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</si>
  <si>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</si>
  <si>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</si>
  <si>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</si>
  <si>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</si>
  <si>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</si>
  <si>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</si>
  <si>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</si>
  <si>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</si>
  <si>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</si>
  <si>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</si>
  <si>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</si>
  <si>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</si>
  <si>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</si>
  <si>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</si>
  <si>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</si>
  <si>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</si>
  <si>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</si>
  <si>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</si>
  <si>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</si>
  <si>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</si>
  <si>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</si>
  <si>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</si>
  <si>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</si>
  <si>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</si>
  <si>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</si>
  <si>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</si>
  <si>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</si>
  <si>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</si>
  <si>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</si>
  <si>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</si>
  <si>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</si>
  <si>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</si>
  <si>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</si>
  <si>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</si>
  <si>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</si>
  <si>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</si>
  <si>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</si>
  <si>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</si>
  <si>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</si>
  <si>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</si>
  <si>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</si>
  <si>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</si>
  <si>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</si>
  <si>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</si>
  <si>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</si>
  <si>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</si>
  <si>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</si>
  <si>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</si>
  <si>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</si>
  <si>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</si>
  <si>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</si>
  <si>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</si>
  <si>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</si>
  <si>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</si>
  <si>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</si>
  <si>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</si>
  <si>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</si>
  <si>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</si>
  <si>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</si>
  <si>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</si>
  <si>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</si>
  <si>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</si>
  <si>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</si>
  <si>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</si>
  <si>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</si>
  <si>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</si>
  <si>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</si>
  <si>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</si>
  <si>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</si>
  <si>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</si>
  <si>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</si>
  <si>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</si>
  <si>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</si>
  <si>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</si>
  <si>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</si>
  <si>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</si>
  <si>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</si>
  <si>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</si>
  <si>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</si>
  <si>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</si>
  <si>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</si>
  <si>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</si>
  <si>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</si>
  <si>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</si>
  <si>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</si>
  <si>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</si>
  <si>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</si>
  <si>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</si>
  <si>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</si>
  <si>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</si>
  <si>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</si>
  <si>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</si>
  <si>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</si>
  <si>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</si>
  <si>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</si>
  <si>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</si>
  <si>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</si>
  <si>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</si>
  <si>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</si>
  <si>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</si>
  <si>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</si>
  <si>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</si>
  <si>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</si>
  <si>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</si>
  <si>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</si>
  <si>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</si>
  <si>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</si>
  <si>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</si>
  <si>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</si>
  <si>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</si>
  <si>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</si>
  <si>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</si>
  <si>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</si>
  <si>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</si>
  <si>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</si>
  <si>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</si>
  <si>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</si>
  <si>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</si>
  <si>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</si>
  <si>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</si>
  <si>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</si>
  <si>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</si>
  <si>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</si>
  <si>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</si>
  <si>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</si>
  <si>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</si>
  <si>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</si>
  <si>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</si>
  <si>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</si>
  <si>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</si>
  <si>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</si>
  <si>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</si>
  <si>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</si>
  <si>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</si>
  <si>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</si>
  <si>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</si>
  <si>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</si>
  <si>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</si>
  <si>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</si>
  <si>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</si>
  <si>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</si>
  <si>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</si>
  <si>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</si>
  <si>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</si>
  <si>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</si>
  <si>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</si>
  <si>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</si>
  <si>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</si>
  <si>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</si>
  <si>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</si>
  <si>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</si>
  <si>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</si>
  <si>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</si>
  <si>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</si>
  <si>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</si>
  <si>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</si>
  <si>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</si>
  <si>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</si>
  <si>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</si>
  <si>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</si>
  <si>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</si>
  <si>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</si>
  <si>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</si>
  <si>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</si>
  <si>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</si>
  <si>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</si>
  <si>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</si>
  <si>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</si>
  <si>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</si>
  <si>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</si>
  <si>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</si>
  <si>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</si>
  <si>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</si>
  <si>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</si>
  <si>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</si>
  <si>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</si>
  <si>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</si>
  <si>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</si>
  <si>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</si>
  <si>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</si>
  <si>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</si>
  <si>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</si>
  <si>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</si>
  <si>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</si>
  <si>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</si>
  <si>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</si>
  <si>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</si>
  <si>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</si>
  <si>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</si>
  <si>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</si>
  <si>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</si>
  <si>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</si>
  <si>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</si>
  <si>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</si>
  <si>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</si>
  <si>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</si>
  <si>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</si>
  <si>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</si>
  <si>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</si>
  <si>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</si>
  <si>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</si>
  <si>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</si>
  <si>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</si>
  <si>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</si>
  <si>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</si>
  <si>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</si>
  <si>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</si>
  <si>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</si>
  <si>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</si>
  <si>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</si>
  <si>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</si>
  <si>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</si>
  <si>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</si>
  <si>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</si>
  <si>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</si>
  <si>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</si>
  <si>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</si>
  <si>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</si>
  <si>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</si>
  <si>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</si>
  <si>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</si>
  <si>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</si>
  <si>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</si>
  <si>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</si>
  <si>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</si>
  <si>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</si>
  <si>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</si>
  <si>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</si>
  <si>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</si>
  <si>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</si>
  <si>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</si>
  <si>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</si>
  <si>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</si>
  <si>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</si>
  <si>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</si>
  <si>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</si>
  <si>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</si>
  <si>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</si>
  <si>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</si>
  <si>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</si>
  <si>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</si>
  <si>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</si>
  <si>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</si>
  <si>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</si>
  <si>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</si>
  <si>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</si>
  <si>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</si>
  <si>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</si>
  <si>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</si>
  <si>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</si>
  <si>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</si>
  <si>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</si>
  <si>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</si>
  <si>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</si>
  <si>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</si>
  <si>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</si>
  <si>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</si>
  <si>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</si>
  <si>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</si>
  <si>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</si>
  <si>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</si>
  <si>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</si>
  <si>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</si>
  <si>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</si>
  <si>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</si>
  <si>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</si>
  <si>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</si>
  <si>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</si>
  <si>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</si>
  <si>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</si>
  <si>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</si>
  <si>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</si>
  <si>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</si>
  <si>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</si>
  <si>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</si>
  <si>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</si>
  <si>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</si>
  <si>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</si>
  <si>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</si>
  <si>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</si>
  <si>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</si>
  <si>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</si>
  <si>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</si>
  <si>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</si>
  <si>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</si>
  <si>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</si>
  <si>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</si>
  <si>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</si>
  <si>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</si>
  <si>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</si>
  <si>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</si>
  <si>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</si>
  <si>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</si>
  <si>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</si>
  <si>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</si>
  <si>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</si>
  <si>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</si>
  <si>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</si>
  <si>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</si>
  <si>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</si>
  <si>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</si>
  <si>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</si>
  <si>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</si>
  <si>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</si>
  <si>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</si>
  <si>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</si>
  <si>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</si>
  <si>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</si>
  <si>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</si>
  <si>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</si>
  <si>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</si>
  <si>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</si>
  <si>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</si>
  <si>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</si>
  <si>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</si>
  <si>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</si>
  <si>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</si>
  <si>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</si>
  <si>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</si>
  <si>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</si>
  <si>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</si>
  <si>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</si>
  <si>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</si>
  <si>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</si>
  <si>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</si>
  <si>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</si>
  <si>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</si>
  <si>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</si>
  <si>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37015</t>
  </si>
  <si>
    <t>TIELT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</si>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</sst>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37015</v>
      </c>
      <c r="B6" s="394"/>
      <c r="C6" s="395"/>
    </row>
    <row r="7" spans="1:7" s="392" customFormat="1" ht="15.75" customHeight="1">
      <c r="A7" s="396" t="str">
        <f>txtMunicipality</f>
        <v>TIELT</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0.20969116208896943</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0.20969116208896943</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8302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5101</v>
      </c>
      <c r="C14" s="332"/>
      <c r="D14" s="332"/>
      <c r="E14" s="332"/>
      <c r="F14" s="332"/>
    </row>
    <row r="15" spans="1:6">
      <c r="A15" s="1299" t="s">
        <v>183</v>
      </c>
      <c r="B15" s="1300">
        <v>96</v>
      </c>
      <c r="C15" s="332"/>
      <c r="D15" s="332"/>
      <c r="E15" s="332"/>
      <c r="F15" s="332"/>
    </row>
    <row r="16" spans="1:6">
      <c r="A16" s="1299" t="s">
        <v>6</v>
      </c>
      <c r="B16" s="1300">
        <v>3146</v>
      </c>
      <c r="C16" s="332"/>
      <c r="D16" s="332"/>
      <c r="E16" s="332"/>
      <c r="F16" s="332"/>
    </row>
    <row r="17" spans="1:6">
      <c r="A17" s="1299" t="s">
        <v>7</v>
      </c>
      <c r="B17" s="1300">
        <v>2671</v>
      </c>
      <c r="C17" s="332"/>
      <c r="D17" s="332"/>
      <c r="E17" s="332"/>
      <c r="F17" s="332"/>
    </row>
    <row r="18" spans="1:6">
      <c r="A18" s="1299" t="s">
        <v>8</v>
      </c>
      <c r="B18" s="1300">
        <v>3769</v>
      </c>
      <c r="C18" s="332"/>
      <c r="D18" s="332"/>
      <c r="E18" s="332"/>
      <c r="F18" s="332"/>
    </row>
    <row r="19" spans="1:6">
      <c r="A19" s="1299" t="s">
        <v>9</v>
      </c>
      <c r="B19" s="1300">
        <v>3543</v>
      </c>
      <c r="C19" s="332"/>
      <c r="D19" s="332"/>
      <c r="E19" s="332"/>
      <c r="F19" s="332"/>
    </row>
    <row r="20" spans="1:6">
      <c r="A20" s="1299" t="s">
        <v>10</v>
      </c>
      <c r="B20" s="1300">
        <v>3005</v>
      </c>
      <c r="C20" s="332"/>
      <c r="D20" s="332"/>
      <c r="E20" s="332"/>
      <c r="F20" s="332"/>
    </row>
    <row r="21" spans="1:6">
      <c r="A21" s="1299" t="s">
        <v>11</v>
      </c>
      <c r="B21" s="1300">
        <v>43228</v>
      </c>
      <c r="C21" s="332"/>
      <c r="D21" s="332"/>
      <c r="E21" s="332"/>
      <c r="F21" s="332"/>
    </row>
    <row r="22" spans="1:6">
      <c r="A22" s="1299" t="s">
        <v>12</v>
      </c>
      <c r="B22" s="1300">
        <v>111206</v>
      </c>
      <c r="C22" s="332"/>
      <c r="D22" s="332"/>
      <c r="E22" s="332"/>
      <c r="F22" s="332"/>
    </row>
    <row r="23" spans="1:6">
      <c r="A23" s="1299" t="s">
        <v>13</v>
      </c>
      <c r="B23" s="1300">
        <v>1743</v>
      </c>
      <c r="C23" s="332"/>
      <c r="D23" s="332"/>
      <c r="E23" s="332"/>
      <c r="F23" s="332"/>
    </row>
    <row r="24" spans="1:6">
      <c r="A24" s="1299" t="s">
        <v>14</v>
      </c>
      <c r="B24" s="1300">
        <v>107</v>
      </c>
      <c r="C24" s="332"/>
      <c r="D24" s="332"/>
      <c r="E24" s="332"/>
      <c r="F24" s="332"/>
    </row>
    <row r="25" spans="1:6">
      <c r="A25" s="1299" t="s">
        <v>15</v>
      </c>
      <c r="B25" s="1300">
        <v>10576</v>
      </c>
      <c r="C25" s="332"/>
      <c r="D25" s="332"/>
      <c r="E25" s="332"/>
      <c r="F25" s="332"/>
    </row>
    <row r="26" spans="1:6">
      <c r="A26" s="1299" t="s">
        <v>16</v>
      </c>
      <c r="B26" s="1300">
        <v>270</v>
      </c>
      <c r="C26" s="332"/>
      <c r="D26" s="332"/>
      <c r="E26" s="332"/>
      <c r="F26" s="332"/>
    </row>
    <row r="27" spans="1:6">
      <c r="A27" s="1299" t="s">
        <v>17</v>
      </c>
      <c r="B27" s="1300">
        <v>0</v>
      </c>
      <c r="C27" s="332"/>
      <c r="D27" s="332"/>
      <c r="E27" s="332"/>
      <c r="F27" s="332"/>
    </row>
    <row r="28" spans="1:6" s="44" customFormat="1">
      <c r="A28" s="1301" t="s">
        <v>18</v>
      </c>
      <c r="B28" s="1302">
        <v>574525</v>
      </c>
      <c r="C28" s="338"/>
      <c r="D28" s="338"/>
      <c r="E28" s="338"/>
      <c r="F28" s="338"/>
    </row>
    <row r="29" spans="1:6">
      <c r="A29" s="1301" t="s">
        <v>950</v>
      </c>
      <c r="B29" s="1302">
        <v>189</v>
      </c>
      <c r="C29" s="338"/>
      <c r="D29" s="338"/>
      <c r="E29" s="338"/>
      <c r="F29" s="338"/>
    </row>
    <row r="30" spans="1:6">
      <c r="A30" s="1294" t="s">
        <v>951</v>
      </c>
      <c r="B30" s="1303">
        <v>44</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3</v>
      </c>
      <c r="D36" s="1300">
        <v>30800.886510888002</v>
      </c>
      <c r="E36" s="1300">
        <v>8</v>
      </c>
      <c r="F36" s="1300">
        <v>49411.519922250402</v>
      </c>
    </row>
    <row r="37" spans="1:6">
      <c r="A37" s="1299" t="s">
        <v>24</v>
      </c>
      <c r="B37" s="1299" t="s">
        <v>27</v>
      </c>
      <c r="C37" s="1300">
        <v>0</v>
      </c>
      <c r="D37" s="1300">
        <v>0</v>
      </c>
      <c r="E37" s="1300">
        <v>0</v>
      </c>
      <c r="F37" s="1300">
        <v>0</v>
      </c>
    </row>
    <row r="38" spans="1:6">
      <c r="A38" s="1299" t="s">
        <v>24</v>
      </c>
      <c r="B38" s="1299" t="s">
        <v>28</v>
      </c>
      <c r="C38" s="1300">
        <v>0</v>
      </c>
      <c r="D38" s="1300">
        <v>0</v>
      </c>
      <c r="E38" s="1300">
        <v>1</v>
      </c>
      <c r="F38" s="1300">
        <v>29066.378893616999</v>
      </c>
    </row>
    <row r="39" spans="1:6">
      <c r="A39" s="1299" t="s">
        <v>29</v>
      </c>
      <c r="B39" s="1299" t="s">
        <v>30</v>
      </c>
      <c r="C39" s="1300">
        <v>5284</v>
      </c>
      <c r="D39" s="1300">
        <v>88099264.569762006</v>
      </c>
      <c r="E39" s="1300">
        <v>7755</v>
      </c>
      <c r="F39" s="1300">
        <v>31839759.533032</v>
      </c>
    </row>
    <row r="40" spans="1:6">
      <c r="A40" s="1299" t="s">
        <v>29</v>
      </c>
      <c r="B40" s="1299" t="s">
        <v>28</v>
      </c>
      <c r="C40" s="1300">
        <v>0</v>
      </c>
      <c r="D40" s="1300">
        <v>0</v>
      </c>
      <c r="E40" s="1300">
        <v>0</v>
      </c>
      <c r="F40" s="1300">
        <v>0</v>
      </c>
    </row>
    <row r="41" spans="1:6">
      <c r="A41" s="1299" t="s">
        <v>31</v>
      </c>
      <c r="B41" s="1299" t="s">
        <v>32</v>
      </c>
      <c r="C41" s="1300">
        <v>97</v>
      </c>
      <c r="D41" s="1300">
        <v>7341134.7269766601</v>
      </c>
      <c r="E41" s="1300">
        <v>229</v>
      </c>
      <c r="F41" s="1300">
        <v>59089488.824394099</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3</v>
      </c>
      <c r="D44" s="1300">
        <v>62184.494828339302</v>
      </c>
      <c r="E44" s="1300">
        <v>39</v>
      </c>
      <c r="F44" s="1300">
        <v>1044927.41917545</v>
      </c>
    </row>
    <row r="45" spans="1:6">
      <c r="A45" s="1299" t="s">
        <v>31</v>
      </c>
      <c r="B45" s="1299" t="s">
        <v>36</v>
      </c>
      <c r="C45" s="1300">
        <v>0</v>
      </c>
      <c r="D45" s="1300">
        <v>0</v>
      </c>
      <c r="E45" s="1300">
        <v>7</v>
      </c>
      <c r="F45" s="1300">
        <v>396436.752572892</v>
      </c>
    </row>
    <row r="46" spans="1:6">
      <c r="A46" s="1299" t="s">
        <v>31</v>
      </c>
      <c r="B46" s="1299" t="s">
        <v>37</v>
      </c>
      <c r="C46" s="1300">
        <v>0</v>
      </c>
      <c r="D46" s="1300">
        <v>0</v>
      </c>
      <c r="E46" s="1300">
        <v>0</v>
      </c>
      <c r="F46" s="1300">
        <v>0</v>
      </c>
    </row>
    <row r="47" spans="1:6">
      <c r="A47" s="1299" t="s">
        <v>31</v>
      </c>
      <c r="B47" s="1299" t="s">
        <v>38</v>
      </c>
      <c r="C47" s="1300">
        <v>3</v>
      </c>
      <c r="D47" s="1300">
        <v>1045471.2794031301</v>
      </c>
      <c r="E47" s="1300">
        <v>3</v>
      </c>
      <c r="F47" s="1300">
        <v>1367903.7973902801</v>
      </c>
    </row>
    <row r="48" spans="1:6">
      <c r="A48" s="1299" t="s">
        <v>31</v>
      </c>
      <c r="B48" s="1299" t="s">
        <v>28</v>
      </c>
      <c r="C48" s="1300">
        <v>32</v>
      </c>
      <c r="D48" s="1300">
        <v>157515202.698338</v>
      </c>
      <c r="E48" s="1300">
        <v>36</v>
      </c>
      <c r="F48" s="1300">
        <v>50493817.078907803</v>
      </c>
    </row>
    <row r="49" spans="1:6">
      <c r="A49" s="1299" t="s">
        <v>31</v>
      </c>
      <c r="B49" s="1299" t="s">
        <v>39</v>
      </c>
      <c r="C49" s="1300">
        <v>12</v>
      </c>
      <c r="D49" s="1300">
        <v>38318232.898918003</v>
      </c>
      <c r="E49" s="1300">
        <v>19</v>
      </c>
      <c r="F49" s="1300">
        <v>5897009.7255102703</v>
      </c>
    </row>
    <row r="50" spans="1:6">
      <c r="A50" s="1299" t="s">
        <v>31</v>
      </c>
      <c r="B50" s="1299" t="s">
        <v>40</v>
      </c>
      <c r="C50" s="1300">
        <v>12</v>
      </c>
      <c r="D50" s="1300">
        <v>2521050.2019309499</v>
      </c>
      <c r="E50" s="1300">
        <v>17</v>
      </c>
      <c r="F50" s="1300">
        <v>15828788.619182101</v>
      </c>
    </row>
    <row r="51" spans="1:6">
      <c r="A51" s="1299" t="s">
        <v>41</v>
      </c>
      <c r="B51" s="1299" t="s">
        <v>42</v>
      </c>
      <c r="C51" s="1300">
        <v>12</v>
      </c>
      <c r="D51" s="1300">
        <v>328721.85163041099</v>
      </c>
      <c r="E51" s="1300">
        <v>341</v>
      </c>
      <c r="F51" s="1300">
        <v>12022434.708832899</v>
      </c>
    </row>
    <row r="52" spans="1:6">
      <c r="A52" s="1299" t="s">
        <v>41</v>
      </c>
      <c r="B52" s="1299" t="s">
        <v>28</v>
      </c>
      <c r="C52" s="1300">
        <v>7</v>
      </c>
      <c r="D52" s="1300">
        <v>290908.68294996</v>
      </c>
      <c r="E52" s="1300">
        <v>7</v>
      </c>
      <c r="F52" s="1300">
        <v>104668.91930014599</v>
      </c>
    </row>
    <row r="53" spans="1:6">
      <c r="A53" s="1299" t="s">
        <v>43</v>
      </c>
      <c r="B53" s="1299" t="s">
        <v>44</v>
      </c>
      <c r="C53" s="1300">
        <v>142</v>
      </c>
      <c r="D53" s="1300">
        <v>4592479.6169606298</v>
      </c>
      <c r="E53" s="1300">
        <v>262</v>
      </c>
      <c r="F53" s="1300">
        <v>1590743.4927902401</v>
      </c>
    </row>
    <row r="54" spans="1:6">
      <c r="A54" s="1299" t="s">
        <v>45</v>
      </c>
      <c r="B54" s="1299" t="s">
        <v>46</v>
      </c>
      <c r="C54" s="1300">
        <v>0</v>
      </c>
      <c r="D54" s="1300">
        <v>0</v>
      </c>
      <c r="E54" s="1300">
        <v>2</v>
      </c>
      <c r="F54" s="1300">
        <v>1743460</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71</v>
      </c>
      <c r="D57" s="1300">
        <v>6471722.2044799197</v>
      </c>
      <c r="E57" s="1300">
        <v>154</v>
      </c>
      <c r="F57" s="1300">
        <v>4815745.2705711396</v>
      </c>
    </row>
    <row r="58" spans="1:6">
      <c r="A58" s="1299" t="s">
        <v>48</v>
      </c>
      <c r="B58" s="1299" t="s">
        <v>50</v>
      </c>
      <c r="C58" s="1300">
        <v>36</v>
      </c>
      <c r="D58" s="1300">
        <v>7839693.9397869604</v>
      </c>
      <c r="E58" s="1300">
        <v>62</v>
      </c>
      <c r="F58" s="1300">
        <v>4084480.6021829098</v>
      </c>
    </row>
    <row r="59" spans="1:6">
      <c r="A59" s="1299" t="s">
        <v>48</v>
      </c>
      <c r="B59" s="1299" t="s">
        <v>51</v>
      </c>
      <c r="C59" s="1300">
        <v>153</v>
      </c>
      <c r="D59" s="1300">
        <v>7322652.6378688104</v>
      </c>
      <c r="E59" s="1300">
        <v>353</v>
      </c>
      <c r="F59" s="1300">
        <v>11734678.0421864</v>
      </c>
    </row>
    <row r="60" spans="1:6">
      <c r="A60" s="1299" t="s">
        <v>48</v>
      </c>
      <c r="B60" s="1299" t="s">
        <v>52</v>
      </c>
      <c r="C60" s="1300">
        <v>51</v>
      </c>
      <c r="D60" s="1300">
        <v>1780956.8676615199</v>
      </c>
      <c r="E60" s="1300">
        <v>72</v>
      </c>
      <c r="F60" s="1300">
        <v>1308954.1067498301</v>
      </c>
    </row>
    <row r="61" spans="1:6">
      <c r="A61" s="1299" t="s">
        <v>48</v>
      </c>
      <c r="B61" s="1299" t="s">
        <v>53</v>
      </c>
      <c r="C61" s="1300">
        <v>230</v>
      </c>
      <c r="D61" s="1300">
        <v>9056531.9222228508</v>
      </c>
      <c r="E61" s="1300">
        <v>412</v>
      </c>
      <c r="F61" s="1300">
        <v>5435582.82510274</v>
      </c>
    </row>
    <row r="62" spans="1:6">
      <c r="A62" s="1299" t="s">
        <v>48</v>
      </c>
      <c r="B62" s="1299" t="s">
        <v>54</v>
      </c>
      <c r="C62" s="1300">
        <v>11</v>
      </c>
      <c r="D62" s="1300">
        <v>4854468.5595120098</v>
      </c>
      <c r="E62" s="1300">
        <v>18</v>
      </c>
      <c r="F62" s="1300">
        <v>1671710.04893911</v>
      </c>
    </row>
    <row r="63" spans="1:6">
      <c r="A63" s="1299" t="s">
        <v>48</v>
      </c>
      <c r="B63" s="1299" t="s">
        <v>28</v>
      </c>
      <c r="C63" s="1300">
        <v>102</v>
      </c>
      <c r="D63" s="1300">
        <v>5177503.3302589096</v>
      </c>
      <c r="E63" s="1300">
        <v>92</v>
      </c>
      <c r="F63" s="1300">
        <v>1982159.91448729</v>
      </c>
    </row>
    <row r="64" spans="1:6">
      <c r="A64" s="1299" t="s">
        <v>55</v>
      </c>
      <c r="B64" s="1299" t="s">
        <v>56</v>
      </c>
      <c r="C64" s="1300">
        <v>0</v>
      </c>
      <c r="D64" s="1300">
        <v>0</v>
      </c>
      <c r="E64" s="1300">
        <v>0</v>
      </c>
      <c r="F64" s="1300">
        <v>0</v>
      </c>
    </row>
    <row r="65" spans="1:6">
      <c r="A65" s="1299" t="s">
        <v>55</v>
      </c>
      <c r="B65" s="1299" t="s">
        <v>28</v>
      </c>
      <c r="C65" s="1300">
        <v>4</v>
      </c>
      <c r="D65" s="1300">
        <v>92089.971260134698</v>
      </c>
      <c r="E65" s="1300">
        <v>4</v>
      </c>
      <c r="F65" s="1300">
        <v>46582.415917682898</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11</v>
      </c>
      <c r="F68" s="1303">
        <v>171906.31245584899</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78114593</v>
      </c>
      <c r="E73" s="455"/>
      <c r="F73" s="332"/>
    </row>
    <row r="74" spans="1:6">
      <c r="A74" s="1299" t="s">
        <v>63</v>
      </c>
      <c r="B74" s="1299" t="s">
        <v>768</v>
      </c>
      <c r="C74" s="1313" t="s">
        <v>762</v>
      </c>
      <c r="D74" s="1314">
        <v>9595265.2786784098</v>
      </c>
      <c r="E74" s="455"/>
      <c r="F74" s="332"/>
    </row>
    <row r="75" spans="1:6">
      <c r="A75" s="1299" t="s">
        <v>64</v>
      </c>
      <c r="B75" s="1299" t="s">
        <v>767</v>
      </c>
      <c r="C75" s="1313" t="s">
        <v>763</v>
      </c>
      <c r="D75" s="1314">
        <v>18450376</v>
      </c>
      <c r="E75" s="455"/>
      <c r="F75" s="332"/>
    </row>
    <row r="76" spans="1:6">
      <c r="A76" s="1299" t="s">
        <v>64</v>
      </c>
      <c r="B76" s="1299" t="s">
        <v>768</v>
      </c>
      <c r="C76" s="1313" t="s">
        <v>764</v>
      </c>
      <c r="D76" s="1314">
        <v>1334918.27867841</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358445.44264317985</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3219.6109575267014</v>
      </c>
      <c r="C91" s="332"/>
      <c r="D91" s="332"/>
      <c r="E91" s="332"/>
      <c r="F91" s="332"/>
    </row>
    <row r="92" spans="1:6">
      <c r="A92" s="1294" t="s">
        <v>68</v>
      </c>
      <c r="B92" s="1295">
        <v>7816.7152156242946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3670</v>
      </c>
      <c r="C97" s="332"/>
      <c r="D97" s="332"/>
      <c r="E97" s="332"/>
      <c r="F97" s="332"/>
    </row>
    <row r="98" spans="1:6">
      <c r="A98" s="1299" t="s">
        <v>71</v>
      </c>
      <c r="B98" s="1300">
        <v>1</v>
      </c>
      <c r="C98" s="332"/>
      <c r="D98" s="332"/>
      <c r="E98" s="332"/>
      <c r="F98" s="332"/>
    </row>
    <row r="99" spans="1:6">
      <c r="A99" s="1299" t="s">
        <v>72</v>
      </c>
      <c r="B99" s="1300">
        <v>172</v>
      </c>
      <c r="C99" s="332"/>
      <c r="D99" s="332"/>
      <c r="E99" s="332"/>
      <c r="F99" s="332"/>
    </row>
    <row r="100" spans="1:6">
      <c r="A100" s="1299" t="s">
        <v>73</v>
      </c>
      <c r="B100" s="1300">
        <v>626</v>
      </c>
      <c r="C100" s="332"/>
      <c r="D100" s="332"/>
      <c r="E100" s="332"/>
      <c r="F100" s="332"/>
    </row>
    <row r="101" spans="1:6">
      <c r="A101" s="1299" t="s">
        <v>74</v>
      </c>
      <c r="B101" s="1300">
        <v>138</v>
      </c>
      <c r="C101" s="332"/>
      <c r="D101" s="332"/>
      <c r="E101" s="332"/>
      <c r="F101" s="332"/>
    </row>
    <row r="102" spans="1:6">
      <c r="A102" s="1299" t="s">
        <v>75</v>
      </c>
      <c r="B102" s="1300">
        <v>138</v>
      </c>
      <c r="C102" s="332"/>
      <c r="D102" s="332"/>
      <c r="E102" s="332"/>
      <c r="F102" s="332"/>
    </row>
    <row r="103" spans="1:6">
      <c r="A103" s="1299" t="s">
        <v>76</v>
      </c>
      <c r="B103" s="1300">
        <v>233</v>
      </c>
      <c r="C103" s="332"/>
      <c r="D103" s="332"/>
      <c r="E103" s="332"/>
      <c r="F103" s="332"/>
    </row>
    <row r="104" spans="1:6">
      <c r="A104" s="1299" t="s">
        <v>77</v>
      </c>
      <c r="B104" s="1300">
        <v>2399</v>
      </c>
      <c r="C104" s="332"/>
      <c r="D104" s="332"/>
      <c r="E104" s="332"/>
      <c r="F104" s="332"/>
    </row>
    <row r="105" spans="1:6">
      <c r="A105" s="1294" t="s">
        <v>78</v>
      </c>
      <c r="B105" s="1303">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12</v>
      </c>
      <c r="C123" s="1300">
        <v>6</v>
      </c>
      <c r="D123" s="332"/>
      <c r="E123" s="332"/>
      <c r="F123" s="332"/>
    </row>
    <row r="124" spans="1:6" s="44" customFormat="1">
      <c r="A124" s="1301" t="s">
        <v>88</v>
      </c>
      <c r="B124" s="1322">
        <v>1</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83</v>
      </c>
      <c r="C129" s="332"/>
      <c r="D129" s="332"/>
      <c r="E129" s="332"/>
      <c r="F129" s="332"/>
    </row>
    <row r="130" spans="1:6">
      <c r="A130" s="1299" t="s">
        <v>294</v>
      </c>
      <c r="B130" s="1300">
        <v>3</v>
      </c>
      <c r="C130" s="332"/>
      <c r="D130" s="332"/>
      <c r="E130" s="332"/>
      <c r="F130" s="332"/>
    </row>
    <row r="131" spans="1:6">
      <c r="A131" s="1299" t="s">
        <v>295</v>
      </c>
      <c r="B131" s="1300">
        <v>1</v>
      </c>
      <c r="C131" s="332"/>
      <c r="D131" s="332"/>
      <c r="E131" s="332"/>
      <c r="F131" s="332"/>
    </row>
    <row r="132" spans="1:6">
      <c r="A132" s="1294" t="s">
        <v>296</v>
      </c>
      <c r="B132" s="1295">
        <v>4</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215674.51080781303</v>
      </c>
      <c r="C3" s="44" t="s">
        <v>169</v>
      </c>
      <c r="D3" s="44"/>
      <c r="E3" s="157"/>
      <c r="F3" s="44"/>
      <c r="G3" s="44"/>
      <c r="H3" s="44"/>
      <c r="I3" s="44"/>
      <c r="J3" s="44"/>
      <c r="K3" s="97"/>
    </row>
    <row r="4" spans="1:11">
      <c r="A4" s="362" t="s">
        <v>170</v>
      </c>
      <c r="B4" s="50">
        <f>IF(ISERROR('SEAP template'!B78+'SEAP template'!C78),0,'SEAP template'!B78+'SEAP template'!C78)</f>
        <v>11036.326173150996</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0.20969116208896943</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1743.46</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1743.46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0.20969116208896943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365.58815345563465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31839.759533032</v>
      </c>
      <c r="C5" s="18">
        <f>IF(ISERROR('Eigen informatie GS &amp; warmtenet'!B57),0,'Eigen informatie GS &amp; warmtenet'!B57)</f>
        <v>0</v>
      </c>
      <c r="D5" s="31">
        <f>(SUM(HH_hh_gas_kWh,HH_rest_gas_kWh)/1000)*0.902</f>
        <v>79465.536641925326</v>
      </c>
      <c r="E5" s="18">
        <f>B46*B57</f>
        <v>7712.2408337227298</v>
      </c>
      <c r="F5" s="18">
        <f>B51*B62</f>
        <v>19944.189497048697</v>
      </c>
      <c r="G5" s="19"/>
      <c r="H5" s="18"/>
      <c r="I5" s="18"/>
      <c r="J5" s="18">
        <f>B50*B61+C50*C61</f>
        <v>2275.5506558214602</v>
      </c>
      <c r="K5" s="18"/>
      <c r="L5" s="18"/>
      <c r="M5" s="18"/>
      <c r="N5" s="18">
        <f>B48*B59+C48*C59</f>
        <v>21029.10086958238</v>
      </c>
      <c r="O5" s="18">
        <f>B69*B70*B71</f>
        <v>139.13666666666668</v>
      </c>
      <c r="P5" s="18">
        <f>B77*B78*B79/1000-B77*B78*B79/1000/B80</f>
        <v>324.13333333333333</v>
      </c>
    </row>
    <row r="6" spans="1:16">
      <c r="A6" s="17" t="s">
        <v>638</v>
      </c>
      <c r="B6" s="776">
        <f>kWh_PV_kleiner_dan_10kW</f>
        <v>3219.6109575267014</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35059.3704905587</v>
      </c>
      <c r="C8" s="22">
        <f>C5</f>
        <v>0</v>
      </c>
      <c r="D8" s="22">
        <f>D5</f>
        <v>79465.536641925326</v>
      </c>
      <c r="E8" s="22">
        <f>E5</f>
        <v>7712.2408337227298</v>
      </c>
      <c r="F8" s="22">
        <f>F5</f>
        <v>19944.189497048697</v>
      </c>
      <c r="G8" s="22"/>
      <c r="H8" s="22"/>
      <c r="I8" s="22"/>
      <c r="J8" s="22">
        <f>J5</f>
        <v>2275.5506558214602</v>
      </c>
      <c r="K8" s="22"/>
      <c r="L8" s="22">
        <f>L5</f>
        <v>0</v>
      </c>
      <c r="M8" s="22">
        <f>M5</f>
        <v>0</v>
      </c>
      <c r="N8" s="22">
        <f>N5</f>
        <v>21029.10086958238</v>
      </c>
      <c r="O8" s="22">
        <f>O5</f>
        <v>139.13666666666668</v>
      </c>
      <c r="P8" s="22">
        <f>P5</f>
        <v>324.13333333333333</v>
      </c>
    </row>
    <row r="9" spans="1:16">
      <c r="B9" s="20"/>
      <c r="C9" s="20"/>
      <c r="D9" s="262"/>
      <c r="E9" s="20"/>
      <c r="F9" s="20"/>
      <c r="G9" s="20"/>
      <c r="H9" s="20"/>
      <c r="I9" s="20"/>
      <c r="J9" s="20"/>
      <c r="K9" s="20"/>
      <c r="L9" s="20"/>
      <c r="M9" s="20"/>
      <c r="N9" s="20"/>
      <c r="O9" s="20"/>
      <c r="P9" s="20"/>
    </row>
    <row r="10" spans="1:16">
      <c r="A10" s="25" t="s">
        <v>213</v>
      </c>
      <c r="B10" s="26">
        <f ca="1">'EF ele_warmte'!B12</f>
        <v>0.20969116208896943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7351.6401402729762</v>
      </c>
      <c r="C12" s="24">
        <f ca="1">C10*C8</f>
        <v>0</v>
      </c>
      <c r="D12" s="24">
        <f>D8*D10</f>
        <v>16052.038401668917</v>
      </c>
      <c r="E12" s="24">
        <f>E10*E8</f>
        <v>1750.6786692550597</v>
      </c>
      <c r="F12" s="24">
        <f>F10*F8</f>
        <v>5325.0985957120029</v>
      </c>
      <c r="G12" s="24"/>
      <c r="H12" s="24"/>
      <c r="I12" s="24"/>
      <c r="J12" s="24">
        <f>J10*J8</f>
        <v>805.54493216079686</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3670</v>
      </c>
      <c r="C18" s="169" t="s">
        <v>110</v>
      </c>
      <c r="D18" s="231"/>
      <c r="E18" s="16"/>
    </row>
    <row r="19" spans="1:7">
      <c r="A19" s="174" t="s">
        <v>71</v>
      </c>
      <c r="B19" s="38">
        <f>aantalw2001_ander</f>
        <v>1</v>
      </c>
      <c r="C19" s="169" t="s">
        <v>110</v>
      </c>
      <c r="D19" s="232"/>
      <c r="E19" s="16"/>
    </row>
    <row r="20" spans="1:7">
      <c r="A20" s="174" t="s">
        <v>72</v>
      </c>
      <c r="B20" s="38">
        <f>aantalw2001_propaan</f>
        <v>172</v>
      </c>
      <c r="C20" s="170">
        <f>IF(ISERROR(B20/SUM($B$20,$B$21,$B$22)*100),0,B20/SUM($B$20,$B$21,$B$22)*100)</f>
        <v>18.376068376068378</v>
      </c>
      <c r="D20" s="232"/>
      <c r="E20" s="16"/>
    </row>
    <row r="21" spans="1:7">
      <c r="A21" s="174" t="s">
        <v>73</v>
      </c>
      <c r="B21" s="38">
        <f>aantalw2001_elektriciteit</f>
        <v>626</v>
      </c>
      <c r="C21" s="170">
        <f>IF(ISERROR(B21/SUM($B$20,$B$21,$B$22)*100),0,B21/SUM($B$20,$B$21,$B$22)*100)</f>
        <v>66.880341880341874</v>
      </c>
      <c r="D21" s="232"/>
      <c r="E21" s="16"/>
    </row>
    <row r="22" spans="1:7">
      <c r="A22" s="174" t="s">
        <v>74</v>
      </c>
      <c r="B22" s="38">
        <f>aantalw2001_hout</f>
        <v>138</v>
      </c>
      <c r="C22" s="170">
        <f>IF(ISERROR(B22/SUM($B$20,$B$21,$B$22)*100),0,B22/SUM($B$20,$B$21,$B$22)*100)</f>
        <v>14.743589743589745</v>
      </c>
      <c r="D22" s="232"/>
      <c r="E22" s="16"/>
    </row>
    <row r="23" spans="1:7">
      <c r="A23" s="174" t="s">
        <v>75</v>
      </c>
      <c r="B23" s="38">
        <f>aantalw2001_niet_gespec</f>
        <v>138</v>
      </c>
      <c r="C23" s="169" t="s">
        <v>110</v>
      </c>
      <c r="D23" s="231"/>
      <c r="E23" s="16"/>
    </row>
    <row r="24" spans="1:7">
      <c r="A24" s="174" t="s">
        <v>76</v>
      </c>
      <c r="B24" s="38">
        <f>aantalw2001_steenkool</f>
        <v>233</v>
      </c>
      <c r="C24" s="169" t="s">
        <v>110</v>
      </c>
      <c r="D24" s="232"/>
      <c r="E24" s="16"/>
    </row>
    <row r="25" spans="1:7">
      <c r="A25" s="174" t="s">
        <v>77</v>
      </c>
      <c r="B25" s="38">
        <f>aantalw2001_stookolie</f>
        <v>2399</v>
      </c>
      <c r="C25" s="169" t="s">
        <v>110</v>
      </c>
      <c r="D25" s="231"/>
      <c r="E25" s="53"/>
    </row>
    <row r="26" spans="1:7">
      <c r="A26" s="174" t="s">
        <v>78</v>
      </c>
      <c r="B26" s="38">
        <f>aantalw2001_WP</f>
        <v>3</v>
      </c>
      <c r="C26" s="169" t="s">
        <v>110</v>
      </c>
      <c r="D26" s="231"/>
      <c r="E26" s="16"/>
    </row>
    <row r="27" spans="1:7" s="16" customFormat="1">
      <c r="A27" s="174"/>
      <c r="B27" s="30"/>
      <c r="C27" s="37"/>
      <c r="D27" s="231"/>
    </row>
    <row r="28" spans="1:7" s="16" customFormat="1">
      <c r="A28" s="233" t="s">
        <v>663</v>
      </c>
      <c r="B28" s="38">
        <f>aantalHuishoudens</f>
        <v>8302</v>
      </c>
      <c r="C28" s="37"/>
      <c r="D28" s="231"/>
    </row>
    <row r="29" spans="1:7" s="16" customFormat="1">
      <c r="A29" s="233" t="s">
        <v>664</v>
      </c>
      <c r="B29" s="38">
        <f>SUM(HH_hh_gas_aantal,HH_rest_gas_aantal)</f>
        <v>5284</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5284</v>
      </c>
      <c r="C32" s="170">
        <f>IF(ISERROR(B32/SUM($B$32,$B$34,$B$35,$B$36,$B$38,$B$39)*100),0,B32/SUM($B$32,$B$34,$B$35,$B$36,$B$38,$B$39)*100)</f>
        <v>63.777911888955941</v>
      </c>
      <c r="D32" s="236"/>
      <c r="G32" s="16"/>
    </row>
    <row r="33" spans="1:7">
      <c r="A33" s="174" t="s">
        <v>71</v>
      </c>
      <c r="B33" s="35" t="s">
        <v>110</v>
      </c>
      <c r="C33" s="170"/>
      <c r="D33" s="236"/>
      <c r="G33" s="16"/>
    </row>
    <row r="34" spans="1:7">
      <c r="A34" s="174" t="s">
        <v>72</v>
      </c>
      <c r="B34" s="34">
        <f>IF((($B$28-$B$32-$B$39-$B$77-$B$38)*C20/100)&lt;0,0,($B$28-$B$32-$B$39-$B$77-$B$38)*C20/100)</f>
        <v>364.39743589743603</v>
      </c>
      <c r="C34" s="170">
        <f>IF(ISERROR(B34/SUM($B$32,$B$34,$B$35,$B$36,$B$38,$B$39)*100),0,B34/SUM($B$32,$B$34,$B$35,$B$36,$B$38,$B$39)*100)</f>
        <v>4.3982792504216777</v>
      </c>
      <c r="D34" s="236"/>
      <c r="G34" s="16"/>
    </row>
    <row r="35" spans="1:7">
      <c r="A35" s="174" t="s">
        <v>73</v>
      </c>
      <c r="B35" s="34">
        <f>IF((($B$28-$B$32-$B$39-$B$77-$B$38)*C21/100)&lt;0,0,($B$28-$B$32-$B$39-$B$77-$B$38)*C21/100)</f>
        <v>1326.2371794871797</v>
      </c>
      <c r="C35" s="170">
        <f>IF(ISERROR(B35/SUM($B$32,$B$34,$B$35,$B$36,$B$38,$B$39)*100),0,B35/SUM($B$32,$B$34,$B$35,$B$36,$B$38,$B$39)*100)</f>
        <v>16.007690760255638</v>
      </c>
      <c r="D35" s="236"/>
      <c r="G35" s="16"/>
    </row>
    <row r="36" spans="1:7">
      <c r="A36" s="174" t="s">
        <v>74</v>
      </c>
      <c r="B36" s="34">
        <f>IF((($B$28-$B$32-$B$39-$B$77-$B$38)*C22/100)&lt;0,0,($B$28-$B$32-$B$39-$B$77-$B$38)*C22/100)</f>
        <v>292.3653846153847</v>
      </c>
      <c r="C36" s="170">
        <f>IF(ISERROR(B36/SUM($B$32,$B$34,$B$35,$B$36,$B$38,$B$39)*100),0,B36/SUM($B$32,$B$34,$B$35,$B$36,$B$38,$B$39)*100)</f>
        <v>3.5288519567336718</v>
      </c>
      <c r="D36" s="236"/>
      <c r="G36" s="16"/>
    </row>
    <row r="37" spans="1:7">
      <c r="A37" s="174" t="s">
        <v>75</v>
      </c>
      <c r="B37" s="35" t="s">
        <v>110</v>
      </c>
      <c r="C37" s="170"/>
      <c r="D37" s="176"/>
      <c r="G37" s="16"/>
    </row>
    <row r="38" spans="1:7">
      <c r="A38" s="174" t="s">
        <v>76</v>
      </c>
      <c r="B38" s="34">
        <f>IF((B24-(B29-B18)*0.1)&lt;0,0,B24-(B29-B18)*0.1)</f>
        <v>71.599999999999994</v>
      </c>
      <c r="C38" s="170">
        <f>IF(ISERROR(B38/SUM($B$32,$B$34,$B$35,$B$36,$B$38,$B$39)*100),0,B38/SUM($B$32,$B$34,$B$35,$B$36,$B$38,$B$39)*100)</f>
        <v>0.86421243210621601</v>
      </c>
      <c r="D38" s="237"/>
      <c r="G38" s="16"/>
    </row>
    <row r="39" spans="1:7">
      <c r="A39" s="174" t="s">
        <v>77</v>
      </c>
      <c r="B39" s="34">
        <f>IF((B25-(B29-B18))&lt;0,0,B25-(B29-B18)*0.9)</f>
        <v>946.39999999999986</v>
      </c>
      <c r="C39" s="170">
        <f>IF(ISERROR(B39/SUM($B$32,$B$34,$B$35,$B$36,$B$38,$B$39)*100),0,B39/SUM($B$32,$B$34,$B$35,$B$36,$B$38,$B$39)*100)</f>
        <v>11.423053711526855</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5284</v>
      </c>
      <c r="C44" s="35" t="s">
        <v>110</v>
      </c>
      <c r="D44" s="177"/>
    </row>
    <row r="45" spans="1:7">
      <c r="A45" s="174" t="s">
        <v>71</v>
      </c>
      <c r="B45" s="34" t="str">
        <f t="shared" si="0"/>
        <v>-</v>
      </c>
      <c r="C45" s="35" t="s">
        <v>110</v>
      </c>
      <c r="D45" s="177"/>
    </row>
    <row r="46" spans="1:7">
      <c r="A46" s="174" t="s">
        <v>72</v>
      </c>
      <c r="B46" s="34">
        <f t="shared" si="0"/>
        <v>364.39743589743603</v>
      </c>
      <c r="C46" s="35" t="s">
        <v>110</v>
      </c>
      <c r="D46" s="177"/>
    </row>
    <row r="47" spans="1:7">
      <c r="A47" s="174" t="s">
        <v>73</v>
      </c>
      <c r="B47" s="34">
        <f t="shared" si="0"/>
        <v>1326.2371794871797</v>
      </c>
      <c r="C47" s="35" t="s">
        <v>110</v>
      </c>
      <c r="D47" s="177"/>
    </row>
    <row r="48" spans="1:7">
      <c r="A48" s="174" t="s">
        <v>74</v>
      </c>
      <c r="B48" s="34">
        <f t="shared" si="0"/>
        <v>292.3653846153847</v>
      </c>
      <c r="C48" s="34">
        <f>B48*10</f>
        <v>2923.6538461538471</v>
      </c>
      <c r="D48" s="237"/>
    </row>
    <row r="49" spans="1:6">
      <c r="A49" s="174" t="s">
        <v>75</v>
      </c>
      <c r="B49" s="34" t="str">
        <f t="shared" si="0"/>
        <v>-</v>
      </c>
      <c r="C49" s="35" t="s">
        <v>110</v>
      </c>
      <c r="D49" s="237"/>
    </row>
    <row r="50" spans="1:6">
      <c r="A50" s="174" t="s">
        <v>76</v>
      </c>
      <c r="B50" s="34">
        <f t="shared" si="0"/>
        <v>71.599999999999994</v>
      </c>
      <c r="C50" s="34">
        <f>B50*2</f>
        <v>143.19999999999999</v>
      </c>
      <c r="D50" s="237"/>
    </row>
    <row r="51" spans="1:6">
      <c r="A51" s="174" t="s">
        <v>77</v>
      </c>
      <c r="B51" s="34">
        <f t="shared" si="0"/>
        <v>946.39999999999986</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89</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17</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31033.31081021942</v>
      </c>
      <c r="C5" s="18">
        <f>IF(ISERROR('Eigen informatie GS &amp; warmtenet'!B58),0,'Eigen informatie GS &amp; warmtenet'!B58)</f>
        <v>0</v>
      </c>
      <c r="D5" s="31">
        <f>SUM(D6:D12)</f>
        <v>38338.183574535469</v>
      </c>
      <c r="E5" s="18">
        <f>SUM(E6:E12)</f>
        <v>201.64110721797857</v>
      </c>
      <c r="F5" s="18">
        <f>SUM(F6:F12)</f>
        <v>7198.7374632915771</v>
      </c>
      <c r="G5" s="19"/>
      <c r="H5" s="18"/>
      <c r="I5" s="18"/>
      <c r="J5" s="18">
        <f>SUM(J6:J12)</f>
        <v>0</v>
      </c>
      <c r="K5" s="18"/>
      <c r="L5" s="18"/>
      <c r="M5" s="18"/>
      <c r="N5" s="18">
        <f>SUM(N6:N12)</f>
        <v>3008.6456853867085</v>
      </c>
      <c r="O5" s="18">
        <f>B38*B39*B40</f>
        <v>4.6900000000000004</v>
      </c>
      <c r="P5" s="18">
        <f>B46*B47*B48/1000-B46*B47*B48/1000/B49</f>
        <v>19.066666666666666</v>
      </c>
      <c r="R5" s="33"/>
    </row>
    <row r="6" spans="1:18">
      <c r="A6" s="33" t="s">
        <v>53</v>
      </c>
      <c r="B6" s="38">
        <f>B26</f>
        <v>5435.5828251027397</v>
      </c>
      <c r="C6" s="34"/>
      <c r="D6" s="38">
        <f>IF(ISERROR(TER_kantoor_gas_kWh/1000),0,TER_kantoor_gas_kWh/1000)*0.902</f>
        <v>8168.9917938450108</v>
      </c>
      <c r="E6" s="34">
        <f>$C$26*'E Balans VL '!I12/100/3.6*1000000</f>
        <v>8.9208930773573716</v>
      </c>
      <c r="F6" s="34">
        <f>$C$26*('E Balans VL '!L12+'E Balans VL '!N12)/100/3.6*1000000</f>
        <v>640.72732276087231</v>
      </c>
      <c r="G6" s="35"/>
      <c r="H6" s="34"/>
      <c r="I6" s="34"/>
      <c r="J6" s="34">
        <f>$C$26*('E Balans VL '!D12+'E Balans VL '!E12)/100/3.6*1000000</f>
        <v>0</v>
      </c>
      <c r="K6" s="34"/>
      <c r="L6" s="34"/>
      <c r="M6" s="34"/>
      <c r="N6" s="34">
        <f>$C$26*'E Balans VL '!Y12/100/3.6*1000000</f>
        <v>1.0982337702200982</v>
      </c>
      <c r="O6" s="34"/>
      <c r="P6" s="34"/>
      <c r="R6" s="33"/>
    </row>
    <row r="7" spans="1:18">
      <c r="A7" s="33" t="s">
        <v>52</v>
      </c>
      <c r="B7" s="38">
        <f t="shared" ref="B7:B12" si="0">B27</f>
        <v>1308.9541067498301</v>
      </c>
      <c r="C7" s="34"/>
      <c r="D7" s="38">
        <f>IF(ISERROR(TER_horeca_gas_kWh/1000),0,TER_horeca_gas_kWh/1000)*0.902</f>
        <v>1606.4230946306911</v>
      </c>
      <c r="E7" s="34">
        <f>$C$27*'E Balans VL '!I9/100/3.6*1000000</f>
        <v>67.925246345710875</v>
      </c>
      <c r="F7" s="34">
        <f>$C$27*('E Balans VL '!L9+'E Balans VL '!N9)/100/3.6*1000000</f>
        <v>298.70427694211844</v>
      </c>
      <c r="G7" s="35"/>
      <c r="H7" s="34"/>
      <c r="I7" s="34"/>
      <c r="J7" s="34">
        <f>$C$27*('E Balans VL '!D9+'E Balans VL '!E9)/100/3.6*1000000</f>
        <v>0</v>
      </c>
      <c r="K7" s="34"/>
      <c r="L7" s="34"/>
      <c r="M7" s="34"/>
      <c r="N7" s="34">
        <f>$C$27*'E Balans VL '!Y9/100/3.6*1000000</f>
        <v>0.13822495381839256</v>
      </c>
      <c r="O7" s="34"/>
      <c r="P7" s="34"/>
      <c r="R7" s="33"/>
    </row>
    <row r="8" spans="1:18">
      <c r="A8" s="6" t="s">
        <v>51</v>
      </c>
      <c r="B8" s="38">
        <f t="shared" si="0"/>
        <v>11734.6780421864</v>
      </c>
      <c r="C8" s="34"/>
      <c r="D8" s="38">
        <f>IF(ISERROR(TER_handel_gas_kWh/1000),0,TER_handel_gas_kWh/1000)*0.902</f>
        <v>6605.0326793576669</v>
      </c>
      <c r="E8" s="34">
        <f>$C$28*'E Balans VL '!I13/100/3.6*1000000</f>
        <v>63.192683257447797</v>
      </c>
      <c r="F8" s="34">
        <f>$C$28*('E Balans VL '!L13+'E Balans VL '!N13)/100/3.6*1000000</f>
        <v>2393.0495760248486</v>
      </c>
      <c r="G8" s="35"/>
      <c r="H8" s="34"/>
      <c r="I8" s="34"/>
      <c r="J8" s="34">
        <f>$C$28*('E Balans VL '!D13+'E Balans VL '!E13)/100/3.6*1000000</f>
        <v>0</v>
      </c>
      <c r="K8" s="34"/>
      <c r="L8" s="34"/>
      <c r="M8" s="34"/>
      <c r="N8" s="34">
        <f>$C$28*'E Balans VL '!Y13/100/3.6*1000000</f>
        <v>58.350356997863834</v>
      </c>
      <c r="O8" s="34"/>
      <c r="P8" s="34"/>
      <c r="R8" s="33"/>
    </row>
    <row r="9" spans="1:18">
      <c r="A9" s="33" t="s">
        <v>50</v>
      </c>
      <c r="B9" s="38">
        <f t="shared" si="0"/>
        <v>4084.4806021829099</v>
      </c>
      <c r="C9" s="34"/>
      <c r="D9" s="38">
        <f>IF(ISERROR(TER_gezond_gas_kWh/1000),0,TER_gezond_gas_kWh/1000)*0.902</f>
        <v>7071.4039336878386</v>
      </c>
      <c r="E9" s="34">
        <f>$C$29*'E Balans VL '!I10/100/3.6*1000000</f>
        <v>4.0477667252844389</v>
      </c>
      <c r="F9" s="34">
        <f>$C$29*('E Balans VL '!L10+'E Balans VL '!N10)/100/3.6*1000000</f>
        <v>1417.197038320772</v>
      </c>
      <c r="G9" s="35"/>
      <c r="H9" s="34"/>
      <c r="I9" s="34"/>
      <c r="J9" s="34">
        <f>$C$29*('E Balans VL '!D10+'E Balans VL '!E10)/100/3.6*1000000</f>
        <v>0</v>
      </c>
      <c r="K9" s="34"/>
      <c r="L9" s="34"/>
      <c r="M9" s="34"/>
      <c r="N9" s="34">
        <f>$C$29*'E Balans VL '!Y10/100/3.6*1000000</f>
        <v>35.195615512151967</v>
      </c>
      <c r="O9" s="34"/>
      <c r="P9" s="34"/>
      <c r="R9" s="33"/>
    </row>
    <row r="10" spans="1:18">
      <c r="A10" s="33" t="s">
        <v>49</v>
      </c>
      <c r="B10" s="38">
        <f t="shared" si="0"/>
        <v>4815.7452705711394</v>
      </c>
      <c r="C10" s="34"/>
      <c r="D10" s="38">
        <f>IF(ISERROR(TER_ander_gas_kWh/1000),0,TER_ander_gas_kWh/1000)*0.902</f>
        <v>5837.4934284408882</v>
      </c>
      <c r="E10" s="34">
        <f>$C$30*'E Balans VL '!I14/100/3.6*1000000</f>
        <v>39.39760930789879</v>
      </c>
      <c r="F10" s="34">
        <f>$C$30*('E Balans VL '!L14+'E Balans VL '!N14)/100/3.6*1000000</f>
        <v>1407.9278600050372</v>
      </c>
      <c r="G10" s="35"/>
      <c r="H10" s="34"/>
      <c r="I10" s="34"/>
      <c r="J10" s="34">
        <f>$C$30*('E Balans VL '!D14+'E Balans VL '!E14)/100/3.6*1000000</f>
        <v>0</v>
      </c>
      <c r="K10" s="34"/>
      <c r="L10" s="34"/>
      <c r="M10" s="34"/>
      <c r="N10" s="34">
        <f>$C$30*'E Balans VL '!Y14/100/3.6*1000000</f>
        <v>2778.0531419497788</v>
      </c>
      <c r="O10" s="34"/>
      <c r="P10" s="34"/>
      <c r="R10" s="33"/>
    </row>
    <row r="11" spans="1:18">
      <c r="A11" s="33" t="s">
        <v>54</v>
      </c>
      <c r="B11" s="38">
        <f t="shared" si="0"/>
        <v>1671.71004893911</v>
      </c>
      <c r="C11" s="34"/>
      <c r="D11" s="38">
        <f>IF(ISERROR(TER_onderwijs_gas_kWh/1000),0,TER_onderwijs_gas_kWh/1000)*0.902</f>
        <v>4378.7306406798334</v>
      </c>
      <c r="E11" s="34">
        <f>$C$31*'E Balans VL '!I11/100/3.6*1000000</f>
        <v>1.0303715377161153</v>
      </c>
      <c r="F11" s="34">
        <f>$C$31*('E Balans VL '!L11+'E Balans VL '!N11)/100/3.6*1000000</f>
        <v>646.31017771129257</v>
      </c>
      <c r="G11" s="35"/>
      <c r="H11" s="34"/>
      <c r="I11" s="34"/>
      <c r="J11" s="34">
        <f>$C$31*('E Balans VL '!D11+'E Balans VL '!E11)/100/3.6*1000000</f>
        <v>0</v>
      </c>
      <c r="K11" s="34"/>
      <c r="L11" s="34"/>
      <c r="M11" s="34"/>
      <c r="N11" s="34">
        <f>$C$31*'E Balans VL '!Y11/100/3.6*1000000</f>
        <v>5.4377145493843733</v>
      </c>
      <c r="O11" s="34"/>
      <c r="P11" s="34"/>
      <c r="R11" s="33"/>
    </row>
    <row r="12" spans="1:18">
      <c r="A12" s="33" t="s">
        <v>259</v>
      </c>
      <c r="B12" s="38">
        <f t="shared" si="0"/>
        <v>1982.1599144872901</v>
      </c>
      <c r="C12" s="34"/>
      <c r="D12" s="38">
        <f>IF(ISERROR(TER_rest_gas_kWh/1000),0,TER_rest_gas_kWh/1000)*0.902</f>
        <v>4670.108003893537</v>
      </c>
      <c r="E12" s="34">
        <f>$C$32*'E Balans VL '!I8/100/3.6*1000000</f>
        <v>17.126536966563179</v>
      </c>
      <c r="F12" s="34">
        <f>$C$32*('E Balans VL '!L8+'E Balans VL '!N8)/100/3.6*1000000</f>
        <v>394.82121152663569</v>
      </c>
      <c r="G12" s="35"/>
      <c r="H12" s="34"/>
      <c r="I12" s="34"/>
      <c r="J12" s="34">
        <f>$C$32*('E Balans VL '!D8+'E Balans VL '!E8)/100/3.6*1000000</f>
        <v>0</v>
      </c>
      <c r="K12" s="34"/>
      <c r="L12" s="34"/>
      <c r="M12" s="34"/>
      <c r="N12" s="34">
        <f>$C$32*'E Balans VL '!Y8/100/3.6*1000000</f>
        <v>130.37239765349054</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31033.31081021942</v>
      </c>
      <c r="C16" s="22">
        <f t="shared" ca="1" si="1"/>
        <v>0</v>
      </c>
      <c r="D16" s="22">
        <f t="shared" ca="1" si="1"/>
        <v>38338.183574535469</v>
      </c>
      <c r="E16" s="22">
        <f t="shared" si="1"/>
        <v>201.64110721797857</v>
      </c>
      <c r="F16" s="22">
        <f t="shared" ca="1" si="1"/>
        <v>7198.7374632915771</v>
      </c>
      <c r="G16" s="22">
        <f t="shared" si="1"/>
        <v>0</v>
      </c>
      <c r="H16" s="22">
        <f t="shared" si="1"/>
        <v>0</v>
      </c>
      <c r="I16" s="22">
        <f t="shared" si="1"/>
        <v>0</v>
      </c>
      <c r="J16" s="22">
        <f t="shared" si="1"/>
        <v>0</v>
      </c>
      <c r="K16" s="22">
        <f t="shared" si="1"/>
        <v>0</v>
      </c>
      <c r="L16" s="22">
        <f t="shared" ca="1" si="1"/>
        <v>0</v>
      </c>
      <c r="M16" s="22">
        <f t="shared" si="1"/>
        <v>0</v>
      </c>
      <c r="N16" s="22">
        <f t="shared" ca="1" si="1"/>
        <v>3008.6456853867085</v>
      </c>
      <c r="O16" s="22">
        <f>O5</f>
        <v>4.6900000000000004</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0.20969116208896943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6507.4110072630874</v>
      </c>
      <c r="C20" s="24">
        <f t="shared" ref="C20:P20" ca="1" si="2">C16*C18</f>
        <v>0</v>
      </c>
      <c r="D20" s="24">
        <f t="shared" ca="1" si="2"/>
        <v>7744.3130820561655</v>
      </c>
      <c r="E20" s="24">
        <f t="shared" si="2"/>
        <v>45.772531338481137</v>
      </c>
      <c r="F20" s="24">
        <f t="shared" ca="1" si="2"/>
        <v>1922.0629026988513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5435.5828251027397</v>
      </c>
      <c r="C26" s="40">
        <f>IF(ISERROR(B26*3.6/1000000/'E Balans VL '!Z12*100),0,B26*3.6/1000000/'E Balans VL '!Z12*100)</f>
        <v>0.11550223700824873</v>
      </c>
      <c r="D26" s="240" t="s">
        <v>703</v>
      </c>
      <c r="F26" s="6"/>
    </row>
    <row r="27" spans="1:18">
      <c r="A27" s="234" t="s">
        <v>52</v>
      </c>
      <c r="B27" s="34">
        <f>IF(ISERROR(TER_horeca_ele_kWh/1000),0,TER_horeca_ele_kWh/1000)</f>
        <v>1308.9541067498301</v>
      </c>
      <c r="C27" s="40">
        <f>IF(ISERROR(B27*3.6/1000000/'E Balans VL '!Z9*100),0,B27*3.6/1000000/'E Balans VL '!Z9*100)</f>
        <v>0.10302481029942304</v>
      </c>
      <c r="D27" s="240" t="s">
        <v>703</v>
      </c>
      <c r="F27" s="6"/>
    </row>
    <row r="28" spans="1:18">
      <c r="A28" s="174" t="s">
        <v>51</v>
      </c>
      <c r="B28" s="34">
        <f>IF(ISERROR(TER_handel_ele_kWh/1000),0,TER_handel_ele_kWh/1000)</f>
        <v>11734.6780421864</v>
      </c>
      <c r="C28" s="40">
        <f>IF(ISERROR(B28*3.6/1000000/'E Balans VL '!Z13*100),0,B28*3.6/1000000/'E Balans VL '!Z13*100)</f>
        <v>0.32869461211339063</v>
      </c>
      <c r="D28" s="240" t="s">
        <v>703</v>
      </c>
      <c r="F28" s="6"/>
    </row>
    <row r="29" spans="1:18">
      <c r="A29" s="234" t="s">
        <v>50</v>
      </c>
      <c r="B29" s="34">
        <f>IF(ISERROR(TER_gezond_ele_kWh/1000),0,TER_gezond_ele_kWh/1000)</f>
        <v>4084.4806021829099</v>
      </c>
      <c r="C29" s="40">
        <f>IF(ISERROR(B29*3.6/1000000/'E Balans VL '!Z10*100),0,B29*3.6/1000000/'E Balans VL '!Z10*100)</f>
        <v>0.52252857873832537</v>
      </c>
      <c r="D29" s="240" t="s">
        <v>703</v>
      </c>
      <c r="F29" s="6"/>
    </row>
    <row r="30" spans="1:18">
      <c r="A30" s="234" t="s">
        <v>49</v>
      </c>
      <c r="B30" s="34">
        <f>IF(ISERROR(TER_ander_ele_kWh/1000),0,TER_ander_ele_kWh/1000)</f>
        <v>4815.7452705711394</v>
      </c>
      <c r="C30" s="40">
        <f>IF(ISERROR(B30*3.6/1000000/'E Balans VL '!Z14*100),0,B30*3.6/1000000/'E Balans VL '!Z14*100)</f>
        <v>0.36017716806021527</v>
      </c>
      <c r="D30" s="240" t="s">
        <v>703</v>
      </c>
      <c r="F30" s="6"/>
    </row>
    <row r="31" spans="1:18">
      <c r="A31" s="234" t="s">
        <v>54</v>
      </c>
      <c r="B31" s="34">
        <f>IF(ISERROR(TER_onderwijs_ele_kWh/1000),0,TER_onderwijs_ele_kWh/1000)</f>
        <v>1671.71004893911</v>
      </c>
      <c r="C31" s="40">
        <f>IF(ISERROR(B31*3.6/1000000/'E Balans VL '!Z11*100),0,B31*3.6/1000000/'E Balans VL '!Z11*100)</f>
        <v>0.35298374225150103</v>
      </c>
      <c r="D31" s="240" t="s">
        <v>703</v>
      </c>
    </row>
    <row r="32" spans="1:18">
      <c r="A32" s="234" t="s">
        <v>259</v>
      </c>
      <c r="B32" s="34">
        <f>IF(ISERROR(TER_rest_ele_kWh/1000),0,TER_rest_ele_kWh/1000)</f>
        <v>1982.1599144872901</v>
      </c>
      <c r="C32" s="40">
        <f>IF(ISERROR(B32*3.6/1000000/'E Balans VL '!Z8*100),0,B32*3.6/1000000/'E Balans VL '!Z8*100)</f>
        <v>1.6328898718383993E-2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3</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1</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134118.37221713288</v>
      </c>
      <c r="C5" s="18">
        <f>IF(ISERROR('Eigen informatie GS &amp; warmtenet'!B59),0,'Eigen informatie GS &amp; warmtenet'!B59)</f>
        <v>0</v>
      </c>
      <c r="D5" s="31">
        <f>SUM(D6:D15)</f>
        <v>186536.55522295638</v>
      </c>
      <c r="E5" s="18">
        <f>SUM(E6:E15)</f>
        <v>1028.5482899398658</v>
      </c>
      <c r="F5" s="18">
        <f>SUM(F6:F15)</f>
        <v>59377.753188372284</v>
      </c>
      <c r="G5" s="19"/>
      <c r="H5" s="18"/>
      <c r="I5" s="18"/>
      <c r="J5" s="18">
        <f>SUM(J6:J15)</f>
        <v>279.32685107623337</v>
      </c>
      <c r="K5" s="18"/>
      <c r="L5" s="18"/>
      <c r="M5" s="18"/>
      <c r="N5" s="18">
        <f>SUM(N6:N15)</f>
        <v>6829.4476989264022</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1044.92741917545</v>
      </c>
      <c r="C8" s="34"/>
      <c r="D8" s="38">
        <f>IF( ISERROR(IND_metaal_Gas_kWH/1000),0,IND_metaal_Gas_kWH/1000)*0.902</f>
        <v>56.090414335162052</v>
      </c>
      <c r="E8" s="34">
        <f>C30*'E Balans VL '!I18/100/3.6*1000000</f>
        <v>9.5159656976004001</v>
      </c>
      <c r="F8" s="34">
        <f>C30*'E Balans VL '!L18/100/3.6*1000000+C30*'E Balans VL '!N18/100/3.6*1000000</f>
        <v>137.81799127412731</v>
      </c>
      <c r="G8" s="35"/>
      <c r="H8" s="34"/>
      <c r="I8" s="34"/>
      <c r="J8" s="41">
        <f>C30*'E Balans VL '!D18/100/3.6*1000000+C30*'E Balans VL '!E18/100/3.6*1000000</f>
        <v>17.135292494496749</v>
      </c>
      <c r="K8" s="34"/>
      <c r="L8" s="34"/>
      <c r="M8" s="34"/>
      <c r="N8" s="34">
        <f>C30*'E Balans VL '!Y18/100/3.6*1000000</f>
        <v>3.5910004433535563</v>
      </c>
      <c r="O8" s="34"/>
      <c r="P8" s="34"/>
      <c r="R8" s="33"/>
    </row>
    <row r="9" spans="1:18">
      <c r="A9" s="6" t="s">
        <v>32</v>
      </c>
      <c r="B9" s="38">
        <f t="shared" si="0"/>
        <v>59089.488824394102</v>
      </c>
      <c r="C9" s="34"/>
      <c r="D9" s="38">
        <f>IF( ISERROR(IND_andere_gas_kWh/1000),0,IND_andere_gas_kWh/1000)*0.902</f>
        <v>6621.7035237329474</v>
      </c>
      <c r="E9" s="34">
        <f>C31*'E Balans VL '!I19/100/3.6*1000000</f>
        <v>341.54607559873108</v>
      </c>
      <c r="F9" s="34">
        <f>C31*'E Balans VL '!L19/100/3.6*1000000+C31*'E Balans VL '!N19/100/3.6*1000000</f>
        <v>47008.531633495259</v>
      </c>
      <c r="G9" s="35"/>
      <c r="H9" s="34"/>
      <c r="I9" s="34"/>
      <c r="J9" s="41">
        <f>C31*'E Balans VL '!D19/100/3.6*1000000+C31*'E Balans VL '!E19/100/3.6*1000000</f>
        <v>5.5892092953360724</v>
      </c>
      <c r="K9" s="34"/>
      <c r="L9" s="34"/>
      <c r="M9" s="34"/>
      <c r="N9" s="34">
        <f>C31*'E Balans VL '!Y19/100/3.6*1000000</f>
        <v>4476.922997837507</v>
      </c>
      <c r="O9" s="34"/>
      <c r="P9" s="34"/>
      <c r="R9" s="33"/>
    </row>
    <row r="10" spans="1:18">
      <c r="A10" s="6" t="s">
        <v>40</v>
      </c>
      <c r="B10" s="38">
        <f t="shared" si="0"/>
        <v>15828.7886191821</v>
      </c>
      <c r="C10" s="34"/>
      <c r="D10" s="38">
        <f>IF( ISERROR(IND_voed_gas_kWh/1000),0,IND_voed_gas_kWh/1000)*0.902</f>
        <v>2273.9872821417171</v>
      </c>
      <c r="E10" s="34">
        <f>C32*'E Balans VL '!I20/100/3.6*1000000</f>
        <v>155.63840263271638</v>
      </c>
      <c r="F10" s="34">
        <f>C32*'E Balans VL '!L20/100/3.6*1000000+C32*'E Balans VL '!N20/100/3.6*1000000</f>
        <v>1757.9935837091678</v>
      </c>
      <c r="G10" s="35"/>
      <c r="H10" s="34"/>
      <c r="I10" s="34"/>
      <c r="J10" s="41">
        <f>C32*'E Balans VL '!D20/100/3.6*1000000+C32*'E Balans VL '!E20/100/3.6*1000000</f>
        <v>6.2388441785841353E-2</v>
      </c>
      <c r="K10" s="34"/>
      <c r="L10" s="34"/>
      <c r="M10" s="34"/>
      <c r="N10" s="34">
        <f>C32*'E Balans VL '!Y20/100/3.6*1000000</f>
        <v>234.38712621458387</v>
      </c>
      <c r="O10" s="34"/>
      <c r="P10" s="34"/>
      <c r="R10" s="33"/>
    </row>
    <row r="11" spans="1:18">
      <c r="A11" s="6" t="s">
        <v>39</v>
      </c>
      <c r="B11" s="38">
        <f t="shared" si="0"/>
        <v>5897.0097255102701</v>
      </c>
      <c r="C11" s="34"/>
      <c r="D11" s="38">
        <f>IF( ISERROR(IND_textiel_gas_kWh/1000),0,IND_textiel_gas_kWh/1000)*0.902</f>
        <v>34563.046074824037</v>
      </c>
      <c r="E11" s="34">
        <f>C33*'E Balans VL '!I21/100/3.6*1000000</f>
        <v>11.482847261597895</v>
      </c>
      <c r="F11" s="34">
        <f>C33*'E Balans VL '!L21/100/3.6*1000000+C33*'E Balans VL '!N21/100/3.6*1000000</f>
        <v>194.50273180586794</v>
      </c>
      <c r="G11" s="35"/>
      <c r="H11" s="34"/>
      <c r="I11" s="34"/>
      <c r="J11" s="41">
        <f>C33*'E Balans VL '!D21/100/3.6*1000000+C33*'E Balans VL '!E21/100/3.6*1000000</f>
        <v>0</v>
      </c>
      <c r="K11" s="34"/>
      <c r="L11" s="34"/>
      <c r="M11" s="34"/>
      <c r="N11" s="34">
        <f>C33*'E Balans VL '!Y21/100/3.6*1000000</f>
        <v>61.167501034622489</v>
      </c>
      <c r="O11" s="34"/>
      <c r="P11" s="34"/>
      <c r="R11" s="33"/>
    </row>
    <row r="12" spans="1:18">
      <c r="A12" s="6" t="s">
        <v>36</v>
      </c>
      <c r="B12" s="38">
        <f t="shared" si="0"/>
        <v>396.43675257289198</v>
      </c>
      <c r="C12" s="34"/>
      <c r="D12" s="38">
        <f>IF( ISERROR(IND_min_gas_kWh/1000),0,IND_min_gas_kWh/1000)*0.902</f>
        <v>0</v>
      </c>
      <c r="E12" s="34">
        <f>C34*'E Balans VL '!I22/100/3.6*1000000</f>
        <v>10.050377134972702</v>
      </c>
      <c r="F12" s="34">
        <f>C34*'E Balans VL '!L22/100/3.6*1000000+C34*'E Balans VL '!N22/100/3.6*1000000</f>
        <v>109.6954312530093</v>
      </c>
      <c r="G12" s="35"/>
      <c r="H12" s="34"/>
      <c r="I12" s="34"/>
      <c r="J12" s="41">
        <f>C34*'E Balans VL '!D22/100/3.6*1000000+C34*'E Balans VL '!E22/100/3.6*1000000</f>
        <v>2.6181479783246355</v>
      </c>
      <c r="K12" s="34"/>
      <c r="L12" s="34"/>
      <c r="M12" s="34"/>
      <c r="N12" s="34">
        <f>C34*'E Balans VL '!Y22/100/3.6*1000000</f>
        <v>0</v>
      </c>
      <c r="O12" s="34"/>
      <c r="P12" s="34"/>
      <c r="R12" s="33"/>
    </row>
    <row r="13" spans="1:18">
      <c r="A13" s="6" t="s">
        <v>38</v>
      </c>
      <c r="B13" s="38">
        <f t="shared" si="0"/>
        <v>1367.90379739028</v>
      </c>
      <c r="C13" s="34"/>
      <c r="D13" s="38">
        <f>IF( ISERROR(IND_papier_gas_kWh/1000),0,IND_papier_gas_kWh/1000)*0.902</f>
        <v>943.01509402162333</v>
      </c>
      <c r="E13" s="34">
        <f>C35*'E Balans VL '!I23/100/3.6*1000000</f>
        <v>46.592786671391757</v>
      </c>
      <c r="F13" s="34">
        <f>C35*'E Balans VL '!L23/100/3.6*1000000+C35*'E Balans VL '!N23/100/3.6*1000000</f>
        <v>225.94560331780664</v>
      </c>
      <c r="G13" s="35"/>
      <c r="H13" s="34"/>
      <c r="I13" s="34"/>
      <c r="J13" s="41">
        <f>C35*'E Balans VL '!D23/100/3.6*1000000+C35*'E Balans VL '!E23/100/3.6*1000000</f>
        <v>0</v>
      </c>
      <c r="K13" s="34"/>
      <c r="L13" s="34"/>
      <c r="M13" s="34"/>
      <c r="N13" s="34">
        <f>C35*'E Balans VL '!Y23/100/3.6*1000000</f>
        <v>503.35191310354878</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50493.817078907799</v>
      </c>
      <c r="C15" s="34"/>
      <c r="D15" s="38">
        <f>IF( ISERROR(IND_rest_gas_kWh/1000),0,IND_rest_gas_kWh/1000)*0.902</f>
        <v>142078.71283390088</v>
      </c>
      <c r="E15" s="34">
        <f>C37*'E Balans VL '!I15/100/3.6*1000000</f>
        <v>453.72183494285554</v>
      </c>
      <c r="F15" s="34">
        <f>C37*'E Balans VL '!L15/100/3.6*1000000+C37*'E Balans VL '!N15/100/3.6*1000000</f>
        <v>9943.2662135170431</v>
      </c>
      <c r="G15" s="35"/>
      <c r="H15" s="34"/>
      <c r="I15" s="34"/>
      <c r="J15" s="41">
        <f>C37*'E Balans VL '!D15/100/3.6*1000000+C37*'E Balans VL '!E15/100/3.6*1000000</f>
        <v>253.92181286629008</v>
      </c>
      <c r="K15" s="34"/>
      <c r="L15" s="34"/>
      <c r="M15" s="34"/>
      <c r="N15" s="34">
        <f>C37*'E Balans VL '!Y15/100/3.6*1000000</f>
        <v>1550.027160292786</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134118.37221713288</v>
      </c>
      <c r="C18" s="22">
        <f>C5+C16</f>
        <v>0</v>
      </c>
      <c r="D18" s="22">
        <f>MAX((D5+D16),0)</f>
        <v>186536.55522295638</v>
      </c>
      <c r="E18" s="22">
        <f>MAX((E5+E16),0)</f>
        <v>1028.5482899398658</v>
      </c>
      <c r="F18" s="22">
        <f>MAX((F5+F16),0)</f>
        <v>59377.753188372284</v>
      </c>
      <c r="G18" s="22"/>
      <c r="H18" s="22"/>
      <c r="I18" s="22"/>
      <c r="J18" s="22">
        <f>MAX((J5+J16),0)</f>
        <v>279.32685107623337</v>
      </c>
      <c r="K18" s="22"/>
      <c r="L18" s="22">
        <f>MAX((L5+L16),0)</f>
        <v>0</v>
      </c>
      <c r="M18" s="22"/>
      <c r="N18" s="22">
        <f>MAX((N5+N16),0)</f>
        <v>6829.4476989264022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0.20969116208896943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28123.437327691547</v>
      </c>
      <c r="C22" s="24">
        <f ca="1">C18*C20</f>
        <v>0</v>
      </c>
      <c r="D22" s="24">
        <f>D18*D20</f>
        <v>37680.384155037187</v>
      </c>
      <c r="E22" s="24">
        <f>E18*E20</f>
        <v>233.48046181634953</v>
      </c>
      <c r="F22" s="24">
        <f>F18*F20</f>
        <v>15853.8601012954</v>
      </c>
      <c r="G22" s="24"/>
      <c r="H22" s="24"/>
      <c r="I22" s="24"/>
      <c r="J22" s="24">
        <f>J18*J20</f>
        <v>98.881705280986608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1044.92741917545</v>
      </c>
      <c r="C30" s="40">
        <f>IF(ISERROR(B30*3.6/1000000/'E Balans VL '!Z18*100),0,B30*3.6/1000000/'E Balans VL '!Z18*100)</f>
        <v>5.8143223507411579E-2</v>
      </c>
      <c r="D30" s="240" t="s">
        <v>703</v>
      </c>
    </row>
    <row r="31" spans="1:18">
      <c r="A31" s="6" t="s">
        <v>32</v>
      </c>
      <c r="B31" s="38">
        <f>IF( ISERROR(IND_ander_ele_kWh/1000),0,IND_ander_ele_kWh/1000)</f>
        <v>59089.488824394102</v>
      </c>
      <c r="C31" s="40">
        <f>IF(ISERROR(B31*3.6/1000000/'E Balans VL '!Z19*100),0,B31*3.6/1000000/'E Balans VL '!Z19*100)</f>
        <v>2.7469151485610737</v>
      </c>
      <c r="D31" s="240" t="s">
        <v>703</v>
      </c>
    </row>
    <row r="32" spans="1:18">
      <c r="A32" s="174" t="s">
        <v>40</v>
      </c>
      <c r="B32" s="38">
        <f>IF( ISERROR(IND_voed_ele_kWh/1000),0,IND_voed_ele_kWh/1000)</f>
        <v>15828.7886191821</v>
      </c>
      <c r="C32" s="40">
        <f>IF(ISERROR(B32*3.6/1000000/'E Balans VL '!Z20*100),0,B32*3.6/1000000/'E Balans VL '!Z20*100)</f>
        <v>0.55951571009562928</v>
      </c>
      <c r="D32" s="240" t="s">
        <v>703</v>
      </c>
    </row>
    <row r="33" spans="1:5">
      <c r="A33" s="174" t="s">
        <v>39</v>
      </c>
      <c r="B33" s="38">
        <f>IF( ISERROR(IND_textiel_ele_kWh/1000),0,IND_textiel_ele_kWh/1000)</f>
        <v>5897.0097255102701</v>
      </c>
      <c r="C33" s="40">
        <f>IF(ISERROR(B33*3.6/1000000/'E Balans VL '!Z21*100),0,B33*3.6/1000000/'E Balans VL '!Z21*100)</f>
        <v>0.79648064428198706</v>
      </c>
      <c r="D33" s="240" t="s">
        <v>703</v>
      </c>
    </row>
    <row r="34" spans="1:5">
      <c r="A34" s="174" t="s">
        <v>36</v>
      </c>
      <c r="B34" s="38">
        <f>IF( ISERROR(IND_min_ele_kWh/1000),0,IND_min_ele_kWh/1000)</f>
        <v>396.43675257289198</v>
      </c>
      <c r="C34" s="40">
        <f>IF(ISERROR(B34*3.6/1000000/'E Balans VL '!Z22*100),0,B34*3.6/1000000/'E Balans VL '!Z22*100)</f>
        <v>7.9672608128405875E-2</v>
      </c>
      <c r="D34" s="240" t="s">
        <v>703</v>
      </c>
    </row>
    <row r="35" spans="1:5">
      <c r="A35" s="174" t="s">
        <v>38</v>
      </c>
      <c r="B35" s="38">
        <f>IF( ISERROR(IND_papier_ele_kWh/1000),0,IND_papier_ele_kWh/1000)</f>
        <v>1367.90379739028</v>
      </c>
      <c r="C35" s="40">
        <f>IF(ISERROR(B35*3.6/1000000/'E Balans VL '!Z22*100),0,B35*3.6/1000000/'E Balans VL '!Z22*100)</f>
        <v>0.27491008969153374</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50493.817078907799</v>
      </c>
      <c r="C37" s="40">
        <f>IF(ISERROR(B37*3.6/1000000/'E Balans VL '!Z15*100),0,B37*3.6/1000000/'E Balans VL '!Z15*100)</f>
        <v>0.38130290959280172</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12127.103628133045</v>
      </c>
      <c r="C5" s="18">
        <f>'Eigen informatie GS &amp; warmtenet'!B60</f>
        <v>0</v>
      </c>
      <c r="D5" s="31">
        <f>IF(ISERROR(SUM(LB_lb_gas_kWh,LB_rest_gas_kWh)/1000),0,SUM(LB_lb_gas_kWh,LB_rest_gas_kWh)/1000)*0.902</f>
        <v>558.90674219149469</v>
      </c>
      <c r="E5" s="18">
        <f>B17*'E Balans VL '!I25/3.6*1000000/100</f>
        <v>114.24544160298323</v>
      </c>
      <c r="F5" s="18">
        <f>B17*('E Balans VL '!L25/3.6*1000000+'E Balans VL '!N25/3.6*1000000)/100</f>
        <v>39574.763770835962</v>
      </c>
      <c r="G5" s="19"/>
      <c r="H5" s="18"/>
      <c r="I5" s="18"/>
      <c r="J5" s="18">
        <f>('E Balans VL '!D25+'E Balans VL '!E25)/3.6*1000000*landbouw!B17/100</f>
        <v>1500.1817050207737</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12127.103628133045</v>
      </c>
      <c r="C8" s="22">
        <f>C5+C6</f>
        <v>0</v>
      </c>
      <c r="D8" s="22">
        <f>MAX((D5+D6),0)</f>
        <v>558.90674219149469</v>
      </c>
      <c r="E8" s="22">
        <f>MAX((E5+E6),0)</f>
        <v>114.24544160298323</v>
      </c>
      <c r="F8" s="22">
        <f>MAX((F5+F6),0)</f>
        <v>39574.763770835962</v>
      </c>
      <c r="G8" s="22"/>
      <c r="H8" s="22"/>
      <c r="I8" s="22"/>
      <c r="J8" s="22">
        <f>MAX((J5+J6),0)</f>
        <v>1500.1817050207737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0.20969116208896943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2542.9464525565754</v>
      </c>
      <c r="C12" s="24">
        <f ca="1">C8*C10</f>
        <v>0</v>
      </c>
      <c r="D12" s="24">
        <f>D8*D10</f>
        <v>112.89916192268193</v>
      </c>
      <c r="E12" s="24">
        <f>E8*E10</f>
        <v>25.933715243877195</v>
      </c>
      <c r="F12" s="24">
        <f>F8*F10</f>
        <v>10566.461926813203</v>
      </c>
      <c r="G12" s="24"/>
      <c r="H12" s="24"/>
      <c r="I12" s="24"/>
      <c r="J12" s="24">
        <f>J8*J10</f>
        <v>531.06432357735389</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1.641816046327953</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1387.133224895028</v>
      </c>
      <c r="C26" s="250">
        <f>B26*'GWP N2O_CH4'!B5</f>
        <v>29129.797722795589</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934.4750451707755</v>
      </c>
      <c r="C27" s="250">
        <f>B27*'GWP N2O_CH4'!B5</f>
        <v>19623.975948586285</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21.016657639590857</v>
      </c>
      <c r="C28" s="250">
        <f>B28*'GWP N2O_CH4'!B4</f>
        <v>6515.1638682731655</v>
      </c>
      <c r="D28" s="51"/>
    </row>
    <row r="29" spans="1:4">
      <c r="A29" s="42" t="s">
        <v>276</v>
      </c>
      <c r="B29" s="250">
        <f>B34*'ha_N2O bodem landbouw'!B4</f>
        <v>28.13387612097052</v>
      </c>
      <c r="C29" s="250">
        <f>B29*'GWP N2O_CH4'!B4</f>
        <v>8721.501597500861</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7.5952608907345559E-3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7.740608323402709E-6</v>
      </c>
      <c r="C5" s="443" t="s">
        <v>210</v>
      </c>
      <c r="D5" s="428">
        <f>SUM(D6:D11)</f>
        <v>1.7747801585145975E-5</v>
      </c>
      <c r="E5" s="428">
        <f>SUM(E6:E11)</f>
        <v>1.1265345684279022E-3</v>
      </c>
      <c r="F5" s="441" t="s">
        <v>210</v>
      </c>
      <c r="G5" s="428">
        <f>SUM(G6:G11)</f>
        <v>0.28705719469140312</v>
      </c>
      <c r="H5" s="428">
        <f>SUM(H6:H11)</f>
        <v>4.525018056811992E-2</v>
      </c>
      <c r="I5" s="443" t="s">
        <v>210</v>
      </c>
      <c r="J5" s="443" t="s">
        <v>210</v>
      </c>
      <c r="K5" s="443" t="s">
        <v>210</v>
      </c>
      <c r="L5" s="443" t="s">
        <v>210</v>
      </c>
      <c r="M5" s="428">
        <f>SUM(M6:M11)</f>
        <v>1.4845499995464808E-2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6.261633747896869E-6</v>
      </c>
      <c r="C6" s="429"/>
      <c r="D6" s="429">
        <f>vkm_GW_PW*SUMIFS(TableVerdeelsleutelVkm[CNG],TableVerdeelsleutelVkm[Voertuigtype],"Lichte voertuigen")*SUMIFS(TableECFTransport[EnergieConsumptieFactor (PJ per km)],TableECFTransport[Index],CONCATENATE($A6,"_CNG_CNG"))</f>
        <v>1.2668930396386917E-5</v>
      </c>
      <c r="E6" s="431">
        <f>vkm_GW_PW*SUMIFS(TableVerdeelsleutelVkm[LPG],TableVerdeelsleutelVkm[Voertuigtype],"Lichte voertuigen")*SUMIFS(TableECFTransport[EnergieConsumptieFactor (PJ per km)],TableECFTransport[Index],CONCATENATE($A6,"_LPG_LPG"))</f>
        <v>8.1789794878540933E-4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0.13060261501721629</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3.2726684035247297E-2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7.3103186412160279E-3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9.2936831878511164E-2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2.5419787039765065E-6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4.1353880472302356E-3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1.47897457550584E-6</v>
      </c>
      <c r="C8" s="429"/>
      <c r="D8" s="431">
        <f>vkm_NGW_PW*SUMIFS(TableVerdeelsleutelVkm[CNG],TableVerdeelsleutelVkm[Voertuigtype],"Lichte voertuigen")*SUMIFS(TableECFTransport[EnergieConsumptieFactor (PJ per km)],TableECFTransport[Index],CONCATENATE($A8,"_CNG_CNG"))</f>
        <v>5.07887118875906E-6</v>
      </c>
      <c r="E8" s="431">
        <f>vkm_NGW_PW*SUMIFS(TableVerdeelsleutelVkm[LPG],TableVerdeelsleutelVkm[Voertuigtype],"Lichte voertuigen")*SUMIFS(TableECFTransport[EnergieConsumptieFactor (PJ per km)],TableECFTransport[Index],CONCATENATE($A8,"_LPG_LPG"))</f>
        <v>3.0863661964249291E-4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4.6916706783231593E-2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1.2520427249810355E-2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2.6610973888593062E-3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1.6601041012444074E-2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5.2730435829354895E-7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7.3869591815923878E-4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2.150168978722975</v>
      </c>
      <c r="C14" s="22"/>
      <c r="D14" s="22">
        <f t="shared" ref="D14:M14" si="0">((D5)*10^9/3600)+D12</f>
        <v>4.9299448847627705</v>
      </c>
      <c r="E14" s="22">
        <f t="shared" si="0"/>
        <v>312.92626900775059</v>
      </c>
      <c r="F14" s="22"/>
      <c r="G14" s="22">
        <f t="shared" si="0"/>
        <v>79738.109636500856</v>
      </c>
      <c r="H14" s="22">
        <f t="shared" si="0"/>
        <v>12569.494602255534</v>
      </c>
      <c r="I14" s="22"/>
      <c r="J14" s="22"/>
      <c r="K14" s="22"/>
      <c r="L14" s="22"/>
      <c r="M14" s="22">
        <f t="shared" si="0"/>
        <v>4123.7499987402243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0.20969116208896943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0.4508714318360732</v>
      </c>
      <c r="C18" s="24"/>
      <c r="D18" s="24">
        <f t="shared" ref="D18:M18" si="1">D14*D16</f>
        <v>0.99584886672207973</v>
      </c>
      <c r="E18" s="24">
        <f t="shared" si="1"/>
        <v>71.034263064759386</v>
      </c>
      <c r="F18" s="24"/>
      <c r="G18" s="24">
        <f t="shared" si="1"/>
        <v>21290.075272945731</v>
      </c>
      <c r="H18" s="24">
        <f t="shared" si="1"/>
        <v>3129.8041559616281</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4.6963332617993439E-3</v>
      </c>
      <c r="H50" s="321">
        <f t="shared" si="2"/>
        <v>0</v>
      </c>
      <c r="I50" s="321">
        <f t="shared" si="2"/>
        <v>0</v>
      </c>
      <c r="J50" s="321">
        <f t="shared" si="2"/>
        <v>0</v>
      </c>
      <c r="K50" s="321">
        <f t="shared" si="2"/>
        <v>0</v>
      </c>
      <c r="L50" s="321">
        <f t="shared" si="2"/>
        <v>0</v>
      </c>
      <c r="M50" s="321">
        <f t="shared" si="2"/>
        <v>2.0605710709304588E-4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4.6963332617993439E-3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2.0605710709304588E-4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1304.5370171664845</v>
      </c>
      <c r="H54" s="22">
        <f t="shared" si="3"/>
        <v>0</v>
      </c>
      <c r="I54" s="22">
        <f t="shared" si="3"/>
        <v>0</v>
      </c>
      <c r="J54" s="22">
        <f t="shared" si="3"/>
        <v>0</v>
      </c>
      <c r="K54" s="22">
        <f t="shared" si="3"/>
        <v>0</v>
      </c>
      <c r="L54" s="22">
        <f t="shared" si="3"/>
        <v>0</v>
      </c>
      <c r="M54" s="22">
        <f t="shared" si="3"/>
        <v>57.238085303623855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0.20969116208896943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348.3113835834514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32776.770810219423</v>
      </c>
      <c r="D10" s="684">
        <f ca="1">tertiair!C16</f>
        <v>0</v>
      </c>
      <c r="E10" s="684">
        <f ca="1">tertiair!D16</f>
        <v>38338.183574535469</v>
      </c>
      <c r="F10" s="684">
        <f>tertiair!E16</f>
        <v>201.64110721797857</v>
      </c>
      <c r="G10" s="684">
        <f ca="1">tertiair!F16</f>
        <v>7198.7374632915771</v>
      </c>
      <c r="H10" s="684">
        <f>tertiair!G16</f>
        <v>0</v>
      </c>
      <c r="I10" s="684">
        <f>tertiair!H16</f>
        <v>0</v>
      </c>
      <c r="J10" s="684">
        <f>tertiair!I16</f>
        <v>0</v>
      </c>
      <c r="K10" s="684">
        <f>tertiair!J16</f>
        <v>0</v>
      </c>
      <c r="L10" s="684">
        <f>tertiair!K16</f>
        <v>0</v>
      </c>
      <c r="M10" s="684">
        <f ca="1">tertiair!L16</f>
        <v>0</v>
      </c>
      <c r="N10" s="684">
        <f>tertiair!M16</f>
        <v>0</v>
      </c>
      <c r="O10" s="684">
        <f ca="1">tertiair!N16</f>
        <v>3008.6456853867085</v>
      </c>
      <c r="P10" s="684">
        <f>tertiair!O16</f>
        <v>4.6900000000000004</v>
      </c>
      <c r="Q10" s="685">
        <f>tertiair!P16</f>
        <v>19.066666666666666</v>
      </c>
      <c r="R10" s="687">
        <f ca="1">SUM(C10:Q10)</f>
        <v>81547.735307317824</v>
      </c>
      <c r="S10" s="68"/>
    </row>
    <row r="11" spans="1:19" s="453" customFormat="1">
      <c r="A11" s="799" t="s">
        <v>224</v>
      </c>
      <c r="B11" s="804"/>
      <c r="C11" s="684">
        <f>huishoudens!B8</f>
        <v>35059.3704905587</v>
      </c>
      <c r="D11" s="684">
        <f>huishoudens!C8</f>
        <v>0</v>
      </c>
      <c r="E11" s="684">
        <f>huishoudens!D8</f>
        <v>79465.536641925326</v>
      </c>
      <c r="F11" s="684">
        <f>huishoudens!E8</f>
        <v>7712.2408337227298</v>
      </c>
      <c r="G11" s="684">
        <f>huishoudens!F8</f>
        <v>19944.189497048697</v>
      </c>
      <c r="H11" s="684">
        <f>huishoudens!G8</f>
        <v>0</v>
      </c>
      <c r="I11" s="684">
        <f>huishoudens!H8</f>
        <v>0</v>
      </c>
      <c r="J11" s="684">
        <f>huishoudens!I8</f>
        <v>0</v>
      </c>
      <c r="K11" s="684">
        <f>huishoudens!J8</f>
        <v>2275.5506558214602</v>
      </c>
      <c r="L11" s="684">
        <f>huishoudens!K8</f>
        <v>0</v>
      </c>
      <c r="M11" s="684">
        <f>huishoudens!L8</f>
        <v>0</v>
      </c>
      <c r="N11" s="684">
        <f>huishoudens!M8</f>
        <v>0</v>
      </c>
      <c r="O11" s="684">
        <f>huishoudens!N8</f>
        <v>21029.10086958238</v>
      </c>
      <c r="P11" s="684">
        <f>huishoudens!O8</f>
        <v>139.13666666666668</v>
      </c>
      <c r="Q11" s="685">
        <f>huishoudens!P8</f>
        <v>324.13333333333333</v>
      </c>
      <c r="R11" s="687">
        <f>SUM(C11:Q11)</f>
        <v>165949.25898865928</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134118.37221713288</v>
      </c>
      <c r="D13" s="684">
        <f>industrie!C18</f>
        <v>0</v>
      </c>
      <c r="E13" s="684">
        <f>industrie!D18</f>
        <v>186536.55522295638</v>
      </c>
      <c r="F13" s="684">
        <f>industrie!E18</f>
        <v>1028.5482899398658</v>
      </c>
      <c r="G13" s="684">
        <f>industrie!F18</f>
        <v>59377.753188372284</v>
      </c>
      <c r="H13" s="684">
        <f>industrie!G18</f>
        <v>0</v>
      </c>
      <c r="I13" s="684">
        <f>industrie!H18</f>
        <v>0</v>
      </c>
      <c r="J13" s="684">
        <f>industrie!I18</f>
        <v>0</v>
      </c>
      <c r="K13" s="684">
        <f>industrie!J18</f>
        <v>279.32685107623337</v>
      </c>
      <c r="L13" s="684">
        <f>industrie!K18</f>
        <v>0</v>
      </c>
      <c r="M13" s="684">
        <f>industrie!L18</f>
        <v>0</v>
      </c>
      <c r="N13" s="684">
        <f>industrie!M18</f>
        <v>0</v>
      </c>
      <c r="O13" s="684">
        <f>industrie!N18</f>
        <v>6829.4476989264022</v>
      </c>
      <c r="P13" s="684">
        <f>industrie!O18</f>
        <v>0</v>
      </c>
      <c r="Q13" s="685">
        <f>industrie!P18</f>
        <v>0</v>
      </c>
      <c r="R13" s="687">
        <f>SUM(C13:Q13)</f>
        <v>388170.00346840406</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201954.51351791102</v>
      </c>
      <c r="D16" s="717">
        <f t="shared" ref="D16:R16" ca="1" si="0">SUM(D9:D15)</f>
        <v>0</v>
      </c>
      <c r="E16" s="717">
        <f t="shared" ca="1" si="0"/>
        <v>304340.27543941716</v>
      </c>
      <c r="F16" s="717">
        <f t="shared" si="0"/>
        <v>8942.4302308805745</v>
      </c>
      <c r="G16" s="717">
        <f t="shared" ca="1" si="0"/>
        <v>86520.680148712563</v>
      </c>
      <c r="H16" s="717">
        <f t="shared" si="0"/>
        <v>0</v>
      </c>
      <c r="I16" s="717">
        <f t="shared" si="0"/>
        <v>0</v>
      </c>
      <c r="J16" s="717">
        <f t="shared" si="0"/>
        <v>0</v>
      </c>
      <c r="K16" s="717">
        <f t="shared" si="0"/>
        <v>2554.8775068976934</v>
      </c>
      <c r="L16" s="717">
        <f t="shared" si="0"/>
        <v>0</v>
      </c>
      <c r="M16" s="717">
        <f t="shared" ca="1" si="0"/>
        <v>0</v>
      </c>
      <c r="N16" s="717">
        <f t="shared" si="0"/>
        <v>0</v>
      </c>
      <c r="O16" s="717">
        <f t="shared" ca="1" si="0"/>
        <v>30867.19425389549</v>
      </c>
      <c r="P16" s="717">
        <f t="shared" si="0"/>
        <v>143.82666666666668</v>
      </c>
      <c r="Q16" s="717">
        <f t="shared" si="0"/>
        <v>343.2</v>
      </c>
      <c r="R16" s="717">
        <f t="shared" ca="1" si="0"/>
        <v>635666.99776438111</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1304.5370171664845</v>
      </c>
      <c r="I19" s="684">
        <f>transport!H54</f>
        <v>0</v>
      </c>
      <c r="J19" s="684">
        <f>transport!I54</f>
        <v>0</v>
      </c>
      <c r="K19" s="684">
        <f>transport!J54</f>
        <v>0</v>
      </c>
      <c r="L19" s="684">
        <f>transport!K54</f>
        <v>0</v>
      </c>
      <c r="M19" s="684">
        <f>transport!L54</f>
        <v>0</v>
      </c>
      <c r="N19" s="684">
        <f>transport!M54</f>
        <v>57.238085303623855</v>
      </c>
      <c r="O19" s="684">
        <f>transport!N54</f>
        <v>0</v>
      </c>
      <c r="P19" s="684">
        <f>transport!O54</f>
        <v>0</v>
      </c>
      <c r="Q19" s="685">
        <f>transport!P54</f>
        <v>0</v>
      </c>
      <c r="R19" s="687">
        <f>SUM(C19:Q19)</f>
        <v>1361.7751024701083</v>
      </c>
      <c r="S19" s="68"/>
    </row>
    <row r="20" spans="1:19" s="453" customFormat="1">
      <c r="A20" s="799" t="s">
        <v>306</v>
      </c>
      <c r="B20" s="804"/>
      <c r="C20" s="684">
        <f>transport!B14</f>
        <v>2.150168978722975</v>
      </c>
      <c r="D20" s="684">
        <f>transport!C14</f>
        <v>0</v>
      </c>
      <c r="E20" s="684">
        <f>transport!D14</f>
        <v>4.9299448847627705</v>
      </c>
      <c r="F20" s="684">
        <f>transport!E14</f>
        <v>312.92626900775059</v>
      </c>
      <c r="G20" s="684">
        <f>transport!F14</f>
        <v>0</v>
      </c>
      <c r="H20" s="684">
        <f>transport!G14</f>
        <v>79738.109636500856</v>
      </c>
      <c r="I20" s="684">
        <f>transport!H14</f>
        <v>12569.494602255534</v>
      </c>
      <c r="J20" s="684">
        <f>transport!I14</f>
        <v>0</v>
      </c>
      <c r="K20" s="684">
        <f>transport!J14</f>
        <v>0</v>
      </c>
      <c r="L20" s="684">
        <f>transport!K14</f>
        <v>0</v>
      </c>
      <c r="M20" s="684">
        <f>transport!L14</f>
        <v>0</v>
      </c>
      <c r="N20" s="684">
        <f>transport!M14</f>
        <v>4123.7499987402243</v>
      </c>
      <c r="O20" s="684">
        <f>transport!N14</f>
        <v>0</v>
      </c>
      <c r="P20" s="684">
        <f>transport!O14</f>
        <v>0</v>
      </c>
      <c r="Q20" s="685">
        <f>transport!P14</f>
        <v>0</v>
      </c>
      <c r="R20" s="687">
        <f>SUM(C20:Q20)</f>
        <v>96751.36062036785</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2.150168978722975</v>
      </c>
      <c r="D22" s="802">
        <f t="shared" ref="D22:R22" si="1">SUM(D18:D21)</f>
        <v>0</v>
      </c>
      <c r="E22" s="802">
        <f t="shared" si="1"/>
        <v>4.9299448847627705</v>
      </c>
      <c r="F22" s="802">
        <f t="shared" si="1"/>
        <v>312.92626900775059</v>
      </c>
      <c r="G22" s="802">
        <f t="shared" si="1"/>
        <v>0</v>
      </c>
      <c r="H22" s="802">
        <f t="shared" si="1"/>
        <v>81042.64665366734</v>
      </c>
      <c r="I22" s="802">
        <f t="shared" si="1"/>
        <v>12569.494602255534</v>
      </c>
      <c r="J22" s="802">
        <f t="shared" si="1"/>
        <v>0</v>
      </c>
      <c r="K22" s="802">
        <f t="shared" si="1"/>
        <v>0</v>
      </c>
      <c r="L22" s="802">
        <f t="shared" si="1"/>
        <v>0</v>
      </c>
      <c r="M22" s="802">
        <f t="shared" si="1"/>
        <v>0</v>
      </c>
      <c r="N22" s="802">
        <f t="shared" si="1"/>
        <v>4180.9880840438482</v>
      </c>
      <c r="O22" s="802">
        <f t="shared" si="1"/>
        <v>0</v>
      </c>
      <c r="P22" s="802">
        <f t="shared" si="1"/>
        <v>0</v>
      </c>
      <c r="Q22" s="802">
        <f t="shared" si="1"/>
        <v>0</v>
      </c>
      <c r="R22" s="802">
        <f t="shared" si="1"/>
        <v>98113.135722837964</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12127.103628133045</v>
      </c>
      <c r="D24" s="684">
        <f>+landbouw!C8</f>
        <v>0</v>
      </c>
      <c r="E24" s="684">
        <f>+landbouw!D8</f>
        <v>558.90674219149469</v>
      </c>
      <c r="F24" s="684">
        <f>+landbouw!E8</f>
        <v>114.24544160298323</v>
      </c>
      <c r="G24" s="684">
        <f>+landbouw!F8</f>
        <v>39574.763770835962</v>
      </c>
      <c r="H24" s="684">
        <f>+landbouw!G8</f>
        <v>0</v>
      </c>
      <c r="I24" s="684">
        <f>+landbouw!H8</f>
        <v>0</v>
      </c>
      <c r="J24" s="684">
        <f>+landbouw!I8</f>
        <v>0</v>
      </c>
      <c r="K24" s="684">
        <f>+landbouw!J8</f>
        <v>1500.1817050207737</v>
      </c>
      <c r="L24" s="684">
        <f>+landbouw!K8</f>
        <v>0</v>
      </c>
      <c r="M24" s="684">
        <f>+landbouw!L8</f>
        <v>0</v>
      </c>
      <c r="N24" s="684">
        <f>+landbouw!M8</f>
        <v>0</v>
      </c>
      <c r="O24" s="684">
        <f>+landbouw!N8</f>
        <v>0</v>
      </c>
      <c r="P24" s="684">
        <f>+landbouw!O8</f>
        <v>0</v>
      </c>
      <c r="Q24" s="685">
        <f>+landbouw!P8</f>
        <v>0</v>
      </c>
      <c r="R24" s="687">
        <f>SUM(C24:Q24)</f>
        <v>53875.201287784264</v>
      </c>
      <c r="S24" s="68"/>
    </row>
    <row r="25" spans="1:19" s="453" customFormat="1" ht="15" thickBot="1">
      <c r="A25" s="821" t="s">
        <v>896</v>
      </c>
      <c r="B25" s="990"/>
      <c r="C25" s="991">
        <f>IF(Onbekend_ele_kWh="---",0,Onbekend_ele_kWh)/1000+IF(REST_rest_ele_kWh="---",0,REST_rest_ele_kWh)/1000</f>
        <v>1590.74349279024</v>
      </c>
      <c r="D25" s="991"/>
      <c r="E25" s="991">
        <f>IF(onbekend_gas_kWh="---",0,onbekend_gas_kWh)/1000+IF(REST_rest_gas_kWh="---",0,REST_rest_gas_kWh)/1000</f>
        <v>4592.4796169606298</v>
      </c>
      <c r="F25" s="991"/>
      <c r="G25" s="991"/>
      <c r="H25" s="991"/>
      <c r="I25" s="991"/>
      <c r="J25" s="991"/>
      <c r="K25" s="991"/>
      <c r="L25" s="991"/>
      <c r="M25" s="991"/>
      <c r="N25" s="991"/>
      <c r="O25" s="991"/>
      <c r="P25" s="991"/>
      <c r="Q25" s="992"/>
      <c r="R25" s="687">
        <f>SUM(C25:Q25)</f>
        <v>6183.2231097508702</v>
      </c>
      <c r="S25" s="68"/>
    </row>
    <row r="26" spans="1:19" s="453" customFormat="1" ht="15.75" thickBot="1">
      <c r="A26" s="690" t="s">
        <v>897</v>
      </c>
      <c r="B26" s="807"/>
      <c r="C26" s="802">
        <f>SUM(C24:C25)</f>
        <v>13717.847120923285</v>
      </c>
      <c r="D26" s="802">
        <f t="shared" ref="D26:R26" si="2">SUM(D24:D25)</f>
        <v>0</v>
      </c>
      <c r="E26" s="802">
        <f t="shared" si="2"/>
        <v>5151.386359152124</v>
      </c>
      <c r="F26" s="802">
        <f t="shared" si="2"/>
        <v>114.24544160298323</v>
      </c>
      <c r="G26" s="802">
        <f t="shared" si="2"/>
        <v>39574.763770835962</v>
      </c>
      <c r="H26" s="802">
        <f t="shared" si="2"/>
        <v>0</v>
      </c>
      <c r="I26" s="802">
        <f t="shared" si="2"/>
        <v>0</v>
      </c>
      <c r="J26" s="802">
        <f t="shared" si="2"/>
        <v>0</v>
      </c>
      <c r="K26" s="802">
        <f t="shared" si="2"/>
        <v>1500.1817050207737</v>
      </c>
      <c r="L26" s="802">
        <f t="shared" si="2"/>
        <v>0</v>
      </c>
      <c r="M26" s="802">
        <f t="shared" si="2"/>
        <v>0</v>
      </c>
      <c r="N26" s="802">
        <f t="shared" si="2"/>
        <v>0</v>
      </c>
      <c r="O26" s="802">
        <f t="shared" si="2"/>
        <v>0</v>
      </c>
      <c r="P26" s="802">
        <f t="shared" si="2"/>
        <v>0</v>
      </c>
      <c r="Q26" s="802">
        <f t="shared" si="2"/>
        <v>0</v>
      </c>
      <c r="R26" s="802">
        <f t="shared" si="2"/>
        <v>60058.424397535135</v>
      </c>
      <c r="S26" s="68"/>
    </row>
    <row r="27" spans="1:19" s="453" customFormat="1" ht="17.25" thickTop="1" thickBot="1">
      <c r="A27" s="691" t="s">
        <v>115</v>
      </c>
      <c r="B27" s="794"/>
      <c r="C27" s="692">
        <f ca="1">C22+C16+C26</f>
        <v>215674.51080781303</v>
      </c>
      <c r="D27" s="692">
        <f t="shared" ref="D27:R27" ca="1" si="3">D22+D16+D26</f>
        <v>0</v>
      </c>
      <c r="E27" s="692">
        <f t="shared" ca="1" si="3"/>
        <v>309496.5917434541</v>
      </c>
      <c r="F27" s="692">
        <f t="shared" si="3"/>
        <v>9369.601941491308</v>
      </c>
      <c r="G27" s="692">
        <f t="shared" ca="1" si="3"/>
        <v>126095.44391954853</v>
      </c>
      <c r="H27" s="692">
        <f t="shared" si="3"/>
        <v>81042.64665366734</v>
      </c>
      <c r="I27" s="692">
        <f t="shared" si="3"/>
        <v>12569.494602255534</v>
      </c>
      <c r="J27" s="692">
        <f t="shared" si="3"/>
        <v>0</v>
      </c>
      <c r="K27" s="692">
        <f t="shared" si="3"/>
        <v>4055.0592119184671</v>
      </c>
      <c r="L27" s="692">
        <f t="shared" si="3"/>
        <v>0</v>
      </c>
      <c r="M27" s="692">
        <f t="shared" ca="1" si="3"/>
        <v>0</v>
      </c>
      <c r="N27" s="692">
        <f t="shared" si="3"/>
        <v>4180.9880840438482</v>
      </c>
      <c r="O27" s="692">
        <f t="shared" ca="1" si="3"/>
        <v>30867.19425389549</v>
      </c>
      <c r="P27" s="692">
        <f t="shared" si="3"/>
        <v>143.82666666666668</v>
      </c>
      <c r="Q27" s="692">
        <f t="shared" si="3"/>
        <v>343.2</v>
      </c>
      <c r="R27" s="692">
        <f t="shared" ca="1" si="3"/>
        <v>793838.55788475426</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6872.9991607187221</v>
      </c>
      <c r="D40" s="684">
        <f ca="1">tertiair!C20</f>
        <v>0</v>
      </c>
      <c r="E40" s="684">
        <f ca="1">tertiair!D20</f>
        <v>7744.3130820561655</v>
      </c>
      <c r="F40" s="684">
        <f>tertiair!E20</f>
        <v>45.772531338481137</v>
      </c>
      <c r="G40" s="684">
        <f ca="1">tertiair!F20</f>
        <v>1922.0629026988513</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16585.147676812219</v>
      </c>
    </row>
    <row r="41" spans="1:18">
      <c r="A41" s="812" t="s">
        <v>224</v>
      </c>
      <c r="B41" s="819"/>
      <c r="C41" s="684">
        <f ca="1">huishoudens!B12</f>
        <v>7351.6401402729762</v>
      </c>
      <c r="D41" s="684">
        <f ca="1">huishoudens!C12</f>
        <v>0</v>
      </c>
      <c r="E41" s="684">
        <f>huishoudens!D12</f>
        <v>16052.038401668917</v>
      </c>
      <c r="F41" s="684">
        <f>huishoudens!E12</f>
        <v>1750.6786692550597</v>
      </c>
      <c r="G41" s="684">
        <f>huishoudens!F12</f>
        <v>5325.0985957120029</v>
      </c>
      <c r="H41" s="684">
        <f>huishoudens!G12</f>
        <v>0</v>
      </c>
      <c r="I41" s="684">
        <f>huishoudens!H12</f>
        <v>0</v>
      </c>
      <c r="J41" s="684">
        <f>huishoudens!I12</f>
        <v>0</v>
      </c>
      <c r="K41" s="684">
        <f>huishoudens!J12</f>
        <v>805.54493216079686</v>
      </c>
      <c r="L41" s="684">
        <f>huishoudens!K12</f>
        <v>0</v>
      </c>
      <c r="M41" s="684">
        <f>huishoudens!L12</f>
        <v>0</v>
      </c>
      <c r="N41" s="684">
        <f>huishoudens!M12</f>
        <v>0</v>
      </c>
      <c r="O41" s="684">
        <f>huishoudens!N12</f>
        <v>0</v>
      </c>
      <c r="P41" s="684">
        <f>huishoudens!O12</f>
        <v>0</v>
      </c>
      <c r="Q41" s="759">
        <f>huishoudens!P12</f>
        <v>0</v>
      </c>
      <c r="R41" s="840">
        <f t="shared" ca="1" si="4"/>
        <v>31285.00073906975</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28123.437327691547</v>
      </c>
      <c r="D43" s="684">
        <f ca="1">industrie!C22</f>
        <v>0</v>
      </c>
      <c r="E43" s="684">
        <f>industrie!D22</f>
        <v>37680.384155037187</v>
      </c>
      <c r="F43" s="684">
        <f>industrie!E22</f>
        <v>233.48046181634953</v>
      </c>
      <c r="G43" s="684">
        <f>industrie!F22</f>
        <v>15853.8601012954</v>
      </c>
      <c r="H43" s="684">
        <f>industrie!G22</f>
        <v>0</v>
      </c>
      <c r="I43" s="684">
        <f>industrie!H22</f>
        <v>0</v>
      </c>
      <c r="J43" s="684">
        <f>industrie!I22</f>
        <v>0</v>
      </c>
      <c r="K43" s="684">
        <f>industrie!J22</f>
        <v>98.881705280986608</v>
      </c>
      <c r="L43" s="684">
        <f>industrie!K22</f>
        <v>0</v>
      </c>
      <c r="M43" s="684">
        <f>industrie!L22</f>
        <v>0</v>
      </c>
      <c r="N43" s="684">
        <f>industrie!M22</f>
        <v>0</v>
      </c>
      <c r="O43" s="684">
        <f>industrie!N22</f>
        <v>0</v>
      </c>
      <c r="P43" s="684">
        <f>industrie!O22</f>
        <v>0</v>
      </c>
      <c r="Q43" s="759">
        <f>industrie!P22</f>
        <v>0</v>
      </c>
      <c r="R43" s="839">
        <f t="shared" ca="1" si="4"/>
        <v>81990.04375112147</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42348.076628683244</v>
      </c>
      <c r="D46" s="717">
        <f t="shared" ref="D46:Q46" ca="1" si="5">SUM(D39:D45)</f>
        <v>0</v>
      </c>
      <c r="E46" s="717">
        <f t="shared" ca="1" si="5"/>
        <v>61476.735638762271</v>
      </c>
      <c r="F46" s="717">
        <f t="shared" si="5"/>
        <v>2029.9316624098904</v>
      </c>
      <c r="G46" s="717">
        <f t="shared" ca="1" si="5"/>
        <v>23101.021599706255</v>
      </c>
      <c r="H46" s="717">
        <f t="shared" si="5"/>
        <v>0</v>
      </c>
      <c r="I46" s="717">
        <f t="shared" si="5"/>
        <v>0</v>
      </c>
      <c r="J46" s="717">
        <f t="shared" si="5"/>
        <v>0</v>
      </c>
      <c r="K46" s="717">
        <f t="shared" si="5"/>
        <v>904.42663744178344</v>
      </c>
      <c r="L46" s="717">
        <f t="shared" si="5"/>
        <v>0</v>
      </c>
      <c r="M46" s="717">
        <f t="shared" ca="1" si="5"/>
        <v>0</v>
      </c>
      <c r="N46" s="717">
        <f t="shared" si="5"/>
        <v>0</v>
      </c>
      <c r="O46" s="717">
        <f t="shared" ca="1" si="5"/>
        <v>0</v>
      </c>
      <c r="P46" s="717">
        <f t="shared" si="5"/>
        <v>0</v>
      </c>
      <c r="Q46" s="717">
        <f t="shared" si="5"/>
        <v>0</v>
      </c>
      <c r="R46" s="717">
        <f ca="1">SUM(R39:R45)</f>
        <v>129860.19216700344</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348.3113835834514</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348.3113835834514</v>
      </c>
    </row>
    <row r="50" spans="1:18">
      <c r="A50" s="815" t="s">
        <v>306</v>
      </c>
      <c r="B50" s="825"/>
      <c r="C50" s="997">
        <f ca="1">transport!B18</f>
        <v>0.4508714318360732</v>
      </c>
      <c r="D50" s="997">
        <f>transport!C18</f>
        <v>0</v>
      </c>
      <c r="E50" s="997">
        <f>transport!D18</f>
        <v>0.99584886672207973</v>
      </c>
      <c r="F50" s="997">
        <f>transport!E18</f>
        <v>71.034263064759386</v>
      </c>
      <c r="G50" s="997">
        <f>transport!F18</f>
        <v>0</v>
      </c>
      <c r="H50" s="997">
        <f>transport!G18</f>
        <v>21290.075272945731</v>
      </c>
      <c r="I50" s="997">
        <f>transport!H18</f>
        <v>3129.8041559616281</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24492.360412270678</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0.4508714318360732</v>
      </c>
      <c r="D52" s="717">
        <f t="shared" ref="D52:Q52" ca="1" si="6">SUM(D48:D51)</f>
        <v>0</v>
      </c>
      <c r="E52" s="717">
        <f t="shared" si="6"/>
        <v>0.99584886672207973</v>
      </c>
      <c r="F52" s="717">
        <f t="shared" si="6"/>
        <v>71.034263064759386</v>
      </c>
      <c r="G52" s="717">
        <f t="shared" si="6"/>
        <v>0</v>
      </c>
      <c r="H52" s="717">
        <f t="shared" si="6"/>
        <v>21638.386656529183</v>
      </c>
      <c r="I52" s="717">
        <f t="shared" si="6"/>
        <v>3129.8041559616281</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24840.67179585413</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2542.9464525565754</v>
      </c>
      <c r="D54" s="997">
        <f ca="1">+landbouw!C12</f>
        <v>0</v>
      </c>
      <c r="E54" s="997">
        <f>+landbouw!D12</f>
        <v>112.89916192268193</v>
      </c>
      <c r="F54" s="997">
        <f>+landbouw!E12</f>
        <v>25.933715243877195</v>
      </c>
      <c r="G54" s="997">
        <f>+landbouw!F12</f>
        <v>10566.461926813203</v>
      </c>
      <c r="H54" s="997">
        <f>+landbouw!G12</f>
        <v>0</v>
      </c>
      <c r="I54" s="997">
        <f>+landbouw!H12</f>
        <v>0</v>
      </c>
      <c r="J54" s="997">
        <f>+landbouw!I12</f>
        <v>0</v>
      </c>
      <c r="K54" s="997">
        <f>+landbouw!J12</f>
        <v>531.06432357735389</v>
      </c>
      <c r="L54" s="997">
        <f>+landbouw!K12</f>
        <v>0</v>
      </c>
      <c r="M54" s="997">
        <f>+landbouw!L12</f>
        <v>0</v>
      </c>
      <c r="N54" s="997">
        <f>+landbouw!M12</f>
        <v>0</v>
      </c>
      <c r="O54" s="997">
        <f>+landbouw!N12</f>
        <v>0</v>
      </c>
      <c r="P54" s="997">
        <f>+landbouw!O12</f>
        <v>0</v>
      </c>
      <c r="Q54" s="998">
        <f>+landbouw!P12</f>
        <v>0</v>
      </c>
      <c r="R54" s="716">
        <f ca="1">SUM(C54:Q54)</f>
        <v>13779.305580113691</v>
      </c>
    </row>
    <row r="55" spans="1:18" ht="15" thickBot="1">
      <c r="A55" s="815" t="s">
        <v>896</v>
      </c>
      <c r="B55" s="825"/>
      <c r="C55" s="997">
        <f ca="1">C25*'EF ele_warmte'!B12</f>
        <v>333.56485158865161</v>
      </c>
      <c r="D55" s="997"/>
      <c r="E55" s="997">
        <f>E25*EF_CO2_aardgas</f>
        <v>927.68088262604726</v>
      </c>
      <c r="F55" s="997"/>
      <c r="G55" s="997"/>
      <c r="H55" s="997"/>
      <c r="I55" s="997"/>
      <c r="J55" s="997"/>
      <c r="K55" s="997"/>
      <c r="L55" s="997"/>
      <c r="M55" s="997"/>
      <c r="N55" s="997"/>
      <c r="O55" s="997"/>
      <c r="P55" s="997"/>
      <c r="Q55" s="998"/>
      <c r="R55" s="716">
        <f ca="1">SUM(C55:Q55)</f>
        <v>1261.2457342146988</v>
      </c>
    </row>
    <row r="56" spans="1:18" ht="15.75" thickBot="1">
      <c r="A56" s="813" t="s">
        <v>897</v>
      </c>
      <c r="B56" s="826"/>
      <c r="C56" s="717">
        <f ca="1">SUM(C54:C55)</f>
        <v>2876.5113041452269</v>
      </c>
      <c r="D56" s="717">
        <f t="shared" ref="D56:Q56" ca="1" si="7">SUM(D54:D55)</f>
        <v>0</v>
      </c>
      <c r="E56" s="717">
        <f t="shared" si="7"/>
        <v>1040.5800445487291</v>
      </c>
      <c r="F56" s="717">
        <f t="shared" si="7"/>
        <v>25.933715243877195</v>
      </c>
      <c r="G56" s="717">
        <f t="shared" si="7"/>
        <v>10566.461926813203</v>
      </c>
      <c r="H56" s="717">
        <f t="shared" si="7"/>
        <v>0</v>
      </c>
      <c r="I56" s="717">
        <f t="shared" si="7"/>
        <v>0</v>
      </c>
      <c r="J56" s="717">
        <f t="shared" si="7"/>
        <v>0</v>
      </c>
      <c r="K56" s="717">
        <f t="shared" si="7"/>
        <v>531.06432357735389</v>
      </c>
      <c r="L56" s="717">
        <f t="shared" si="7"/>
        <v>0</v>
      </c>
      <c r="M56" s="717">
        <f t="shared" si="7"/>
        <v>0</v>
      </c>
      <c r="N56" s="717">
        <f t="shared" si="7"/>
        <v>0</v>
      </c>
      <c r="O56" s="717">
        <f t="shared" si="7"/>
        <v>0</v>
      </c>
      <c r="P56" s="717">
        <f t="shared" si="7"/>
        <v>0</v>
      </c>
      <c r="Q56" s="718">
        <f t="shared" si="7"/>
        <v>0</v>
      </c>
      <c r="R56" s="719">
        <f ca="1">SUM(R54:R55)</f>
        <v>15040.55131432839</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45225.038804260308</v>
      </c>
      <c r="D61" s="725">
        <f t="shared" ref="D61:Q61" ca="1" si="8">D46+D52+D56</f>
        <v>0</v>
      </c>
      <c r="E61" s="725">
        <f t="shared" ca="1" si="8"/>
        <v>62518.311532177722</v>
      </c>
      <c r="F61" s="725">
        <f t="shared" si="8"/>
        <v>2126.8996407185268</v>
      </c>
      <c r="G61" s="725">
        <f t="shared" ca="1" si="8"/>
        <v>33667.483526519456</v>
      </c>
      <c r="H61" s="725">
        <f t="shared" si="8"/>
        <v>21638.386656529183</v>
      </c>
      <c r="I61" s="725">
        <f t="shared" si="8"/>
        <v>3129.8041559616281</v>
      </c>
      <c r="J61" s="725">
        <f t="shared" si="8"/>
        <v>0</v>
      </c>
      <c r="K61" s="725">
        <f t="shared" si="8"/>
        <v>1435.4909610191373</v>
      </c>
      <c r="L61" s="725">
        <f t="shared" si="8"/>
        <v>0</v>
      </c>
      <c r="M61" s="725">
        <f t="shared" ca="1" si="8"/>
        <v>0</v>
      </c>
      <c r="N61" s="725">
        <f t="shared" si="8"/>
        <v>0</v>
      </c>
      <c r="O61" s="725">
        <f t="shared" ca="1" si="8"/>
        <v>0</v>
      </c>
      <c r="P61" s="725">
        <f t="shared" si="8"/>
        <v>0</v>
      </c>
      <c r="Q61" s="725">
        <f t="shared" si="8"/>
        <v>0</v>
      </c>
      <c r="R61" s="725">
        <f ca="1">R46+R52+R56</f>
        <v>169741.41527718597</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0.20969116208896943</v>
      </c>
      <c r="D63" s="769">
        <f t="shared" ca="1" si="9"/>
        <v>0</v>
      </c>
      <c r="E63" s="999">
        <f t="shared" ca="1" si="9"/>
        <v>0.20199999999999999</v>
      </c>
      <c r="F63" s="769">
        <f t="shared" si="9"/>
        <v>0.22699999999999998</v>
      </c>
      <c r="G63" s="769">
        <f t="shared" ca="1" si="9"/>
        <v>0.26699999999999996</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11036.326173150996</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11036.326173150996</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11036.326173150996</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11036.326173150996</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35059.3704905587</v>
      </c>
      <c r="C4" s="457">
        <f>huishoudens!C8</f>
        <v>0</v>
      </c>
      <c r="D4" s="457">
        <f>huishoudens!D8</f>
        <v>79465.536641925326</v>
      </c>
      <c r="E4" s="457">
        <f>huishoudens!E8</f>
        <v>7712.2408337227298</v>
      </c>
      <c r="F4" s="457">
        <f>huishoudens!F8</f>
        <v>19944.189497048697</v>
      </c>
      <c r="G4" s="457">
        <f>huishoudens!G8</f>
        <v>0</v>
      </c>
      <c r="H4" s="457">
        <f>huishoudens!H8</f>
        <v>0</v>
      </c>
      <c r="I4" s="457">
        <f>huishoudens!I8</f>
        <v>0</v>
      </c>
      <c r="J4" s="457">
        <f>huishoudens!J8</f>
        <v>2275.5506558214602</v>
      </c>
      <c r="K4" s="457">
        <f>huishoudens!K8</f>
        <v>0</v>
      </c>
      <c r="L4" s="457">
        <f>huishoudens!L8</f>
        <v>0</v>
      </c>
      <c r="M4" s="457">
        <f>huishoudens!M8</f>
        <v>0</v>
      </c>
      <c r="N4" s="457">
        <f>huishoudens!N8</f>
        <v>21029.10086958238</v>
      </c>
      <c r="O4" s="457">
        <f>huishoudens!O8</f>
        <v>139.13666666666668</v>
      </c>
      <c r="P4" s="458">
        <f>huishoudens!P8</f>
        <v>324.13333333333333</v>
      </c>
      <c r="Q4" s="459">
        <f>SUM(B4:P4)</f>
        <v>165949.25898865928</v>
      </c>
    </row>
    <row r="5" spans="1:17">
      <c r="A5" s="456" t="s">
        <v>155</v>
      </c>
      <c r="B5" s="457">
        <f ca="1">tertiair!B16</f>
        <v>31033.31081021942</v>
      </c>
      <c r="C5" s="457">
        <f ca="1">tertiair!C16</f>
        <v>0</v>
      </c>
      <c r="D5" s="457">
        <f ca="1">tertiair!D16</f>
        <v>38338.183574535469</v>
      </c>
      <c r="E5" s="457">
        <f>tertiair!E16</f>
        <v>201.64110721797857</v>
      </c>
      <c r="F5" s="457">
        <f ca="1">tertiair!F16</f>
        <v>7198.7374632915771</v>
      </c>
      <c r="G5" s="457">
        <f>tertiair!G16</f>
        <v>0</v>
      </c>
      <c r="H5" s="457">
        <f>tertiair!H16</f>
        <v>0</v>
      </c>
      <c r="I5" s="457">
        <f>tertiair!I16</f>
        <v>0</v>
      </c>
      <c r="J5" s="457">
        <f>tertiair!J16</f>
        <v>0</v>
      </c>
      <c r="K5" s="457">
        <f>tertiair!K16</f>
        <v>0</v>
      </c>
      <c r="L5" s="457">
        <f ca="1">tertiair!L16</f>
        <v>0</v>
      </c>
      <c r="M5" s="457">
        <f>tertiair!M16</f>
        <v>0</v>
      </c>
      <c r="N5" s="457">
        <f ca="1">tertiair!N16</f>
        <v>3008.6456853867085</v>
      </c>
      <c r="O5" s="457">
        <f>tertiair!O16</f>
        <v>4.6900000000000004</v>
      </c>
      <c r="P5" s="458">
        <f>tertiair!P16</f>
        <v>19.066666666666666</v>
      </c>
      <c r="Q5" s="456">
        <f t="shared" ref="Q5:Q14" ca="1" si="0">SUM(B5:P5)</f>
        <v>79804.275307317817</v>
      </c>
    </row>
    <row r="6" spans="1:17">
      <c r="A6" s="456" t="s">
        <v>193</v>
      </c>
      <c r="B6" s="457">
        <f>'openbare verlichting'!B8</f>
        <v>1743.46</v>
      </c>
      <c r="C6" s="457"/>
      <c r="D6" s="457"/>
      <c r="E6" s="457"/>
      <c r="F6" s="457"/>
      <c r="G6" s="457"/>
      <c r="H6" s="457"/>
      <c r="I6" s="457"/>
      <c r="J6" s="457"/>
      <c r="K6" s="457"/>
      <c r="L6" s="457"/>
      <c r="M6" s="457"/>
      <c r="N6" s="457"/>
      <c r="O6" s="457"/>
      <c r="P6" s="458"/>
      <c r="Q6" s="456">
        <f t="shared" si="0"/>
        <v>1743.46</v>
      </c>
    </row>
    <row r="7" spans="1:17">
      <c r="A7" s="456" t="s">
        <v>111</v>
      </c>
      <c r="B7" s="457">
        <f>landbouw!B8</f>
        <v>12127.103628133045</v>
      </c>
      <c r="C7" s="457">
        <f>landbouw!C8</f>
        <v>0</v>
      </c>
      <c r="D7" s="457">
        <f>landbouw!D8</f>
        <v>558.90674219149469</v>
      </c>
      <c r="E7" s="457">
        <f>landbouw!E8</f>
        <v>114.24544160298323</v>
      </c>
      <c r="F7" s="457">
        <f>landbouw!F8</f>
        <v>39574.763770835962</v>
      </c>
      <c r="G7" s="457">
        <f>landbouw!G8</f>
        <v>0</v>
      </c>
      <c r="H7" s="457">
        <f>landbouw!H8</f>
        <v>0</v>
      </c>
      <c r="I7" s="457">
        <f>landbouw!I8</f>
        <v>0</v>
      </c>
      <c r="J7" s="457">
        <f>landbouw!J8</f>
        <v>1500.1817050207737</v>
      </c>
      <c r="K7" s="457">
        <f>landbouw!K8</f>
        <v>0</v>
      </c>
      <c r="L7" s="457">
        <f>landbouw!L8</f>
        <v>0</v>
      </c>
      <c r="M7" s="457">
        <f>landbouw!M8</f>
        <v>0</v>
      </c>
      <c r="N7" s="457">
        <f>landbouw!N8</f>
        <v>0</v>
      </c>
      <c r="O7" s="457">
        <f>landbouw!O8</f>
        <v>0</v>
      </c>
      <c r="P7" s="458">
        <f>landbouw!P8</f>
        <v>0</v>
      </c>
      <c r="Q7" s="456">
        <f t="shared" si="0"/>
        <v>53875.201287784264</v>
      </c>
    </row>
    <row r="8" spans="1:17">
      <c r="A8" s="456" t="s">
        <v>682</v>
      </c>
      <c r="B8" s="457">
        <f>industrie!B18</f>
        <v>134118.37221713288</v>
      </c>
      <c r="C8" s="457">
        <f>industrie!C18</f>
        <v>0</v>
      </c>
      <c r="D8" s="457">
        <f>industrie!D18</f>
        <v>186536.55522295638</v>
      </c>
      <c r="E8" s="457">
        <f>industrie!E18</f>
        <v>1028.5482899398658</v>
      </c>
      <c r="F8" s="457">
        <f>industrie!F18</f>
        <v>59377.753188372284</v>
      </c>
      <c r="G8" s="457">
        <f>industrie!G18</f>
        <v>0</v>
      </c>
      <c r="H8" s="457">
        <f>industrie!H18</f>
        <v>0</v>
      </c>
      <c r="I8" s="457">
        <f>industrie!I18</f>
        <v>0</v>
      </c>
      <c r="J8" s="457">
        <f>industrie!J18</f>
        <v>279.32685107623337</v>
      </c>
      <c r="K8" s="457">
        <f>industrie!K18</f>
        <v>0</v>
      </c>
      <c r="L8" s="457">
        <f>industrie!L18</f>
        <v>0</v>
      </c>
      <c r="M8" s="457">
        <f>industrie!M18</f>
        <v>0</v>
      </c>
      <c r="N8" s="457">
        <f>industrie!N18</f>
        <v>6829.4476989264022</v>
      </c>
      <c r="O8" s="457">
        <f>industrie!O18</f>
        <v>0</v>
      </c>
      <c r="P8" s="458">
        <f>industrie!P18</f>
        <v>0</v>
      </c>
      <c r="Q8" s="456">
        <f t="shared" si="0"/>
        <v>388170.00346840406</v>
      </c>
    </row>
    <row r="9" spans="1:17" s="462" customFormat="1">
      <c r="A9" s="460" t="s">
        <v>578</v>
      </c>
      <c r="B9" s="461">
        <f>transport!B14</f>
        <v>2.150168978722975</v>
      </c>
      <c r="C9" s="461">
        <f>transport!C14</f>
        <v>0</v>
      </c>
      <c r="D9" s="461">
        <f>transport!D14</f>
        <v>4.9299448847627705</v>
      </c>
      <c r="E9" s="461">
        <f>transport!E14</f>
        <v>312.92626900775059</v>
      </c>
      <c r="F9" s="461">
        <f>transport!F14</f>
        <v>0</v>
      </c>
      <c r="G9" s="461">
        <f>transport!G14</f>
        <v>79738.109636500856</v>
      </c>
      <c r="H9" s="461">
        <f>transport!H14</f>
        <v>12569.494602255534</v>
      </c>
      <c r="I9" s="461">
        <f>transport!I14</f>
        <v>0</v>
      </c>
      <c r="J9" s="461">
        <f>transport!J14</f>
        <v>0</v>
      </c>
      <c r="K9" s="461">
        <f>transport!K14</f>
        <v>0</v>
      </c>
      <c r="L9" s="461">
        <f>transport!L14</f>
        <v>0</v>
      </c>
      <c r="M9" s="461">
        <f>transport!M14</f>
        <v>4123.7499987402243</v>
      </c>
      <c r="N9" s="461">
        <f>transport!N14</f>
        <v>0</v>
      </c>
      <c r="O9" s="461">
        <f>transport!O14</f>
        <v>0</v>
      </c>
      <c r="P9" s="461">
        <f>transport!P14</f>
        <v>0</v>
      </c>
      <c r="Q9" s="460">
        <f>SUM(B9:P9)</f>
        <v>96751.36062036785</v>
      </c>
    </row>
    <row r="10" spans="1:17">
      <c r="A10" s="456" t="s">
        <v>568</v>
      </c>
      <c r="B10" s="457">
        <f>transport!B54</f>
        <v>0</v>
      </c>
      <c r="C10" s="457">
        <f>transport!C54</f>
        <v>0</v>
      </c>
      <c r="D10" s="457">
        <f>transport!D54</f>
        <v>0</v>
      </c>
      <c r="E10" s="457">
        <f>transport!E54</f>
        <v>0</v>
      </c>
      <c r="F10" s="457">
        <f>transport!F54</f>
        <v>0</v>
      </c>
      <c r="G10" s="457">
        <f>transport!G54</f>
        <v>1304.5370171664845</v>
      </c>
      <c r="H10" s="457">
        <f>transport!H54</f>
        <v>0</v>
      </c>
      <c r="I10" s="457">
        <f>transport!I54</f>
        <v>0</v>
      </c>
      <c r="J10" s="457">
        <f>transport!J54</f>
        <v>0</v>
      </c>
      <c r="K10" s="457">
        <f>transport!K54</f>
        <v>0</v>
      </c>
      <c r="L10" s="457">
        <f>transport!L54</f>
        <v>0</v>
      </c>
      <c r="M10" s="457">
        <f>transport!M54</f>
        <v>57.238085303623855</v>
      </c>
      <c r="N10" s="457">
        <f>transport!N54</f>
        <v>0</v>
      </c>
      <c r="O10" s="457">
        <f>transport!O54</f>
        <v>0</v>
      </c>
      <c r="P10" s="458">
        <f>transport!P54</f>
        <v>0</v>
      </c>
      <c r="Q10" s="456">
        <f t="shared" si="0"/>
        <v>1361.7751024701083</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1590.74349279024</v>
      </c>
      <c r="C14" s="464"/>
      <c r="D14" s="464">
        <f>'SEAP template'!E25</f>
        <v>4592.4796169606298</v>
      </c>
      <c r="E14" s="464"/>
      <c r="F14" s="464"/>
      <c r="G14" s="464"/>
      <c r="H14" s="464"/>
      <c r="I14" s="464"/>
      <c r="J14" s="464"/>
      <c r="K14" s="464"/>
      <c r="L14" s="464"/>
      <c r="M14" s="464"/>
      <c r="N14" s="464"/>
      <c r="O14" s="464"/>
      <c r="P14" s="465"/>
      <c r="Q14" s="456">
        <f t="shared" si="0"/>
        <v>6183.2231097508702</v>
      </c>
    </row>
    <row r="15" spans="1:17" s="469" customFormat="1">
      <c r="A15" s="466" t="s">
        <v>572</v>
      </c>
      <c r="B15" s="467">
        <f ca="1">SUM(B4:B14)</f>
        <v>215674.510807813</v>
      </c>
      <c r="C15" s="467">
        <f t="shared" ref="C15:Q15" ca="1" si="1">SUM(C4:C14)</f>
        <v>0</v>
      </c>
      <c r="D15" s="467">
        <f t="shared" ca="1" si="1"/>
        <v>309496.59174345405</v>
      </c>
      <c r="E15" s="467">
        <f t="shared" si="1"/>
        <v>9369.601941491308</v>
      </c>
      <c r="F15" s="467">
        <f t="shared" ca="1" si="1"/>
        <v>126095.44391954852</v>
      </c>
      <c r="G15" s="467">
        <f t="shared" si="1"/>
        <v>81042.64665366734</v>
      </c>
      <c r="H15" s="467">
        <f t="shared" si="1"/>
        <v>12569.494602255534</v>
      </c>
      <c r="I15" s="467">
        <f t="shared" si="1"/>
        <v>0</v>
      </c>
      <c r="J15" s="467">
        <f t="shared" si="1"/>
        <v>4055.0592119184671</v>
      </c>
      <c r="K15" s="467">
        <f t="shared" si="1"/>
        <v>0</v>
      </c>
      <c r="L15" s="467">
        <f t="shared" ca="1" si="1"/>
        <v>0</v>
      </c>
      <c r="M15" s="467">
        <f t="shared" si="1"/>
        <v>4180.9880840438482</v>
      </c>
      <c r="N15" s="467">
        <f t="shared" ca="1" si="1"/>
        <v>30867.19425389549</v>
      </c>
      <c r="O15" s="467">
        <f t="shared" si="1"/>
        <v>143.82666666666668</v>
      </c>
      <c r="P15" s="467">
        <f t="shared" si="1"/>
        <v>343.2</v>
      </c>
      <c r="Q15" s="467">
        <f t="shared" ca="1" si="1"/>
        <v>793838.55788475415</v>
      </c>
    </row>
    <row r="17" spans="1:17">
      <c r="A17" s="470" t="s">
        <v>573</v>
      </c>
      <c r="B17" s="774">
        <f ca="1">huishoudens!B10</f>
        <v>0.20969116208896943</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7351.6401402729762</v>
      </c>
      <c r="C22" s="457">
        <f t="shared" ref="C22:C32" ca="1" si="3">C4*$C$17</f>
        <v>0</v>
      </c>
      <c r="D22" s="457">
        <f t="shared" ref="D22:D32" si="4">D4*$D$17</f>
        <v>16052.038401668917</v>
      </c>
      <c r="E22" s="457">
        <f t="shared" ref="E22:E32" si="5">E4*$E$17</f>
        <v>1750.6786692550597</v>
      </c>
      <c r="F22" s="457">
        <f t="shared" ref="F22:F32" si="6">F4*$F$17</f>
        <v>5325.0985957120029</v>
      </c>
      <c r="G22" s="457">
        <f t="shared" ref="G22:G32" si="7">G4*$G$17</f>
        <v>0</v>
      </c>
      <c r="H22" s="457">
        <f t="shared" ref="H22:H32" si="8">H4*$H$17</f>
        <v>0</v>
      </c>
      <c r="I22" s="457">
        <f t="shared" ref="I22:I32" si="9">I4*$I$17</f>
        <v>0</v>
      </c>
      <c r="J22" s="457">
        <f t="shared" ref="J22:J32" si="10">J4*$J$17</f>
        <v>805.54493216079686</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31285.00073906975</v>
      </c>
    </row>
    <row r="23" spans="1:17">
      <c r="A23" s="456" t="s">
        <v>155</v>
      </c>
      <c r="B23" s="457">
        <f t="shared" ca="1" si="2"/>
        <v>6507.4110072630874</v>
      </c>
      <c r="C23" s="457">
        <f t="shared" ca="1" si="3"/>
        <v>0</v>
      </c>
      <c r="D23" s="457">
        <f t="shared" ca="1" si="4"/>
        <v>7744.3130820561655</v>
      </c>
      <c r="E23" s="457">
        <f t="shared" si="5"/>
        <v>45.772531338481137</v>
      </c>
      <c r="F23" s="457">
        <f t="shared" ca="1" si="6"/>
        <v>1922.0629026988513</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16219.559523356587</v>
      </c>
    </row>
    <row r="24" spans="1:17">
      <c r="A24" s="456" t="s">
        <v>193</v>
      </c>
      <c r="B24" s="457">
        <f t="shared" ca="1" si="2"/>
        <v>365.58815345563465</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365.58815345563465</v>
      </c>
    </row>
    <row r="25" spans="1:17">
      <c r="A25" s="456" t="s">
        <v>111</v>
      </c>
      <c r="B25" s="457">
        <f t="shared" ca="1" si="2"/>
        <v>2542.9464525565754</v>
      </c>
      <c r="C25" s="457">
        <f t="shared" ca="1" si="3"/>
        <v>0</v>
      </c>
      <c r="D25" s="457">
        <f t="shared" si="4"/>
        <v>112.89916192268193</v>
      </c>
      <c r="E25" s="457">
        <f t="shared" si="5"/>
        <v>25.933715243877195</v>
      </c>
      <c r="F25" s="457">
        <f t="shared" si="6"/>
        <v>10566.461926813203</v>
      </c>
      <c r="G25" s="457">
        <f t="shared" si="7"/>
        <v>0</v>
      </c>
      <c r="H25" s="457">
        <f t="shared" si="8"/>
        <v>0</v>
      </c>
      <c r="I25" s="457">
        <f t="shared" si="9"/>
        <v>0</v>
      </c>
      <c r="J25" s="457">
        <f t="shared" si="10"/>
        <v>531.06432357735389</v>
      </c>
      <c r="K25" s="457">
        <f t="shared" si="11"/>
        <v>0</v>
      </c>
      <c r="L25" s="457">
        <f t="shared" si="12"/>
        <v>0</v>
      </c>
      <c r="M25" s="457">
        <f t="shared" si="13"/>
        <v>0</v>
      </c>
      <c r="N25" s="457">
        <f t="shared" si="14"/>
        <v>0</v>
      </c>
      <c r="O25" s="457">
        <f t="shared" si="15"/>
        <v>0</v>
      </c>
      <c r="P25" s="458">
        <f t="shared" si="16"/>
        <v>0</v>
      </c>
      <c r="Q25" s="456">
        <f t="shared" ca="1" si="17"/>
        <v>13779.305580113691</v>
      </c>
    </row>
    <row r="26" spans="1:17">
      <c r="A26" s="456" t="s">
        <v>682</v>
      </c>
      <c r="B26" s="457">
        <f t="shared" ca="1" si="2"/>
        <v>28123.437327691547</v>
      </c>
      <c r="C26" s="457">
        <f t="shared" ca="1" si="3"/>
        <v>0</v>
      </c>
      <c r="D26" s="457">
        <f t="shared" si="4"/>
        <v>37680.384155037187</v>
      </c>
      <c r="E26" s="457">
        <f t="shared" si="5"/>
        <v>233.48046181634953</v>
      </c>
      <c r="F26" s="457">
        <f t="shared" si="6"/>
        <v>15853.8601012954</v>
      </c>
      <c r="G26" s="457">
        <f t="shared" si="7"/>
        <v>0</v>
      </c>
      <c r="H26" s="457">
        <f t="shared" si="8"/>
        <v>0</v>
      </c>
      <c r="I26" s="457">
        <f t="shared" si="9"/>
        <v>0</v>
      </c>
      <c r="J26" s="457">
        <f t="shared" si="10"/>
        <v>98.881705280986608</v>
      </c>
      <c r="K26" s="457">
        <f t="shared" si="11"/>
        <v>0</v>
      </c>
      <c r="L26" s="457">
        <f t="shared" si="12"/>
        <v>0</v>
      </c>
      <c r="M26" s="457">
        <f t="shared" si="13"/>
        <v>0</v>
      </c>
      <c r="N26" s="457">
        <f t="shared" si="14"/>
        <v>0</v>
      </c>
      <c r="O26" s="457">
        <f t="shared" si="15"/>
        <v>0</v>
      </c>
      <c r="P26" s="458">
        <f t="shared" si="16"/>
        <v>0</v>
      </c>
      <c r="Q26" s="456">
        <f t="shared" ca="1" si="17"/>
        <v>81990.04375112147</v>
      </c>
    </row>
    <row r="27" spans="1:17" s="462" customFormat="1">
      <c r="A27" s="460" t="s">
        <v>578</v>
      </c>
      <c r="B27" s="768">
        <f t="shared" ca="1" si="2"/>
        <v>0.4508714318360732</v>
      </c>
      <c r="C27" s="461">
        <f t="shared" ca="1" si="3"/>
        <v>0</v>
      </c>
      <c r="D27" s="461">
        <f t="shared" si="4"/>
        <v>0.99584886672207973</v>
      </c>
      <c r="E27" s="461">
        <f t="shared" si="5"/>
        <v>71.034263064759386</v>
      </c>
      <c r="F27" s="461">
        <f t="shared" si="6"/>
        <v>0</v>
      </c>
      <c r="G27" s="461">
        <f t="shared" si="7"/>
        <v>21290.075272945731</v>
      </c>
      <c r="H27" s="461">
        <f t="shared" si="8"/>
        <v>3129.8041559616281</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24492.360412270678</v>
      </c>
    </row>
    <row r="28" spans="1:17">
      <c r="A28" s="456" t="s">
        <v>568</v>
      </c>
      <c r="B28" s="457">
        <f t="shared" ca="1" si="2"/>
        <v>0</v>
      </c>
      <c r="C28" s="457">
        <f t="shared" ca="1" si="3"/>
        <v>0</v>
      </c>
      <c r="D28" s="457">
        <f t="shared" si="4"/>
        <v>0</v>
      </c>
      <c r="E28" s="457">
        <f t="shared" si="5"/>
        <v>0</v>
      </c>
      <c r="F28" s="457">
        <f t="shared" si="6"/>
        <v>0</v>
      </c>
      <c r="G28" s="457">
        <f t="shared" si="7"/>
        <v>348.3113835834514</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348.3113835834514</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333.56485158865161</v>
      </c>
      <c r="C32" s="457">
        <f t="shared" ca="1" si="3"/>
        <v>0</v>
      </c>
      <c r="D32" s="457">
        <f t="shared" si="4"/>
        <v>927.68088262604726</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1261.2457342146988</v>
      </c>
    </row>
    <row r="33" spans="1:17" s="469" customFormat="1">
      <c r="A33" s="466" t="s">
        <v>572</v>
      </c>
      <c r="B33" s="467">
        <f ca="1">SUM(B22:B32)</f>
        <v>45225.038804260308</v>
      </c>
      <c r="C33" s="467">
        <f t="shared" ref="C33:Q33" ca="1" si="18">SUM(C22:C32)</f>
        <v>0</v>
      </c>
      <c r="D33" s="467">
        <f t="shared" ca="1" si="18"/>
        <v>62518.31153217773</v>
      </c>
      <c r="E33" s="467">
        <f t="shared" si="18"/>
        <v>2126.8996407185268</v>
      </c>
      <c r="F33" s="467">
        <f t="shared" ca="1" si="18"/>
        <v>33667.483526519456</v>
      </c>
      <c r="G33" s="467">
        <f t="shared" si="18"/>
        <v>21638.386656529183</v>
      </c>
      <c r="H33" s="467">
        <f t="shared" si="18"/>
        <v>3129.8041559616281</v>
      </c>
      <c r="I33" s="467">
        <f t="shared" si="18"/>
        <v>0</v>
      </c>
      <c r="J33" s="467">
        <f t="shared" si="18"/>
        <v>1435.4909610191373</v>
      </c>
      <c r="K33" s="467">
        <f t="shared" si="18"/>
        <v>0</v>
      </c>
      <c r="L33" s="467">
        <f t="shared" ca="1" si="18"/>
        <v>0</v>
      </c>
      <c r="M33" s="467">
        <f t="shared" si="18"/>
        <v>0</v>
      </c>
      <c r="N33" s="467">
        <f t="shared" ca="1" si="18"/>
        <v>0</v>
      </c>
      <c r="O33" s="467">
        <f t="shared" si="18"/>
        <v>0</v>
      </c>
      <c r="P33" s="467">
        <f t="shared" si="18"/>
        <v>0</v>
      </c>
      <c r="Q33" s="467">
        <f t="shared" ca="1" si="18"/>
        <v>169741.41527718594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11036.326173150996</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11036.326173150996</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0.20969116208896943</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0.20969116208896943</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2020-06-20T16:31:08Z</dcterms:modified>
</cp:coreProperties>
</file>