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B45" i="18"/>
  <c r="B49" i="18" s="1"/>
  <c r="C17" i="18" s="1"/>
  <c r="G20" i="18"/>
  <c r="K20" i="18"/>
  <c r="B10" i="18"/>
  <c r="O9" i="18"/>
  <c r="O19" i="18"/>
  <c r="O18" i="18"/>
  <c r="B20" i="18"/>
  <c r="I49" i="18"/>
  <c r="H17" i="18" s="1"/>
  <c r="H20" i="18" s="1"/>
  <c r="E49" i="18"/>
  <c r="E17" i="18" s="1"/>
  <c r="E20" i="18" s="1"/>
  <c r="G49" i="18"/>
  <c r="C49" i="18"/>
  <c r="H49" i="18"/>
  <c r="D49" i="18"/>
  <c r="F49" i="18"/>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B38" i="13"/>
  <c r="C24" i="14"/>
  <c r="C26" i="14" s="1"/>
  <c r="B7" i="48"/>
  <c r="Q11" i="14"/>
  <c r="P4" i="48"/>
  <c r="P22" i="48" s="1"/>
  <c r="O4" i="48"/>
  <c r="O22" i="48" s="1"/>
  <c r="P11" i="14"/>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5" i="48" l="1"/>
  <c r="E7" i="48"/>
  <c r="E25" i="48" s="1"/>
  <c r="F24" i="14"/>
  <c r="F26" i="14" s="1"/>
  <c r="O8" i="48"/>
  <c r="O26" i="48" s="1"/>
  <c r="P13" i="14"/>
  <c r="P16" i="14" s="1"/>
  <c r="P27" i="14" s="1"/>
  <c r="Q63" i="14"/>
  <c r="D16" i="14"/>
  <c r="D27" i="14" s="1"/>
  <c r="B20" i="6" s="1"/>
  <c r="B22" i="6" s="1"/>
  <c r="C22" i="56"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E5" i="48"/>
  <c r="E23" i="48" s="1"/>
  <c r="F10" i="14"/>
  <c r="K10" i="14"/>
  <c r="J5" i="48"/>
  <c r="J23" i="48" s="1"/>
  <c r="O15" i="48"/>
  <c r="O33" i="48"/>
  <c r="N22" i="14"/>
  <c r="N27" i="14" s="1"/>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Q5"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J26" i="48" l="1"/>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<sst xmlns="http://schemas.openxmlformats.org/spreadsheetml/2006/main" count="2498" uniqueCount="954">
  <si>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</si>
  <si>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</si>
  <si>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</si>
  <si>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</si>
  <si>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</si>
  <si>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</si>
  <si>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</si>
  <si>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</si>
  <si>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</si>
  <si>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</si>
  <si>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</si>
  <si>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</si>
  <si>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</si>
  <si>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</si>
  <si>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</si>
  <si>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</si>
  <si>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</si>
  <si>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</si>
  <si>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</si>
  <si>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</si>
  <si>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</si>
  <si>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</si>
  <si>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</si>
  <si>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</si>
  <si>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</si>
  <si>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</si>
  <si>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</si>
  <si>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</si>
  <si>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</si>
  <si>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</si>
  <si>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</si>
  <si>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</si>
  <si>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</si>
  <si>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</si>
  <si>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</si>
  <si>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</si>
  <si>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</si>
  <si>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</si>
  <si>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</si>
  <si>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</si>
  <si>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</si>
  <si>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</si>
  <si>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</si>
  <si>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</si>
  <si>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</si>
  <si>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</si>
  <si>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</si>
  <si>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</si>
  <si>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</si>
  <si>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</si>
  <si>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</si>
  <si>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</si>
  <si>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</si>
  <si>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</si>
  <si>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</si>
  <si>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</si>
  <si>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</si>
  <si>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</si>
  <si>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</si>
  <si>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</si>
  <si>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</si>
  <si>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</si>
  <si>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</si>
  <si>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</si>
  <si>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</si>
  <si>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</si>
  <si>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</si>
  <si>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</si>
  <si>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</si>
  <si>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</si>
  <si>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</si>
  <si>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</si>
  <si>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</si>
  <si>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</si>
  <si>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</si>
  <si>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</si>
  <si>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</si>
  <si>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</si>
  <si>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</si>
  <si>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</si>
  <si>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</si>
  <si>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</si>
  <si>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</si>
  <si>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</si>
  <si>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</si>
  <si>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</si>
  <si>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</si>
  <si>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</si>
  <si>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</si>
  <si>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</si>
  <si>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</si>
  <si>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</si>
  <si>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</si>
  <si>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</si>
  <si>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</si>
  <si>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</si>
  <si>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</si>
  <si>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</si>
  <si>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</si>
  <si>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</si>
  <si>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</si>
  <si>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</si>
  <si>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</si>
  <si>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</si>
  <si>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</si>
  <si>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</si>
  <si>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</si>
  <si>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</si>
  <si>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</si>
  <si>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</si>
  <si>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</si>
  <si>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</si>
  <si>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</si>
  <si>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</si>
  <si>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</si>
  <si>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</si>
  <si>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</si>
  <si>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</si>
  <si>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</si>
  <si>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</si>
  <si>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</si>
  <si>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</si>
  <si>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</si>
  <si>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</si>
  <si>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</si>
  <si>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</si>
  <si>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</si>
  <si>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</si>
  <si>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</si>
  <si>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</si>
  <si>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</si>
  <si>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</si>
  <si>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</si>
  <si>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</si>
  <si>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</si>
  <si>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</si>
  <si>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</si>
  <si>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</si>
  <si>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</si>
  <si>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</si>
  <si>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</si>
  <si>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</si>
  <si>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</si>
  <si>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</si>
  <si>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</si>
  <si>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</si>
  <si>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</si>
  <si>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</si>
  <si>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</si>
  <si>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</si>
  <si>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</si>
  <si>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</si>
  <si>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</si>
  <si>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</si>
  <si>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</si>
  <si>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</si>
  <si>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</si>
  <si>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</si>
  <si>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</si>
  <si>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</si>
  <si>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</si>
  <si>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</si>
  <si>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</si>
  <si>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</si>
  <si>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</si>
  <si>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</si>
  <si>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</si>
  <si>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</si>
  <si>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</si>
  <si>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</si>
  <si>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</si>
  <si>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</si>
  <si>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</si>
  <si>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</si>
  <si>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</si>
  <si>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</si>
  <si>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</si>
  <si>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</si>
  <si>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</si>
  <si>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</si>
  <si>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</si>
  <si>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</si>
  <si>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</si>
  <si>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</si>
  <si>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</si>
  <si>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</si>
  <si>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</si>
  <si>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</si>
  <si>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</si>
  <si>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</si>
  <si>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</si>
  <si>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</si>
  <si>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</si>
  <si>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</si>
  <si>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</si>
  <si>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</si>
  <si>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</si>
  <si>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</si>
  <si>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</si>
  <si>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</si>
  <si>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</si>
  <si>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</si>
  <si>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</si>
  <si>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</si>
  <si>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</si>
  <si>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</si>
  <si>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</si>
  <si>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</si>
  <si>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</si>
  <si>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</si>
  <si>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</si>
  <si>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</si>
  <si>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</si>
  <si>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</si>
  <si>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</si>
  <si>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</si>
  <si>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</si>
  <si>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</si>
  <si>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</si>
  <si>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</si>
  <si>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</si>
  <si>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</si>
  <si>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</si>
  <si>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</si>
  <si>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</si>
  <si>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</si>
  <si>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</si>
  <si>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</si>
  <si>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</si>
  <si>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</si>
  <si>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</si>
  <si>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</si>
  <si>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</si>
  <si>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</si>
  <si>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</si>
  <si>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</si>
  <si>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</si>
  <si>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</si>
  <si>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</si>
  <si>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</si>
  <si>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</si>
  <si>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</si>
  <si>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</si>
  <si>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</si>
  <si>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</si>
  <si>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</si>
  <si>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</si>
  <si>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</si>
  <si>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</si>
  <si>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</si>
  <si>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</si>
  <si>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</si>
  <si>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</si>
  <si>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</si>
  <si>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</si>
  <si>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</si>
  <si>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</si>
  <si>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</si>
  <si>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</si>
  <si>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</si>
  <si>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</si>
  <si>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</si>
  <si>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</si>
  <si>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</si>
  <si>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</si>
  <si>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</si>
  <si>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</si>
  <si>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</si>
  <si>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</si>
  <si>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</si>
  <si>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</si>
  <si>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</si>
  <si>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</si>
  <si>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</si>
  <si>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</si>
  <si>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</si>
  <si>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</si>
  <si>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</si>
  <si>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</si>
  <si>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</si>
  <si>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</si>
  <si>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</si>
  <si>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</si>
  <si>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</si>
  <si>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</si>
  <si>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</si>
  <si>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</si>
  <si>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</si>
  <si>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</si>
  <si>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</si>
  <si>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</si>
  <si>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</si>
  <si>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</si>
  <si>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</si>
  <si>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</si>
  <si>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</si>
  <si>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</si>
  <si>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</si>
  <si>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</si>
  <si>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</si>
  <si>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</si>
  <si>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</si>
  <si>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</si>
  <si>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</si>
  <si>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</si>
  <si>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</si>
  <si>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</si>
  <si>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</si>
  <si>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</si>
  <si>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</si>
  <si>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</si>
  <si>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</si>
  <si>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</si>
  <si>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</si>
  <si>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</si>
  <si>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</si>
  <si>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</si>
  <si>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</si>
  <si>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</si>
  <si>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</si>
  <si>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</si>
  <si>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</si>
  <si>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</si>
  <si>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</si>
  <si>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</si>
  <si>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</si>
  <si>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</si>
  <si>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</si>
  <si>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</si>
  <si>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</si>
  <si>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</si>
  <si>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</si>
  <si>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</si>
  <si>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</si>
  <si>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</si>
  <si>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</si>
  <si>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</si>
  <si>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</si>
  <si>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</si>
  <si>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</si>
  <si>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</si>
  <si>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</si>
  <si>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</si>
  <si>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</si>
  <si>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</si>
  <si>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</si>
  <si>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</si>
  <si>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</si>
  <si>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</si>
  <si>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</si>
  <si>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</si>
  <si>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</si>
  <si>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</si>
  <si>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</si>
  <si>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</si>
  <si>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</si>
  <si>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</si>
  <si>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</si>
  <si>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</si>
  <si>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</si>
  <si>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</si>
  <si>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</si>
  <si>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</si>
  <si>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</si>
  <si>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</si>
  <si>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</si>
  <si>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</si>
  <si>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</si>
  <si>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</si>
  <si>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</si>
  <si>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</si>
  <si>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</si>
  <si>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</si>
  <si>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</si>
  <si>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</si>
  <si>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</si>
  <si>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</si>
  <si>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</si>
  <si>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</si>
  <si>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</si>
  <si>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</si>
  <si>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</si>
  <si>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</si>
  <si>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</si>
  <si>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</si>
  <si>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</si>
  <si>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</si>
  <si>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</si>
  <si>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</si>
  <si>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</si>
  <si>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</si>
  <si>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</si>
  <si>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</si>
  <si>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</si>
  <si>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</si>
  <si>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</si>
  <si>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</si>
  <si>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</si>
  <si>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</si>
  <si>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</si>
  <si>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</si>
  <si>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</si>
  <si>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</si>
  <si>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</si>
  <si>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</si>
  <si>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</si>
  <si>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</si>
  <si>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</si>
  <si>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</si>
  <si>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</si>
  <si>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</si>
  <si>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</si>
  <si>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</si>
  <si>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</si>
  <si>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</si>
  <si>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</si>
  <si>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</si>
  <si>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</si>
  <si>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</si>
  <si>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</si>
  <si>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</si>
  <si>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</si>
  <si>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</si>
  <si>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</si>
  <si>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</si>
  <si>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</si>
  <si>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</si>
  <si>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</si>
  <si>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</si>
  <si>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</si>
  <si>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</si>
  <si>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</si>
  <si>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</si>
  <si>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</si>
  <si>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</si>
  <si>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</si>
  <si>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</si>
  <si>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</si>
  <si>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</si>
  <si>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</si>
  <si>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</si>
  <si>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</si>
  <si>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</si>
  <si>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</si>
  <si>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</si>
  <si>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</si>
  <si>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</si>
  <si>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</si>
  <si>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</si>
  <si>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</si>
  <si>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</si>
  <si>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</si>
  <si>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</si>
  <si>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</si>
  <si>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</si>
  <si>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</si>
  <si>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</si>
  <si>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</si>
  <si>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</si>
  <si>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</si>
  <si>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</si>
  <si>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</si>
  <si>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</si>
  <si>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</si>
  <si>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</si>
  <si>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</si>
  <si>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</si>
  <si>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</si>
  <si>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</si>
  <si>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</si>
  <si>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</si>
  <si>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</si>
  <si>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</si>
  <si>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</si>
  <si>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</si>
  <si>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</si>
  <si>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</si>
  <si>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</si>
  <si>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</si>
  <si>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</si>
  <si>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</si>
  <si>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</si>
  <si>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</si>
  <si>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</si>
  <si>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</si>
  <si>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</si>
  <si>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</si>
  <si>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</si>
  <si>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</si>
  <si>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</si>
  <si>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</si>
  <si>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</si>
  <si>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</si>
  <si>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</si>
  <si>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</si>
  <si>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</si>
  <si>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</si>
  <si>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</si>
  <si>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</si>
  <si>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</si>
  <si>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</si>
  <si>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</si>
  <si>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</si>
  <si>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</si>
  <si>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</si>
  <si>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</si>
  <si>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</si>
  <si>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</si>
  <si>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</si>
  <si>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</si>
  <si>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</si>
  <si>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</si>
  <si>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</si>
  <si>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</si>
  <si>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</si>
  <si>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</si>
  <si>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</si>
  <si>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</si>
  <si>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</si>
  <si>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</si>
  <si>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</si>
  <si>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</si>
  <si>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</si>
  <si>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</si>
  <si>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</si>
  <si>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</si>
  <si>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</si>
  <si>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</si>
  <si>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</si>
  <si>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</si>
  <si>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</si>
  <si>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</si>
  <si>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</si>
  <si>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</si>
  <si>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</si>
  <si>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</si>
  <si>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</si>
  <si>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</si>
  <si>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</si>
  <si>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</si>
  <si>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</si>
  <si>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</si>
  <si>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</si>
  <si>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</si>
  <si>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</si>
  <si>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</si>
  <si>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</si>
  <si>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</si>
  <si>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</si>
  <si>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</si>
  <si>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</si>
  <si>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</si>
  <si>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</si>
  <si>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</si>
  <si>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</si>
  <si>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</si>
  <si>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</si>
  <si>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</si>
  <si>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</si>
  <si>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</si>
  <si>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</si>
  <si>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</si>
  <si>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</si>
  <si>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</si>
  <si>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</si>
  <si>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</si>
  <si>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</si>
  <si>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</si>
  <si>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</si>
  <si>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</si>
  <si>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</si>
  <si>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</si>
  <si>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</si>
  <si>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</si>
  <si>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</si>
  <si>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</si>
  <si>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</si>
  <si>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</si>
  <si>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</si>
  <si>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</si>
  <si>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</si>
  <si>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</si>
  <si>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</si>
  <si>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</si>
  <si>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</si>
  <si>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</si>
  <si>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</si>
  <si>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</si>
  <si>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</si>
  <si>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</si>
  <si>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</si>
  <si>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</si>
  <si>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</si>
  <si>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</si>
  <si>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</si>
  <si>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</si>
  <si>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</si>
  <si>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</si>
  <si>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</si>
  <si>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</si>
  <si>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</si>
  <si>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</si>
  <si>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</si>
  <si>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</si>
  <si>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</si>
  <si>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</si>
  <si>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</si>
  <si>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</si>
  <si>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</si>
  <si>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</si>
  <si>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</si>
  <si>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</si>
  <si>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</si>
  <si>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</si>
  <si>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</si>
  <si>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</si>
  <si>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</si>
  <si>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</si>
  <si>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</si>
  <si>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</si>
  <si>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</si>
  <si>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</si>
  <si>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</si>
  <si>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</si>
  <si>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</si>
  <si>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</si>
  <si>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</si>
  <si>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</si>
  <si>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</si>
  <si>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</si>
  <si>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</si>
  <si>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</si>
  <si>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</si>
  <si>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</si>
  <si>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</si>
  <si>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</si>
  <si>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</si>
  <si>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</si>
  <si>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</si>
  <si>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</si>
  <si>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</si>
  <si>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</si>
  <si>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</si>
  <si>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</si>
  <si>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</si>
  <si>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</si>
  <si>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</si>
  <si>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</si>
  <si>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</si>
  <si>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</si>
  <si>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</si>
  <si>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</si>
  <si>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</si>
  <si>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</si>
  <si>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</si>
  <si>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</si>
  <si>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</si>
  <si>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</si>
  <si>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</si>
  <si>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</si>
  <si>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</si>
  <si>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</si>
  <si>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</si>
  <si>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</si>
  <si>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</si>
  <si>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</si>
  <si>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</si>
  <si>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</si>
  <si>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</si>
  <si>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</si>
  <si>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</si>
  <si>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</si>
  <si>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</si>
  <si>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</si>
  <si>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</si>
  <si>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</si>
  <si>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</si>
  <si>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</si>
  <si>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</si>
  <si>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</si>
  <si>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</si>
  <si>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</si>
  <si>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</si>
  <si>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</si>
  <si>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</si>
  <si>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</si>
  <si>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</si>
  <si>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</si>
  <si>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</si>
  <si>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</si>
  <si>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</si>
  <si>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</si>
  <si>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</si>
  <si>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</si>
  <si>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</si>
  <si>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</si>
  <si>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</si>
  <si>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</si>
  <si>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</si>
  <si>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</si>
  <si>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</si>
  <si>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</si>
  <si>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</si>
  <si>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</si>
  <si>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</si>
  <si>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</si>
  <si>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</si>
  <si>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</si>
  <si>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</si>
  <si>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</si>
  <si>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</si>
  <si>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</si>
  <si>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</si>
  <si>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</si>
  <si>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</si>
  <si>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</si>
  <si>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</si>
  <si>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</si>
  <si>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</si>
  <si>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</si>
  <si>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</si>
  <si>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</si>
  <si>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</si>
  <si>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</si>
  <si>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</si>
  <si>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</si>
  <si>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</si>
  <si>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</si>
  <si>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</si>
  <si>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</si>
  <si>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</si>
  <si>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</si>
  <si>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</si>
  <si>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</si>
  <si>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</si>
  <si>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</si>
  <si>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</si>
  <si>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</si>
  <si>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</si>
  <si>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</si>
  <si>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</si>
  <si>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</si>
  <si>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</si>
  <si>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</si>
  <si>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</si>
  <si>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</si>
  <si>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</si>
  <si>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</si>
  <si>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</si>
  <si>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</si>
  <si>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</si>
  <si>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</si>
  <si>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</si>
  <si>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</si>
  <si>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</si>
  <si>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</si>
  <si>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</si>
  <si>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</si>
  <si>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</si>
  <si>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</si>
  <si>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</si>
  <si>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</si>
  <si>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</si>
  <si>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</si>
  <si>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</si>
  <si>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</si>
  <si>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</si>
  <si>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</si>
  <si>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</si>
  <si>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</si>
  <si>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</si>
  <si>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</si>
  <si>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</si>
  <si>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</si>
  <si>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</si>
  <si>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</si>
  <si>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</si>
  <si>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</si>
  <si>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</si>
  <si>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</si>
  <si>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</si>
  <si>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</si>
  <si>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</si>
  <si>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</si>
  <si>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</si>
  <si>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</si>
  <si>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</si>
  <si>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</si>
  <si>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</si>
  <si>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</si>
  <si>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</si>
  <si>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</si>
  <si>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</si>
  <si>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</si>
  <si>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</si>
  <si>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</si>
  <si>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</si>
  <si>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</si>
  <si>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</si>
  <si>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</si>
  <si>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</si>
  <si>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</si>
  <si>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</si>
  <si>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</si>
  <si>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</si>
  <si>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</si>
  <si>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</si>
  <si>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</si>
  <si>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</si>
  <si>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</si>
  <si>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</si>
  <si>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</si>
  <si>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</si>
  <si>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</si>
  <si>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</si>
  <si>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</si>
  <si>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</si>
  <si>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</si>
  <si>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</si>
  <si>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</si>
  <si>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</si>
  <si>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</si>
  <si>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</si>
  <si>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</si>
  <si>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</si>
  <si>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</si>
  <si>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</si>
  <si>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</si>
  <si>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</si>
  <si>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</si>
  <si>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</si>
  <si>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</si>
  <si>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</si>
  <si>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</si>
  <si>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</si>
  <si>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</si>
  <si>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</si>
  <si>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</si>
  <si>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</si>
  <si>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</si>
  <si>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</si>
  <si>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</si>
  <si>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</si>
  <si>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</si>
  <si>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</si>
  <si>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</si>
  <si>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</si>
  <si>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</si>
  <si>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</si>
  <si>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</si>
  <si>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</si>
  <si>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</si>
  <si>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</si>
  <si>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</si>
  <si>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</si>
  <si>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</si>
  <si>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</si>
  <si>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</si>
  <si>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</si>
  <si>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</si>
  <si>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</si>
  <si>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</si>
  <si>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</si>
  <si>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</si>
  <si>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</si>
  <si>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</si>
  <si>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</si>
  <si>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</si>
  <si>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</si>
  <si>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</si>
  <si>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</si>
  <si>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</si>
  <si>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</si>
  <si>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</si>
  <si>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</si>
  <si>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</si>
  <si>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</si>
  <si>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</si>
  <si>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</si>
  <si>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</si>
  <si>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</si>
  <si>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</si>
  <si>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</si>
  <si>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</si>
  <si>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</si>
  <si>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</si>
  <si>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</si>
  <si>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</si>
  <si>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</si>
  <si>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</si>
  <si>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</si>
  <si>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</si>
  <si>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</si>
  <si>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</si>
  <si>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</si>
  <si>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</si>
  <si>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</si>
  <si>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</si>
  <si>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</si>
  <si>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</si>
  <si>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</si>
  <si>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</si>
  <si>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</si>
  <si>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</si>
  <si>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</si>
  <si>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</si>
  <si>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</si>
  <si>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</si>
  <si>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</si>
  <si>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</si>
  <si>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</si>
  <si>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</si>
  <si>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</si>
  <si>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</si>
  <si>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</si>
  <si>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</si>
  <si>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</si>
  <si>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</si>
  <si>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</si>
  <si>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</si>
  <si>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</si>
  <si>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</si>
  <si>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</si>
  <si>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</si>
  <si>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</si>
  <si>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</si>
  <si>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</si>
  <si>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</si>
  <si>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</si>
  <si>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</si>
  <si>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</si>
  <si>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</si>
  <si>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</si>
  <si>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</si>
  <si>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</si>
  <si>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</si>
  <si>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</si>
  <si>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</si>
  <si>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</si>
  <si>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</si>
  <si>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</si>
  <si>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</si>
  <si>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</si>
  <si>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</si>
  <si>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</si>
  <si>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</si>
  <si>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</si>
  <si>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</si>
  <si>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37007</t>
  </si>
  <si>
    <t>MEULEBEKE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</si>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</sst>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37007</v>
      </c>
      <c r="B6" s="394"/>
      <c r="C6" s="395"/>
    </row>
    <row r="7" spans="1:7" s="392" customFormat="1" ht="15.75" customHeight="1">
      <c r="A7" s="396" t="str">
        <f>txtMunicipality</f>
        <v>MEULEBEKE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0.20413868259109771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0.20413868259109771</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4493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1932</v>
      </c>
      <c r="C14" s="332"/>
      <c r="D14" s="332"/>
      <c r="E14" s="332"/>
      <c r="F14" s="332"/>
    </row>
    <row r="15" spans="1:6">
      <c r="A15" s="1299" t="s">
        <v>183</v>
      </c>
      <c r="B15" s="1300">
        <v>16</v>
      </c>
      <c r="C15" s="332"/>
      <c r="D15" s="332"/>
      <c r="E15" s="332"/>
      <c r="F15" s="332"/>
    </row>
    <row r="16" spans="1:6">
      <c r="A16" s="1299" t="s">
        <v>6</v>
      </c>
      <c r="B16" s="1300">
        <v>353</v>
      </c>
      <c r="C16" s="332"/>
      <c r="D16" s="332"/>
      <c r="E16" s="332"/>
      <c r="F16" s="332"/>
    </row>
    <row r="17" spans="1:6">
      <c r="A17" s="1299" t="s">
        <v>7</v>
      </c>
      <c r="B17" s="1300">
        <v>913</v>
      </c>
      <c r="C17" s="332"/>
      <c r="D17" s="332"/>
      <c r="E17" s="332"/>
      <c r="F17" s="332"/>
    </row>
    <row r="18" spans="1:6">
      <c r="A18" s="1299" t="s">
        <v>8</v>
      </c>
      <c r="B18" s="1300">
        <v>845</v>
      </c>
      <c r="C18" s="332"/>
      <c r="D18" s="332"/>
      <c r="E18" s="332"/>
      <c r="F18" s="332"/>
    </row>
    <row r="19" spans="1:6">
      <c r="A19" s="1299" t="s">
        <v>9</v>
      </c>
      <c r="B19" s="1300">
        <v>848</v>
      </c>
      <c r="C19" s="332"/>
      <c r="D19" s="332"/>
      <c r="E19" s="332"/>
      <c r="F19" s="332"/>
    </row>
    <row r="20" spans="1:6">
      <c r="A20" s="1299" t="s">
        <v>10</v>
      </c>
      <c r="B20" s="1300">
        <v>618</v>
      </c>
      <c r="C20" s="332"/>
      <c r="D20" s="332"/>
      <c r="E20" s="332"/>
      <c r="F20" s="332"/>
    </row>
    <row r="21" spans="1:6">
      <c r="A21" s="1299" t="s">
        <v>11</v>
      </c>
      <c r="B21" s="1300">
        <v>11364</v>
      </c>
      <c r="C21" s="332"/>
      <c r="D21" s="332"/>
      <c r="E21" s="332"/>
      <c r="F21" s="332"/>
    </row>
    <row r="22" spans="1:6">
      <c r="A22" s="1299" t="s">
        <v>12</v>
      </c>
      <c r="B22" s="1300">
        <v>41556</v>
      </c>
      <c r="C22" s="332"/>
      <c r="D22" s="332"/>
      <c r="E22" s="332"/>
      <c r="F22" s="332"/>
    </row>
    <row r="23" spans="1:6">
      <c r="A23" s="1299" t="s">
        <v>13</v>
      </c>
      <c r="B23" s="1300">
        <v>472</v>
      </c>
      <c r="C23" s="332"/>
      <c r="D23" s="332"/>
      <c r="E23" s="332"/>
      <c r="F23" s="332"/>
    </row>
    <row r="24" spans="1:6">
      <c r="A24" s="1299" t="s">
        <v>14</v>
      </c>
      <c r="B24" s="1300">
        <v>19</v>
      </c>
      <c r="C24" s="332"/>
      <c r="D24" s="332"/>
      <c r="E24" s="332"/>
      <c r="F24" s="332"/>
    </row>
    <row r="25" spans="1:6">
      <c r="A25" s="1299" t="s">
        <v>15</v>
      </c>
      <c r="B25" s="1300">
        <v>2868</v>
      </c>
      <c r="C25" s="332"/>
      <c r="D25" s="332"/>
      <c r="E25" s="332"/>
      <c r="F25" s="332"/>
    </row>
    <row r="26" spans="1:6">
      <c r="A26" s="1299" t="s">
        <v>16</v>
      </c>
      <c r="B26" s="1300">
        <v>8</v>
      </c>
      <c r="C26" s="332"/>
      <c r="D26" s="332"/>
      <c r="E26" s="332"/>
      <c r="F26" s="332"/>
    </row>
    <row r="27" spans="1:6">
      <c r="A27" s="1299" t="s">
        <v>17</v>
      </c>
      <c r="B27" s="1300">
        <v>1</v>
      </c>
      <c r="C27" s="332"/>
      <c r="D27" s="332"/>
      <c r="E27" s="332"/>
      <c r="F27" s="332"/>
    </row>
    <row r="28" spans="1:6" s="44" customFormat="1">
      <c r="A28" s="1301" t="s">
        <v>18</v>
      </c>
      <c r="B28" s="1302">
        <v>95673</v>
      </c>
      <c r="C28" s="338"/>
      <c r="D28" s="338"/>
      <c r="E28" s="338"/>
      <c r="F28" s="338"/>
    </row>
    <row r="29" spans="1:6">
      <c r="A29" s="1301" t="s">
        <v>950</v>
      </c>
      <c r="B29" s="1302">
        <v>37</v>
      </c>
      <c r="C29" s="338"/>
      <c r="D29" s="338"/>
      <c r="E29" s="338"/>
      <c r="F29" s="338"/>
    </row>
    <row r="30" spans="1:6">
      <c r="A30" s="1294" t="s">
        <v>951</v>
      </c>
      <c r="B30" s="1303">
        <v>5</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1</v>
      </c>
      <c r="D38" s="1300">
        <v>0</v>
      </c>
      <c r="E38" s="1300">
        <v>0</v>
      </c>
      <c r="F38" s="1300">
        <v>0</v>
      </c>
    </row>
    <row r="39" spans="1:6">
      <c r="A39" s="1299" t="s">
        <v>29</v>
      </c>
      <c r="B39" s="1299" t="s">
        <v>30</v>
      </c>
      <c r="C39" s="1300">
        <v>2528</v>
      </c>
      <c r="D39" s="1300">
        <v>42374172.276787102</v>
      </c>
      <c r="E39" s="1300">
        <v>4121</v>
      </c>
      <c r="F39" s="1300">
        <v>17488012.873085801</v>
      </c>
    </row>
    <row r="40" spans="1:6">
      <c r="A40" s="1299" t="s">
        <v>29</v>
      </c>
      <c r="B40" s="1299" t="s">
        <v>28</v>
      </c>
      <c r="C40" s="1300">
        <v>0</v>
      </c>
      <c r="D40" s="1300">
        <v>0</v>
      </c>
      <c r="E40" s="1300">
        <v>0</v>
      </c>
      <c r="F40" s="1300">
        <v>0</v>
      </c>
    </row>
    <row r="41" spans="1:6">
      <c r="A41" s="1299" t="s">
        <v>31</v>
      </c>
      <c r="B41" s="1299" t="s">
        <v>32</v>
      </c>
      <c r="C41" s="1300">
        <v>53</v>
      </c>
      <c r="D41" s="1300">
        <v>1941553.71016651</v>
      </c>
      <c r="E41" s="1300">
        <v>141</v>
      </c>
      <c r="F41" s="1300">
        <v>2927220.4532069298</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12</v>
      </c>
      <c r="F44" s="1300">
        <v>228923.67446968801</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3</v>
      </c>
      <c r="D47" s="1300">
        <v>38371.925269970401</v>
      </c>
      <c r="E47" s="1300">
        <v>7</v>
      </c>
      <c r="F47" s="1300">
        <v>28018.023726560601</v>
      </c>
    </row>
    <row r="48" spans="1:6">
      <c r="A48" s="1299" t="s">
        <v>31</v>
      </c>
      <c r="B48" s="1299" t="s">
        <v>28</v>
      </c>
      <c r="C48" s="1300">
        <v>30</v>
      </c>
      <c r="D48" s="1300">
        <v>28381368.7528717</v>
      </c>
      <c r="E48" s="1300">
        <v>44</v>
      </c>
      <c r="F48" s="1300">
        <v>9459016.8635866996</v>
      </c>
    </row>
    <row r="49" spans="1:6">
      <c r="A49" s="1299" t="s">
        <v>31</v>
      </c>
      <c r="B49" s="1299" t="s">
        <v>39</v>
      </c>
      <c r="C49" s="1300">
        <v>0</v>
      </c>
      <c r="D49" s="1300">
        <v>0</v>
      </c>
      <c r="E49" s="1300">
        <v>5</v>
      </c>
      <c r="F49" s="1300">
        <v>11921699.5041159</v>
      </c>
    </row>
    <row r="50" spans="1:6">
      <c r="A50" s="1299" t="s">
        <v>31</v>
      </c>
      <c r="B50" s="1299" t="s">
        <v>40</v>
      </c>
      <c r="C50" s="1300">
        <v>7</v>
      </c>
      <c r="D50" s="1300">
        <v>578112.52575121203</v>
      </c>
      <c r="E50" s="1300">
        <v>17</v>
      </c>
      <c r="F50" s="1300">
        <v>1469552.7024852501</v>
      </c>
    </row>
    <row r="51" spans="1:6">
      <c r="A51" s="1299" t="s">
        <v>41</v>
      </c>
      <c r="B51" s="1299" t="s">
        <v>42</v>
      </c>
      <c r="C51" s="1300">
        <v>7</v>
      </c>
      <c r="D51" s="1300">
        <v>121382.055795001</v>
      </c>
      <c r="E51" s="1300">
        <v>142</v>
      </c>
      <c r="F51" s="1300">
        <v>3555197.5996105601</v>
      </c>
    </row>
    <row r="52" spans="1:6">
      <c r="A52" s="1299" t="s">
        <v>41</v>
      </c>
      <c r="B52" s="1299" t="s">
        <v>28</v>
      </c>
      <c r="C52" s="1300">
        <v>2</v>
      </c>
      <c r="D52" s="1300">
        <v>18569.446180335799</v>
      </c>
      <c r="E52" s="1300">
        <v>7</v>
      </c>
      <c r="F52" s="1300">
        <v>197597.89993725601</v>
      </c>
    </row>
    <row r="53" spans="1:6">
      <c r="A53" s="1299" t="s">
        <v>43</v>
      </c>
      <c r="B53" s="1299" t="s">
        <v>44</v>
      </c>
      <c r="C53" s="1300">
        <v>59</v>
      </c>
      <c r="D53" s="1300">
        <v>1430520.8536209599</v>
      </c>
      <c r="E53" s="1300">
        <v>119</v>
      </c>
      <c r="F53" s="1300">
        <v>661678.96919328405</v>
      </c>
    </row>
    <row r="54" spans="1:6">
      <c r="A54" s="1299" t="s">
        <v>45</v>
      </c>
      <c r="B54" s="1299" t="s">
        <v>46</v>
      </c>
      <c r="C54" s="1300">
        <v>0</v>
      </c>
      <c r="D54" s="1300">
        <v>0</v>
      </c>
      <c r="E54" s="1300">
        <v>1</v>
      </c>
      <c r="F54" s="1300">
        <v>822522</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22</v>
      </c>
      <c r="D57" s="1300">
        <v>467958.37200209999</v>
      </c>
      <c r="E57" s="1300">
        <v>70</v>
      </c>
      <c r="F57" s="1300">
        <v>841442.76033364201</v>
      </c>
    </row>
    <row r="58" spans="1:6">
      <c r="A58" s="1299" t="s">
        <v>48</v>
      </c>
      <c r="B58" s="1299" t="s">
        <v>50</v>
      </c>
      <c r="C58" s="1300">
        <v>4</v>
      </c>
      <c r="D58" s="1300">
        <v>156980.99996517799</v>
      </c>
      <c r="E58" s="1300">
        <v>18</v>
      </c>
      <c r="F58" s="1300">
        <v>151606.80359970499</v>
      </c>
    </row>
    <row r="59" spans="1:6">
      <c r="A59" s="1299" t="s">
        <v>48</v>
      </c>
      <c r="B59" s="1299" t="s">
        <v>51</v>
      </c>
      <c r="C59" s="1300">
        <v>44</v>
      </c>
      <c r="D59" s="1300">
        <v>1302487.0697518699</v>
      </c>
      <c r="E59" s="1300">
        <v>151</v>
      </c>
      <c r="F59" s="1300">
        <v>4161308.58865197</v>
      </c>
    </row>
    <row r="60" spans="1:6">
      <c r="A60" s="1299" t="s">
        <v>48</v>
      </c>
      <c r="B60" s="1299" t="s">
        <v>52</v>
      </c>
      <c r="C60" s="1300">
        <v>25</v>
      </c>
      <c r="D60" s="1300">
        <v>851800.97769838094</v>
      </c>
      <c r="E60" s="1300">
        <v>46</v>
      </c>
      <c r="F60" s="1300">
        <v>723000.22178423102</v>
      </c>
    </row>
    <row r="61" spans="1:6">
      <c r="A61" s="1299" t="s">
        <v>48</v>
      </c>
      <c r="B61" s="1299" t="s">
        <v>53</v>
      </c>
      <c r="C61" s="1300">
        <v>104</v>
      </c>
      <c r="D61" s="1300">
        <v>3238563.2280039499</v>
      </c>
      <c r="E61" s="1300">
        <v>207</v>
      </c>
      <c r="F61" s="1300">
        <v>1904441.2203078601</v>
      </c>
    </row>
    <row r="62" spans="1:6">
      <c r="A62" s="1299" t="s">
        <v>48</v>
      </c>
      <c r="B62" s="1299" t="s">
        <v>54</v>
      </c>
      <c r="C62" s="1300">
        <v>10</v>
      </c>
      <c r="D62" s="1300">
        <v>1603309.7820323</v>
      </c>
      <c r="E62" s="1300">
        <v>10</v>
      </c>
      <c r="F62" s="1300">
        <v>133830.87909978299</v>
      </c>
    </row>
    <row r="63" spans="1:6">
      <c r="A63" s="1299" t="s">
        <v>48</v>
      </c>
      <c r="B63" s="1299" t="s">
        <v>28</v>
      </c>
      <c r="C63" s="1300">
        <v>85</v>
      </c>
      <c r="D63" s="1300">
        <v>7437012.2279468896</v>
      </c>
      <c r="E63" s="1300">
        <v>85</v>
      </c>
      <c r="F63" s="1300">
        <v>5527964.8215176202</v>
      </c>
    </row>
    <row r="64" spans="1:6">
      <c r="A64" s="1299" t="s">
        <v>55</v>
      </c>
      <c r="B64" s="1299" t="s">
        <v>56</v>
      </c>
      <c r="C64" s="1300">
        <v>0</v>
      </c>
      <c r="D64" s="1300">
        <v>0</v>
      </c>
      <c r="E64" s="1300">
        <v>0</v>
      </c>
      <c r="F64" s="1300">
        <v>0</v>
      </c>
    </row>
    <row r="65" spans="1:6">
      <c r="A65" s="1299" t="s">
        <v>55</v>
      </c>
      <c r="B65" s="1299" t="s">
        <v>28</v>
      </c>
      <c r="C65" s="1300">
        <v>3</v>
      </c>
      <c r="D65" s="1300">
        <v>73981.343467159997</v>
      </c>
      <c r="E65" s="1300">
        <v>1</v>
      </c>
      <c r="F65" s="1300">
        <v>1738</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14</v>
      </c>
      <c r="F68" s="1303">
        <v>145296.23798301301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26367463</v>
      </c>
      <c r="E73" s="455"/>
      <c r="F73" s="332"/>
    </row>
    <row r="74" spans="1:6">
      <c r="A74" s="1299" t="s">
        <v>63</v>
      </c>
      <c r="B74" s="1299" t="s">
        <v>768</v>
      </c>
      <c r="C74" s="1313" t="s">
        <v>762</v>
      </c>
      <c r="D74" s="1314">
        <v>3019604.3071193788</v>
      </c>
      <c r="E74" s="455"/>
      <c r="F74" s="332"/>
    </row>
    <row r="75" spans="1:6">
      <c r="A75" s="1299" t="s">
        <v>64</v>
      </c>
      <c r="B75" s="1299" t="s">
        <v>767</v>
      </c>
      <c r="C75" s="1313" t="s">
        <v>763</v>
      </c>
      <c r="D75" s="1314">
        <v>18980883</v>
      </c>
      <c r="E75" s="455"/>
      <c r="F75" s="332"/>
    </row>
    <row r="76" spans="1:6">
      <c r="A76" s="1299" t="s">
        <v>64</v>
      </c>
      <c r="B76" s="1299" t="s">
        <v>768</v>
      </c>
      <c r="C76" s="1313" t="s">
        <v>764</v>
      </c>
      <c r="D76" s="1314">
        <v>1824587.3071193788</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115843.38576124246</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2290.4693503821936</v>
      </c>
      <c r="C91" s="332"/>
      <c r="D91" s="332"/>
      <c r="E91" s="332"/>
      <c r="F91" s="332"/>
    </row>
    <row r="92" spans="1:6">
      <c r="A92" s="1294" t="s">
        <v>68</v>
      </c>
      <c r="B92" s="1295">
        <v>2630.1753911611695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1778</v>
      </c>
      <c r="C97" s="332"/>
      <c r="D97" s="332"/>
      <c r="E97" s="332"/>
      <c r="F97" s="332"/>
    </row>
    <row r="98" spans="1:6">
      <c r="A98" s="1299" t="s">
        <v>71</v>
      </c>
      <c r="B98" s="1300">
        <v>0</v>
      </c>
      <c r="C98" s="332"/>
      <c r="D98" s="332"/>
      <c r="E98" s="332"/>
      <c r="F98" s="332"/>
    </row>
    <row r="99" spans="1:6">
      <c r="A99" s="1299" t="s">
        <v>72</v>
      </c>
      <c r="B99" s="1300">
        <v>118</v>
      </c>
      <c r="C99" s="332"/>
      <c r="D99" s="332"/>
      <c r="E99" s="332"/>
      <c r="F99" s="332"/>
    </row>
    <row r="100" spans="1:6">
      <c r="A100" s="1299" t="s">
        <v>73</v>
      </c>
      <c r="B100" s="1300">
        <v>322</v>
      </c>
      <c r="C100" s="332"/>
      <c r="D100" s="332"/>
      <c r="E100" s="332"/>
      <c r="F100" s="332"/>
    </row>
    <row r="101" spans="1:6">
      <c r="A101" s="1299" t="s">
        <v>74</v>
      </c>
      <c r="B101" s="1300">
        <v>87</v>
      </c>
      <c r="C101" s="332"/>
      <c r="D101" s="332"/>
      <c r="E101" s="332"/>
      <c r="F101" s="332"/>
    </row>
    <row r="102" spans="1:6">
      <c r="A102" s="1299" t="s">
        <v>75</v>
      </c>
      <c r="B102" s="1300">
        <v>79</v>
      </c>
      <c r="C102" s="332"/>
      <c r="D102" s="332"/>
      <c r="E102" s="332"/>
      <c r="F102" s="332"/>
    </row>
    <row r="103" spans="1:6">
      <c r="A103" s="1299" t="s">
        <v>76</v>
      </c>
      <c r="B103" s="1300">
        <v>155</v>
      </c>
      <c r="C103" s="332"/>
      <c r="D103" s="332"/>
      <c r="E103" s="332"/>
      <c r="F103" s="332"/>
    </row>
    <row r="104" spans="1:6">
      <c r="A104" s="1299" t="s">
        <v>77</v>
      </c>
      <c r="B104" s="1300">
        <v>1597</v>
      </c>
      <c r="C104" s="332"/>
      <c r="D104" s="332"/>
      <c r="E104" s="332"/>
      <c r="F104" s="332"/>
    </row>
    <row r="105" spans="1:6">
      <c r="A105" s="1294" t="s">
        <v>78</v>
      </c>
      <c r="B105" s="1303">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1</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4</v>
      </c>
      <c r="C123" s="1300">
        <v>2</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20</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3</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64494.514960434528</v>
      </c>
      <c r="C3" s="44" t="s">
        <v>169</v>
      </c>
      <c r="D3" s="44"/>
      <c r="E3" s="157"/>
      <c r="F3" s="44"/>
      <c r="G3" s="44"/>
      <c r="H3" s="44"/>
      <c r="I3" s="44"/>
      <c r="J3" s="44"/>
      <c r="K3" s="97"/>
    </row>
    <row r="4" spans="1:11">
      <c r="A4" s="362" t="s">
        <v>170</v>
      </c>
      <c r="B4" s="50">
        <f>IF(ISERROR('SEAP template'!B78+'SEAP template'!C78),0,'SEAP template'!B78+'SEAP template'!C78)</f>
        <v>4920.6447415433631</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0.20413868259109771</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822.52200000000005</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822.52200000000005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0.20413868259109771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167.90855748219488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17488.012873085801</v>
      </c>
      <c r="C5" s="18">
        <f>IF(ISERROR('Eigen informatie GS &amp; warmtenet'!B57),0,'Eigen informatie GS &amp; warmtenet'!B57)</f>
        <v>0</v>
      </c>
      <c r="D5" s="31">
        <f>(SUM(HH_hh_gas_kWh,HH_rest_gas_kWh)/1000)*0.902</f>
        <v>38221.503393661966</v>
      </c>
      <c r="E5" s="18">
        <f>B46*B57</f>
        <v>4530.3792035291644</v>
      </c>
      <c r="F5" s="18">
        <f>B51*B62</f>
        <v>19429.990190489119</v>
      </c>
      <c r="G5" s="19"/>
      <c r="H5" s="18"/>
      <c r="I5" s="18"/>
      <c r="J5" s="18">
        <f>B50*B61+C50*C61</f>
        <v>2542.5146992418549</v>
      </c>
      <c r="K5" s="18"/>
      <c r="L5" s="18"/>
      <c r="M5" s="18"/>
      <c r="N5" s="18">
        <f>B48*B59+C48*C59</f>
        <v>11351.709849448609</v>
      </c>
      <c r="O5" s="18">
        <f>B69*B70*B71</f>
        <v>34.393333333333338</v>
      </c>
      <c r="P5" s="18">
        <f>B77*B78*B79/1000-B77*B78*B79/1000/B80</f>
        <v>133.46666666666667</v>
      </c>
    </row>
    <row r="6" spans="1:16">
      <c r="A6" s="17" t="s">
        <v>638</v>
      </c>
      <c r="B6" s="776">
        <f>kWh_PV_kleiner_dan_10kW</f>
        <v>2290.4693503821936</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19778.482223467996</v>
      </c>
      <c r="C8" s="22">
        <f>C5</f>
        <v>0</v>
      </c>
      <c r="D8" s="22">
        <f>D5</f>
        <v>38221.503393661966</v>
      </c>
      <c r="E8" s="22">
        <f>E5</f>
        <v>4530.3792035291644</v>
      </c>
      <c r="F8" s="22">
        <f>F5</f>
        <v>19429.990190489119</v>
      </c>
      <c r="G8" s="22"/>
      <c r="H8" s="22"/>
      <c r="I8" s="22"/>
      <c r="J8" s="22">
        <f>J5</f>
        <v>2542.5146992418549</v>
      </c>
      <c r="K8" s="22"/>
      <c r="L8" s="22">
        <f>L5</f>
        <v>0</v>
      </c>
      <c r="M8" s="22">
        <f>M5</f>
        <v>0</v>
      </c>
      <c r="N8" s="22">
        <f>N5</f>
        <v>11351.709849448609</v>
      </c>
      <c r="O8" s="22">
        <f>O5</f>
        <v>34.393333333333338</v>
      </c>
      <c r="P8" s="22">
        <f>P5</f>
        <v>133.46666666666667</v>
      </c>
    </row>
    <row r="9" spans="1:16">
      <c r="B9" s="20"/>
      <c r="C9" s="20"/>
      <c r="D9" s="262"/>
      <c r="E9" s="20"/>
      <c r="F9" s="20"/>
      <c r="G9" s="20"/>
      <c r="H9" s="20"/>
      <c r="I9" s="20"/>
      <c r="J9" s="20"/>
      <c r="K9" s="20"/>
      <c r="L9" s="20"/>
      <c r="M9" s="20"/>
      <c r="N9" s="20"/>
      <c r="O9" s="20"/>
      <c r="P9" s="20"/>
    </row>
    <row r="10" spans="1:16">
      <c r="A10" s="25" t="s">
        <v>213</v>
      </c>
      <c r="B10" s="26">
        <f ca="1">'EF ele_warmte'!B12</f>
        <v>0.20413868259109771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4037.5533047502017</v>
      </c>
      <c r="C12" s="24">
        <f ca="1">C10*C8</f>
        <v>0</v>
      </c>
      <c r="D12" s="24">
        <f>D8*D10</f>
        <v>7720.7436855197175</v>
      </c>
      <c r="E12" s="24">
        <f>E10*E8</f>
        <v>1028.3960792011203</v>
      </c>
      <c r="F12" s="24">
        <f>F10*F8</f>
        <v>5187.807380860595</v>
      </c>
      <c r="G12" s="24"/>
      <c r="H12" s="24"/>
      <c r="I12" s="24"/>
      <c r="J12" s="24">
        <f>J10*J8</f>
        <v>900.0502035316166</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1778</v>
      </c>
      <c r="C18" s="169" t="s">
        <v>110</v>
      </c>
      <c r="D18" s="231"/>
      <c r="E18" s="16"/>
    </row>
    <row r="19" spans="1:7">
      <c r="A19" s="174" t="s">
        <v>71</v>
      </c>
      <c r="B19" s="38">
        <f>aantalw2001_ander</f>
        <v>0</v>
      </c>
      <c r="C19" s="169" t="s">
        <v>110</v>
      </c>
      <c r="D19" s="232"/>
      <c r="E19" s="16"/>
    </row>
    <row r="20" spans="1:7">
      <c r="A20" s="174" t="s">
        <v>72</v>
      </c>
      <c r="B20" s="38">
        <f>aantalw2001_propaan</f>
        <v>118</v>
      </c>
      <c r="C20" s="170">
        <f>IF(ISERROR(B20/SUM($B$20,$B$21,$B$22)*100),0,B20/SUM($B$20,$B$21,$B$22)*100)</f>
        <v>22.39089184060721</v>
      </c>
      <c r="D20" s="232"/>
      <c r="E20" s="16"/>
    </row>
    <row r="21" spans="1:7">
      <c r="A21" s="174" t="s">
        <v>73</v>
      </c>
      <c r="B21" s="38">
        <f>aantalw2001_elektriciteit</f>
        <v>322</v>
      </c>
      <c r="C21" s="170">
        <f>IF(ISERROR(B21/SUM($B$20,$B$21,$B$22)*100),0,B21/SUM($B$20,$B$21,$B$22)*100)</f>
        <v>61.100569259962043</v>
      </c>
      <c r="D21" s="232"/>
      <c r="E21" s="16"/>
    </row>
    <row r="22" spans="1:7">
      <c r="A22" s="174" t="s">
        <v>74</v>
      </c>
      <c r="B22" s="38">
        <f>aantalw2001_hout</f>
        <v>87</v>
      </c>
      <c r="C22" s="170">
        <f>IF(ISERROR(B22/SUM($B$20,$B$21,$B$22)*100),0,B22/SUM($B$20,$B$21,$B$22)*100)</f>
        <v>16.508538899430743</v>
      </c>
      <c r="D22" s="232"/>
      <c r="E22" s="16"/>
    </row>
    <row r="23" spans="1:7">
      <c r="A23" s="174" t="s">
        <v>75</v>
      </c>
      <c r="B23" s="38">
        <f>aantalw2001_niet_gespec</f>
        <v>79</v>
      </c>
      <c r="C23" s="169" t="s">
        <v>110</v>
      </c>
      <c r="D23" s="231"/>
      <c r="E23" s="16"/>
    </row>
    <row r="24" spans="1:7">
      <c r="A24" s="174" t="s">
        <v>76</v>
      </c>
      <c r="B24" s="38">
        <f>aantalw2001_steenkool</f>
        <v>155</v>
      </c>
      <c r="C24" s="169" t="s">
        <v>110</v>
      </c>
      <c r="D24" s="232"/>
      <c r="E24" s="16"/>
    </row>
    <row r="25" spans="1:7">
      <c r="A25" s="174" t="s">
        <v>77</v>
      </c>
      <c r="B25" s="38">
        <f>aantalw2001_stookolie</f>
        <v>1597</v>
      </c>
      <c r="C25" s="169" t="s">
        <v>110</v>
      </c>
      <c r="D25" s="231"/>
      <c r="E25" s="53"/>
    </row>
    <row r="26" spans="1:7">
      <c r="A26" s="174" t="s">
        <v>78</v>
      </c>
      <c r="B26" s="38">
        <f>aantalw2001_WP</f>
        <v>0</v>
      </c>
      <c r="C26" s="169" t="s">
        <v>110</v>
      </c>
      <c r="D26" s="231"/>
      <c r="E26" s="16"/>
    </row>
    <row r="27" spans="1:7" s="16" customFormat="1">
      <c r="A27" s="174"/>
      <c r="B27" s="30"/>
      <c r="C27" s="37"/>
      <c r="D27" s="231"/>
    </row>
    <row r="28" spans="1:7" s="16" customFormat="1">
      <c r="A28" s="233" t="s">
        <v>663</v>
      </c>
      <c r="B28" s="38">
        <f>aantalHuishoudens</f>
        <v>4493</v>
      </c>
      <c r="C28" s="37"/>
      <c r="D28" s="231"/>
    </row>
    <row r="29" spans="1:7" s="16" customFormat="1">
      <c r="A29" s="233" t="s">
        <v>664</v>
      </c>
      <c r="B29" s="38">
        <f>SUM(HH_hh_gas_aantal,HH_rest_gas_aantal)</f>
        <v>2528</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2528</v>
      </c>
      <c r="C32" s="170">
        <f>IF(ISERROR(B32/SUM($B$32,$B$34,$B$35,$B$36,$B$38,$B$39)*100),0,B32/SUM($B$32,$B$34,$B$35,$B$36,$B$38,$B$39)*100)</f>
        <v>56.353098528756128</v>
      </c>
      <c r="D32" s="236"/>
      <c r="G32" s="16"/>
    </row>
    <row r="33" spans="1:7">
      <c r="A33" s="174" t="s">
        <v>71</v>
      </c>
      <c r="B33" s="35" t="s">
        <v>110</v>
      </c>
      <c r="C33" s="170"/>
      <c r="D33" s="236"/>
      <c r="G33" s="16"/>
    </row>
    <row r="34" spans="1:7">
      <c r="A34" s="174" t="s">
        <v>72</v>
      </c>
      <c r="B34" s="34">
        <f>IF((($B$28-$B$32-$B$39-$B$77-$B$38)*C20/100)&lt;0,0,($B$28-$B$32-$B$39-$B$77-$B$38)*C20/100)</f>
        <v>214.05692599620491</v>
      </c>
      <c r="C34" s="170">
        <f>IF(ISERROR(B34/SUM($B$32,$B$34,$B$35,$B$36,$B$38,$B$39)*100),0,B34/SUM($B$32,$B$34,$B$35,$B$36,$B$38,$B$39)*100)</f>
        <v>4.7716657600580676</v>
      </c>
      <c r="D34" s="236"/>
      <c r="G34" s="16"/>
    </row>
    <row r="35" spans="1:7">
      <c r="A35" s="174" t="s">
        <v>73</v>
      </c>
      <c r="B35" s="34">
        <f>IF((($B$28-$B$32-$B$39-$B$77-$B$38)*C21/100)&lt;0,0,($B$28-$B$32-$B$39-$B$77-$B$38)*C21/100)</f>
        <v>584.12144212523719</v>
      </c>
      <c r="C35" s="170">
        <f>IF(ISERROR(B35/SUM($B$32,$B$34,$B$35,$B$36,$B$38,$B$39)*100),0,B35/SUM($B$32,$B$34,$B$35,$B$36,$B$38,$B$39)*100)</f>
        <v>13.020986226599135</v>
      </c>
      <c r="D35" s="236"/>
      <c r="G35" s="16"/>
    </row>
    <row r="36" spans="1:7">
      <c r="A36" s="174" t="s">
        <v>74</v>
      </c>
      <c r="B36" s="34">
        <f>IF((($B$28-$B$32-$B$39-$B$77-$B$38)*C22/100)&lt;0,0,($B$28-$B$32-$B$39-$B$77-$B$38)*C22/100)</f>
        <v>157.82163187855792</v>
      </c>
      <c r="C36" s="170">
        <f>IF(ISERROR(B36/SUM($B$32,$B$34,$B$35,$B$36,$B$38,$B$39)*100),0,B36/SUM($B$32,$B$34,$B$35,$B$36,$B$38,$B$39)*100)</f>
        <v>3.518092551907221</v>
      </c>
      <c r="D36" s="236"/>
      <c r="G36" s="16"/>
    </row>
    <row r="37" spans="1:7">
      <c r="A37" s="174" t="s">
        <v>75</v>
      </c>
      <c r="B37" s="35" t="s">
        <v>110</v>
      </c>
      <c r="C37" s="170"/>
      <c r="D37" s="176"/>
      <c r="G37" s="16"/>
    </row>
    <row r="38" spans="1:7">
      <c r="A38" s="174" t="s">
        <v>76</v>
      </c>
      <c r="B38" s="34">
        <f>IF((B24-(B29-B18)*0.1)&lt;0,0,B24-(B29-B18)*0.1)</f>
        <v>80</v>
      </c>
      <c r="C38" s="170">
        <f>IF(ISERROR(B38/SUM($B$32,$B$34,$B$35,$B$36,$B$38,$B$39)*100),0,B38/SUM($B$32,$B$34,$B$35,$B$36,$B$38,$B$39)*100)</f>
        <v>1.7833259028087385</v>
      </c>
      <c r="D38" s="237"/>
      <c r="G38" s="16"/>
    </row>
    <row r="39" spans="1:7">
      <c r="A39" s="174" t="s">
        <v>77</v>
      </c>
      <c r="B39" s="34">
        <f>IF((B25-(B29-B18))&lt;0,0,B25-(B29-B18)*0.9)</f>
        <v>922</v>
      </c>
      <c r="C39" s="170">
        <f>IF(ISERROR(B39/SUM($B$32,$B$34,$B$35,$B$36,$B$38,$B$39)*100),0,B39/SUM($B$32,$B$34,$B$35,$B$36,$B$38,$B$39)*100)</f>
        <v>20.552831029870706</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2528</v>
      </c>
      <c r="C44" s="35" t="s">
        <v>110</v>
      </c>
      <c r="D44" s="177"/>
    </row>
    <row r="45" spans="1:7">
      <c r="A45" s="174" t="s">
        <v>71</v>
      </c>
      <c r="B45" s="34" t="str">
        <f t="shared" si="0"/>
        <v>-</v>
      </c>
      <c r="C45" s="35" t="s">
        <v>110</v>
      </c>
      <c r="D45" s="177"/>
    </row>
    <row r="46" spans="1:7">
      <c r="A46" s="174" t="s">
        <v>72</v>
      </c>
      <c r="B46" s="34">
        <f t="shared" si="0"/>
        <v>214.05692599620491</v>
      </c>
      <c r="C46" s="35" t="s">
        <v>110</v>
      </c>
      <c r="D46" s="177"/>
    </row>
    <row r="47" spans="1:7">
      <c r="A47" s="174" t="s">
        <v>73</v>
      </c>
      <c r="B47" s="34">
        <f t="shared" si="0"/>
        <v>584.12144212523719</v>
      </c>
      <c r="C47" s="35" t="s">
        <v>110</v>
      </c>
      <c r="D47" s="177"/>
    </row>
    <row r="48" spans="1:7">
      <c r="A48" s="174" t="s">
        <v>74</v>
      </c>
      <c r="B48" s="34">
        <f t="shared" si="0"/>
        <v>157.82163187855792</v>
      </c>
      <c r="C48" s="34">
        <f>B48*10</f>
        <v>1578.2163187855792</v>
      </c>
      <c r="D48" s="237"/>
    </row>
    <row r="49" spans="1:6">
      <c r="A49" s="174" t="s">
        <v>75</v>
      </c>
      <c r="B49" s="34" t="str">
        <f t="shared" si="0"/>
        <v>-</v>
      </c>
      <c r="C49" s="35" t="s">
        <v>110</v>
      </c>
      <c r="D49" s="237"/>
    </row>
    <row r="50" spans="1:6">
      <c r="A50" s="174" t="s">
        <v>76</v>
      </c>
      <c r="B50" s="34">
        <f t="shared" si="0"/>
        <v>80</v>
      </c>
      <c r="C50" s="34">
        <f>B50*2</f>
        <v>160</v>
      </c>
      <c r="D50" s="237"/>
    </row>
    <row r="51" spans="1:6">
      <c r="A51" s="174" t="s">
        <v>77</v>
      </c>
      <c r="B51" s="34">
        <f t="shared" si="0"/>
        <v>922</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22</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7</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13443.59529529481</v>
      </c>
      <c r="C5" s="18">
        <f>IF(ISERROR('Eigen informatie GS &amp; warmtenet'!B58),0,'Eigen informatie GS &amp; warmtenet'!B58)</f>
        <v>0</v>
      </c>
      <c r="D5" s="31">
        <f>SUM(D6:D12)</f>
        <v>13582.417616975403</v>
      </c>
      <c r="E5" s="18">
        <f>SUM(E6:E12)</f>
        <v>117.93328580719967</v>
      </c>
      <c r="F5" s="18">
        <f>SUM(F6:F12)</f>
        <v>2689.5412027549155</v>
      </c>
      <c r="G5" s="19"/>
      <c r="H5" s="18"/>
      <c r="I5" s="18"/>
      <c r="J5" s="18">
        <f>SUM(J6:J12)</f>
        <v>0</v>
      </c>
      <c r="K5" s="18"/>
      <c r="L5" s="18"/>
      <c r="M5" s="18"/>
      <c r="N5" s="18">
        <f>SUM(N6:N12)</f>
        <v>871.88714844595256</v>
      </c>
      <c r="O5" s="18">
        <f>B38*B39*B40</f>
        <v>0</v>
      </c>
      <c r="P5" s="18">
        <f>B46*B47*B48/1000-B46*B47*B48/1000/B49</f>
        <v>0</v>
      </c>
      <c r="R5" s="33"/>
    </row>
    <row r="6" spans="1:18">
      <c r="A6" s="33" t="s">
        <v>53</v>
      </c>
      <c r="B6" s="38">
        <f>B26</f>
        <v>1904.44122030786</v>
      </c>
      <c r="C6" s="34"/>
      <c r="D6" s="38">
        <f>IF(ISERROR(TER_kantoor_gas_kWh/1000),0,TER_kantoor_gas_kWh/1000)*0.902</f>
        <v>2921.1840316595631</v>
      </c>
      <c r="E6" s="34">
        <f>$C$26*'E Balans VL '!I12/100/3.6*1000000</f>
        <v>3.1255740267663552</v>
      </c>
      <c r="F6" s="34">
        <f>$C$26*('E Balans VL '!L12+'E Balans VL '!N12)/100/3.6*1000000</f>
        <v>224.48881080571891</v>
      </c>
      <c r="G6" s="35"/>
      <c r="H6" s="34"/>
      <c r="I6" s="34"/>
      <c r="J6" s="34">
        <f>$C$26*('E Balans VL '!D12+'E Balans VL '!E12)/100/3.6*1000000</f>
        <v>0</v>
      </c>
      <c r="K6" s="34"/>
      <c r="L6" s="34"/>
      <c r="M6" s="34"/>
      <c r="N6" s="34">
        <f>$C$26*'E Balans VL '!Y12/100/3.6*1000000</f>
        <v>0.38478333029572293</v>
      </c>
      <c r="O6" s="34"/>
      <c r="P6" s="34"/>
      <c r="R6" s="33"/>
    </row>
    <row r="7" spans="1:18">
      <c r="A7" s="33" t="s">
        <v>52</v>
      </c>
      <c r="B7" s="38">
        <f t="shared" ref="B7:B12" si="0">B27</f>
        <v>723.00022178423103</v>
      </c>
      <c r="C7" s="34"/>
      <c r="D7" s="38">
        <f>IF(ISERROR(TER_horeca_gas_kWh/1000),0,TER_horeca_gas_kWh/1000)*0.902</f>
        <v>768.3244818839396</v>
      </c>
      <c r="E7" s="34">
        <f>$C$27*'E Balans VL '!I9/100/3.6*1000000</f>
        <v>37.518479769041662</v>
      </c>
      <c r="F7" s="34">
        <f>$C$27*('E Balans VL '!L9+'E Balans VL '!N9)/100/3.6*1000000</f>
        <v>164.98917522272254</v>
      </c>
      <c r="G7" s="35"/>
      <c r="H7" s="34"/>
      <c r="I7" s="34"/>
      <c r="J7" s="34">
        <f>$C$27*('E Balans VL '!D9+'E Balans VL '!E9)/100/3.6*1000000</f>
        <v>0</v>
      </c>
      <c r="K7" s="34"/>
      <c r="L7" s="34"/>
      <c r="M7" s="34"/>
      <c r="N7" s="34">
        <f>$C$27*'E Balans VL '!Y9/100/3.6*1000000</f>
        <v>7.6348492091108153E-2</v>
      </c>
      <c r="O7" s="34"/>
      <c r="P7" s="34"/>
      <c r="R7" s="33"/>
    </row>
    <row r="8" spans="1:18">
      <c r="A8" s="6" t="s">
        <v>51</v>
      </c>
      <c r="B8" s="38">
        <f t="shared" si="0"/>
        <v>4161.3085886519702</v>
      </c>
      <c r="C8" s="34"/>
      <c r="D8" s="38">
        <f>IF(ISERROR(TER_handel_gas_kWh/1000),0,TER_handel_gas_kWh/1000)*0.902</f>
        <v>1174.8433369161867</v>
      </c>
      <c r="E8" s="34">
        <f>$C$28*'E Balans VL '!I13/100/3.6*1000000</f>
        <v>22.409158106751587</v>
      </c>
      <c r="F8" s="34">
        <f>$C$28*('E Balans VL '!L13+'E Balans VL '!N13)/100/3.6*1000000</f>
        <v>848.61448417946963</v>
      </c>
      <c r="G8" s="35"/>
      <c r="H8" s="34"/>
      <c r="I8" s="34"/>
      <c r="J8" s="34">
        <f>$C$28*('E Balans VL '!D13+'E Balans VL '!E13)/100/3.6*1000000</f>
        <v>0</v>
      </c>
      <c r="K8" s="34"/>
      <c r="L8" s="34"/>
      <c r="M8" s="34"/>
      <c r="N8" s="34">
        <f>$C$28*'E Balans VL '!Y13/100/3.6*1000000</f>
        <v>20.691990087260923</v>
      </c>
      <c r="O8" s="34"/>
      <c r="P8" s="34"/>
      <c r="R8" s="33"/>
    </row>
    <row r="9" spans="1:18">
      <c r="A9" s="33" t="s">
        <v>50</v>
      </c>
      <c r="B9" s="38">
        <f t="shared" si="0"/>
        <v>151.60680359970499</v>
      </c>
      <c r="C9" s="34"/>
      <c r="D9" s="38">
        <f>IF(ISERROR(TER_gezond_gas_kWh/1000),0,TER_gezond_gas_kWh/1000)*0.902</f>
        <v>141.59686196859056</v>
      </c>
      <c r="E9" s="34">
        <f>$C$29*'E Balans VL '!I10/100/3.6*1000000</f>
        <v>0.15024406643274293</v>
      </c>
      <c r="F9" s="34">
        <f>$C$29*('E Balans VL '!L10+'E Balans VL '!N10)/100/3.6*1000000</f>
        <v>52.603190950632211</v>
      </c>
      <c r="G9" s="35"/>
      <c r="H9" s="34"/>
      <c r="I9" s="34"/>
      <c r="J9" s="34">
        <f>$C$29*('E Balans VL '!D10+'E Balans VL '!E10)/100/3.6*1000000</f>
        <v>0</v>
      </c>
      <c r="K9" s="34"/>
      <c r="L9" s="34"/>
      <c r="M9" s="34"/>
      <c r="N9" s="34">
        <f>$C$29*'E Balans VL '!Y10/100/3.6*1000000</f>
        <v>1.3063826929842288</v>
      </c>
      <c r="O9" s="34"/>
      <c r="P9" s="34"/>
      <c r="R9" s="33"/>
    </row>
    <row r="10" spans="1:18">
      <c r="A10" s="33" t="s">
        <v>49</v>
      </c>
      <c r="B10" s="38">
        <f t="shared" si="0"/>
        <v>841.44276033364201</v>
      </c>
      <c r="C10" s="34"/>
      <c r="D10" s="38">
        <f>IF(ISERROR(TER_ander_gas_kWh/1000),0,TER_ander_gas_kWh/1000)*0.902</f>
        <v>422.09845154589419</v>
      </c>
      <c r="E10" s="34">
        <f>$C$30*'E Balans VL '!I14/100/3.6*1000000</f>
        <v>6.8838427416766397</v>
      </c>
      <c r="F10" s="34">
        <f>$C$30*('E Balans VL '!L14+'E Balans VL '!N14)/100/3.6*1000000</f>
        <v>246.00360656799722</v>
      </c>
      <c r="G10" s="35"/>
      <c r="H10" s="34"/>
      <c r="I10" s="34"/>
      <c r="J10" s="34">
        <f>$C$30*('E Balans VL '!D14+'E Balans VL '!E14)/100/3.6*1000000</f>
        <v>0</v>
      </c>
      <c r="K10" s="34"/>
      <c r="L10" s="34"/>
      <c r="M10" s="34"/>
      <c r="N10" s="34">
        <f>$C$30*'E Balans VL '!Y14/100/3.6*1000000</f>
        <v>485.40206609361144</v>
      </c>
      <c r="O10" s="34"/>
      <c r="P10" s="34"/>
      <c r="R10" s="33"/>
    </row>
    <row r="11" spans="1:18">
      <c r="A11" s="33" t="s">
        <v>54</v>
      </c>
      <c r="B11" s="38">
        <f t="shared" si="0"/>
        <v>133.830879099783</v>
      </c>
      <c r="C11" s="34"/>
      <c r="D11" s="38">
        <f>IF(ISERROR(TER_onderwijs_gas_kWh/1000),0,TER_onderwijs_gas_kWh/1000)*0.902</f>
        <v>1446.1854233931347</v>
      </c>
      <c r="E11" s="34">
        <f>$C$31*'E Balans VL '!I11/100/3.6*1000000</f>
        <v>8.2487706991683993E-2</v>
      </c>
      <c r="F11" s="34">
        <f>$C$31*('E Balans VL '!L11+'E Balans VL '!N11)/100/3.6*1000000</f>
        <v>51.741185206807238</v>
      </c>
      <c r="G11" s="35"/>
      <c r="H11" s="34"/>
      <c r="I11" s="34"/>
      <c r="J11" s="34">
        <f>$C$31*('E Balans VL '!D11+'E Balans VL '!E11)/100/3.6*1000000</f>
        <v>0</v>
      </c>
      <c r="K11" s="34"/>
      <c r="L11" s="34"/>
      <c r="M11" s="34"/>
      <c r="N11" s="34">
        <f>$C$31*'E Balans VL '!Y11/100/3.6*1000000</f>
        <v>0.43532317036654838</v>
      </c>
      <c r="O11" s="34"/>
      <c r="P11" s="34"/>
      <c r="R11" s="33"/>
    </row>
    <row r="12" spans="1:18">
      <c r="A12" s="33" t="s">
        <v>259</v>
      </c>
      <c r="B12" s="38">
        <f t="shared" si="0"/>
        <v>5527.9648215176203</v>
      </c>
      <c r="C12" s="34"/>
      <c r="D12" s="38">
        <f>IF(ISERROR(TER_rest_gas_kWh/1000),0,TER_rest_gas_kWh/1000)*0.902</f>
        <v>6708.1850296080947</v>
      </c>
      <c r="E12" s="34">
        <f>$C$32*'E Balans VL '!I8/100/3.6*1000000</f>
        <v>47.763499389538985</v>
      </c>
      <c r="F12" s="34">
        <f>$C$32*('E Balans VL '!L8+'E Balans VL '!N8)/100/3.6*1000000</f>
        <v>1101.1007498215677</v>
      </c>
      <c r="G12" s="35"/>
      <c r="H12" s="34"/>
      <c r="I12" s="34"/>
      <c r="J12" s="34">
        <f>$C$32*('E Balans VL '!D8+'E Balans VL '!E8)/100/3.6*1000000</f>
        <v>0</v>
      </c>
      <c r="K12" s="34"/>
      <c r="L12" s="34"/>
      <c r="M12" s="34"/>
      <c r="N12" s="34">
        <f>$C$32*'E Balans VL '!Y8/100/3.6*1000000</f>
        <v>363.59025457934268</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13443.59529529481</v>
      </c>
      <c r="C16" s="22">
        <f t="shared" ca="1" si="1"/>
        <v>0</v>
      </c>
      <c r="D16" s="22">
        <f t="shared" ca="1" si="1"/>
        <v>13582.417616975403</v>
      </c>
      <c r="E16" s="22">
        <f t="shared" si="1"/>
        <v>117.93328580719967</v>
      </c>
      <c r="F16" s="22">
        <f t="shared" ca="1" si="1"/>
        <v>2689.5412027549155</v>
      </c>
      <c r="G16" s="22">
        <f t="shared" si="1"/>
        <v>0</v>
      </c>
      <c r="H16" s="22">
        <f t="shared" si="1"/>
        <v>0</v>
      </c>
      <c r="I16" s="22">
        <f t="shared" si="1"/>
        <v>0</v>
      </c>
      <c r="J16" s="22">
        <f t="shared" si="1"/>
        <v>0</v>
      </c>
      <c r="K16" s="22">
        <f t="shared" si="1"/>
        <v>0</v>
      </c>
      <c r="L16" s="22">
        <f t="shared" ca="1" si="1"/>
        <v>0</v>
      </c>
      <c r="M16" s="22">
        <f t="shared" si="1"/>
        <v>0</v>
      </c>
      <c r="N16" s="22">
        <f t="shared" ca="1" si="1"/>
        <v>871.88714844595256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0.20413868259109771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2744.3578328693616</v>
      </c>
      <c r="C20" s="24">
        <f t="shared" ref="C20:P20" ca="1" si="2">C16*C18</f>
        <v>0</v>
      </c>
      <c r="D20" s="24">
        <f t="shared" ca="1" si="2"/>
        <v>2743.6483586290315</v>
      </c>
      <c r="E20" s="24">
        <f t="shared" si="2"/>
        <v>26.770855878234325</v>
      </c>
      <c r="F20" s="24">
        <f t="shared" ca="1" si="2"/>
        <v>718.10750113556253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1904.44122030786</v>
      </c>
      <c r="C26" s="40">
        <f>IF(ISERROR(B26*3.6/1000000/'E Balans VL '!Z12*100),0,B26*3.6/1000000/'E Balans VL '!Z12*100)</f>
        <v>4.0468010197622042E-2</v>
      </c>
      <c r="D26" s="240" t="s">
        <v>703</v>
      </c>
      <c r="F26" s="6"/>
    </row>
    <row r="27" spans="1:18">
      <c r="A27" s="234" t="s">
        <v>52</v>
      </c>
      <c r="B27" s="34">
        <f>IF(ISERROR(TER_horeca_ele_kWh/1000),0,TER_horeca_ele_kWh/1000)</f>
        <v>723.00022178423103</v>
      </c>
      <c r="C27" s="40">
        <f>IF(ISERROR(B27*3.6/1000000/'E Balans VL '!Z9*100),0,B27*3.6/1000000/'E Balans VL '!Z9*100)</f>
        <v>5.6905708390888057E-2</v>
      </c>
      <c r="D27" s="240" t="s">
        <v>703</v>
      </c>
      <c r="F27" s="6"/>
    </row>
    <row r="28" spans="1:18">
      <c r="A28" s="174" t="s">
        <v>51</v>
      </c>
      <c r="B28" s="34">
        <f>IF(ISERROR(TER_handel_ele_kWh/1000),0,TER_handel_ele_kWh/1000)</f>
        <v>4161.3085886519702</v>
      </c>
      <c r="C28" s="40">
        <f>IF(ISERROR(B28*3.6/1000000/'E Balans VL '!Z13*100),0,B28*3.6/1000000/'E Balans VL '!Z13*100)</f>
        <v>0.11656048061257528</v>
      </c>
      <c r="D28" s="240" t="s">
        <v>703</v>
      </c>
      <c r="F28" s="6"/>
    </row>
    <row r="29" spans="1:18">
      <c r="A29" s="234" t="s">
        <v>50</v>
      </c>
      <c r="B29" s="34">
        <f>IF(ISERROR(TER_gezond_ele_kWh/1000),0,TER_gezond_ele_kWh/1000)</f>
        <v>151.60680359970499</v>
      </c>
      <c r="C29" s="40">
        <f>IF(ISERROR(B29*3.6/1000000/'E Balans VL '!Z10*100),0,B29*3.6/1000000/'E Balans VL '!Z10*100)</f>
        <v>1.9395094585508997E-2</v>
      </c>
      <c r="D29" s="240" t="s">
        <v>703</v>
      </c>
      <c r="F29" s="6"/>
    </row>
    <row r="30" spans="1:18">
      <c r="A30" s="234" t="s">
        <v>49</v>
      </c>
      <c r="B30" s="34">
        <f>IF(ISERROR(TER_ander_ele_kWh/1000),0,TER_ander_ele_kWh/1000)</f>
        <v>841.44276033364201</v>
      </c>
      <c r="C30" s="40">
        <f>IF(ISERROR(B30*3.6/1000000/'E Balans VL '!Z14*100),0,B30*3.6/1000000/'E Balans VL '!Z14*100)</f>
        <v>6.2932828352401243E-2</v>
      </c>
      <c r="D30" s="240" t="s">
        <v>703</v>
      </c>
      <c r="F30" s="6"/>
    </row>
    <row r="31" spans="1:18">
      <c r="A31" s="234" t="s">
        <v>54</v>
      </c>
      <c r="B31" s="34">
        <f>IF(ISERROR(TER_onderwijs_ele_kWh/1000),0,TER_onderwijs_ele_kWh/1000)</f>
        <v>133.830879099783</v>
      </c>
      <c r="C31" s="40">
        <f>IF(ISERROR(B31*3.6/1000000/'E Balans VL '!Z11*100),0,B31*3.6/1000000/'E Balans VL '!Z11*100)</f>
        <v>2.8258563477218335E-2</v>
      </c>
      <c r="D31" s="240" t="s">
        <v>703</v>
      </c>
    </row>
    <row r="32" spans="1:18">
      <c r="A32" s="234" t="s">
        <v>259</v>
      </c>
      <c r="B32" s="34">
        <f>IF(ISERROR(TER_rest_ele_kWh/1000),0,TER_rest_ele_kWh/1000)</f>
        <v>5527.9648215176203</v>
      </c>
      <c r="C32" s="40">
        <f>IF(ISERROR(B32*3.6/1000000/'E Balans VL '!Z8*100),0,B32*3.6/1000000/'E Balans VL '!Z8*100)</f>
        <v>4.553899865980246E-2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26034.431221591025</v>
      </c>
      <c r="C5" s="18">
        <f>IF(ISERROR('Eigen informatie GS &amp; warmtenet'!B59),0,'Eigen informatie GS &amp; warmtenet'!B59)</f>
        <v>0</v>
      </c>
      <c r="D5" s="31">
        <f>SUM(D6:D15)</f>
        <v>27907.345036481573</v>
      </c>
      <c r="E5" s="18">
        <f>SUM(E6:E15)</f>
        <v>142.61853987595828</v>
      </c>
      <c r="F5" s="18">
        <f>SUM(F6:F15)</f>
        <v>4782.6697675253508</v>
      </c>
      <c r="G5" s="19"/>
      <c r="H5" s="18"/>
      <c r="I5" s="18"/>
      <c r="J5" s="18">
        <f>SUM(J6:J15)</f>
        <v>51.603914636754197</v>
      </c>
      <c r="K5" s="18"/>
      <c r="L5" s="18"/>
      <c r="M5" s="18"/>
      <c r="N5" s="18">
        <f>SUM(N6:N15)</f>
        <v>668.66474603911297</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228.923674469688</v>
      </c>
      <c r="C8" s="34"/>
      <c r="D8" s="38">
        <f>IF( ISERROR(IND_metaal_Gas_kWH/1000),0,IND_metaal_Gas_kWH/1000)*0.902</f>
        <v>0</v>
      </c>
      <c r="E8" s="34">
        <f>C30*'E Balans VL '!I18/100/3.6*1000000</f>
        <v>2.0847666485210872</v>
      </c>
      <c r="F8" s="34">
        <f>C30*'E Balans VL '!L18/100/3.6*1000000+C30*'E Balans VL '!N18/100/3.6*1000000</f>
        <v>30.193294186308659</v>
      </c>
      <c r="G8" s="35"/>
      <c r="H8" s="34"/>
      <c r="I8" s="34"/>
      <c r="J8" s="41">
        <f>C30*'E Balans VL '!D18/100/3.6*1000000+C30*'E Balans VL '!E18/100/3.6*1000000</f>
        <v>3.7540158760963864</v>
      </c>
      <c r="K8" s="34"/>
      <c r="L8" s="34"/>
      <c r="M8" s="34"/>
      <c r="N8" s="34">
        <f>C30*'E Balans VL '!Y18/100/3.6*1000000</f>
        <v>0.78671972945591251</v>
      </c>
      <c r="O8" s="34"/>
      <c r="P8" s="34"/>
      <c r="R8" s="33"/>
    </row>
    <row r="9" spans="1:18">
      <c r="A9" s="6" t="s">
        <v>32</v>
      </c>
      <c r="B9" s="38">
        <f t="shared" si="0"/>
        <v>2927.22045320693</v>
      </c>
      <c r="C9" s="34"/>
      <c r="D9" s="38">
        <f>IF( ISERROR(IND_andere_gas_kWh/1000),0,IND_andere_gas_kWh/1000)*0.902</f>
        <v>1751.281446570192</v>
      </c>
      <c r="E9" s="34">
        <f>C31*'E Balans VL '!I19/100/3.6*1000000</f>
        <v>16.919771656451076</v>
      </c>
      <c r="F9" s="34">
        <f>C31*'E Balans VL '!L19/100/3.6*1000000+C31*'E Balans VL '!N19/100/3.6*1000000</f>
        <v>2328.7447228005926</v>
      </c>
      <c r="G9" s="35"/>
      <c r="H9" s="34"/>
      <c r="I9" s="34"/>
      <c r="J9" s="41">
        <f>C31*'E Balans VL '!D19/100/3.6*1000000+C31*'E Balans VL '!E19/100/3.6*1000000</f>
        <v>0.27688254022951964</v>
      </c>
      <c r="K9" s="34"/>
      <c r="L9" s="34"/>
      <c r="M9" s="34"/>
      <c r="N9" s="34">
        <f>C31*'E Balans VL '!Y19/100/3.6*1000000</f>
        <v>221.78124785693325</v>
      </c>
      <c r="O9" s="34"/>
      <c r="P9" s="34"/>
      <c r="R9" s="33"/>
    </row>
    <row r="10" spans="1:18">
      <c r="A10" s="6" t="s">
        <v>40</v>
      </c>
      <c r="B10" s="38">
        <f t="shared" si="0"/>
        <v>1469.5527024852502</v>
      </c>
      <c r="C10" s="34"/>
      <c r="D10" s="38">
        <f>IF( ISERROR(IND_voed_gas_kWh/1000),0,IND_voed_gas_kWh/1000)*0.902</f>
        <v>521.45749822759331</v>
      </c>
      <c r="E10" s="34">
        <f>C32*'E Balans VL '!I20/100/3.6*1000000</f>
        <v>14.449547637664649</v>
      </c>
      <c r="F10" s="34">
        <f>C32*'E Balans VL '!L20/100/3.6*1000000+C32*'E Balans VL '!N20/100/3.6*1000000</f>
        <v>163.21300915982727</v>
      </c>
      <c r="G10" s="35"/>
      <c r="H10" s="34"/>
      <c r="I10" s="34"/>
      <c r="J10" s="41">
        <f>C32*'E Balans VL '!D20/100/3.6*1000000+C32*'E Balans VL '!E20/100/3.6*1000000</f>
        <v>5.7921743372781427E-3</v>
      </c>
      <c r="K10" s="34"/>
      <c r="L10" s="34"/>
      <c r="M10" s="34"/>
      <c r="N10" s="34">
        <f>C32*'E Balans VL '!Y20/100/3.6*1000000</f>
        <v>21.760618771481905</v>
      </c>
      <c r="O10" s="34"/>
      <c r="P10" s="34"/>
      <c r="R10" s="33"/>
    </row>
    <row r="11" spans="1:18">
      <c r="A11" s="6" t="s">
        <v>39</v>
      </c>
      <c r="B11" s="38">
        <f t="shared" si="0"/>
        <v>11921.699504115901</v>
      </c>
      <c r="C11" s="34"/>
      <c r="D11" s="38">
        <f>IF( ISERROR(IND_textiel_gas_kWh/1000),0,IND_textiel_gas_kWh/1000)*0.902</f>
        <v>0</v>
      </c>
      <c r="E11" s="34">
        <f>C33*'E Balans VL '!I21/100/3.6*1000000</f>
        <v>23.214317234754891</v>
      </c>
      <c r="F11" s="34">
        <f>C33*'E Balans VL '!L21/100/3.6*1000000+C33*'E Balans VL '!N21/100/3.6*1000000</f>
        <v>393.21677074537251</v>
      </c>
      <c r="G11" s="35"/>
      <c r="H11" s="34"/>
      <c r="I11" s="34"/>
      <c r="J11" s="41">
        <f>C33*'E Balans VL '!D21/100/3.6*1000000+C33*'E Balans VL '!E21/100/3.6*1000000</f>
        <v>0</v>
      </c>
      <c r="K11" s="34"/>
      <c r="L11" s="34"/>
      <c r="M11" s="34"/>
      <c r="N11" s="34">
        <f>C33*'E Balans VL '!Y21/100/3.6*1000000</f>
        <v>123.65938004102041</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28.0180237265606</v>
      </c>
      <c r="C13" s="34"/>
      <c r="D13" s="38">
        <f>IF( ISERROR(IND_papier_gas_kWh/1000),0,IND_papier_gas_kWh/1000)*0.902</f>
        <v>34.611476593513302</v>
      </c>
      <c r="E13" s="34">
        <f>C35*'E Balans VL '!I23/100/3.6*1000000</f>
        <v>0.95433451163464611</v>
      </c>
      <c r="F13" s="34">
        <f>C35*'E Balans VL '!L23/100/3.6*1000000+C35*'E Balans VL '!N23/100/3.6*1000000</f>
        <v>4.6279199507654916</v>
      </c>
      <c r="G13" s="35"/>
      <c r="H13" s="34"/>
      <c r="I13" s="34"/>
      <c r="J13" s="41">
        <f>C35*'E Balans VL '!D23/100/3.6*1000000+C35*'E Balans VL '!E23/100/3.6*1000000</f>
        <v>0</v>
      </c>
      <c r="K13" s="34"/>
      <c r="L13" s="34"/>
      <c r="M13" s="34"/>
      <c r="N13" s="34">
        <f>C35*'E Balans VL '!Y23/100/3.6*1000000</f>
        <v>10.309881346225371</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9459.0168635866994</v>
      </c>
      <c r="C15" s="34"/>
      <c r="D15" s="38">
        <f>IF( ISERROR(IND_rest_gas_kWh/1000),0,IND_rest_gas_kWh/1000)*0.902</f>
        <v>25599.994615090272</v>
      </c>
      <c r="E15" s="34">
        <f>C37*'E Balans VL '!I15/100/3.6*1000000</f>
        <v>84.99580218693194</v>
      </c>
      <c r="F15" s="34">
        <f>C37*'E Balans VL '!L15/100/3.6*1000000+C37*'E Balans VL '!N15/100/3.6*1000000</f>
        <v>1862.6740506824844</v>
      </c>
      <c r="G15" s="35"/>
      <c r="H15" s="34"/>
      <c r="I15" s="34"/>
      <c r="J15" s="41">
        <f>C37*'E Balans VL '!D15/100/3.6*1000000+C37*'E Balans VL '!E15/100/3.6*1000000</f>
        <v>47.567224046091013</v>
      </c>
      <c r="K15" s="34"/>
      <c r="L15" s="34"/>
      <c r="M15" s="34"/>
      <c r="N15" s="34">
        <f>C37*'E Balans VL '!Y15/100/3.6*1000000</f>
        <v>290.36689829399614</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26034.431221591025</v>
      </c>
      <c r="C18" s="22">
        <f>C5+C16</f>
        <v>0</v>
      </c>
      <c r="D18" s="22">
        <f>MAX((D5+D16),0)</f>
        <v>27907.345036481573</v>
      </c>
      <c r="E18" s="22">
        <f>MAX((E5+E16),0)</f>
        <v>142.61853987595828</v>
      </c>
      <c r="F18" s="22">
        <f>MAX((F5+F16),0)</f>
        <v>4782.6697675253508</v>
      </c>
      <c r="G18" s="22"/>
      <c r="H18" s="22"/>
      <c r="I18" s="22"/>
      <c r="J18" s="22">
        <f>MAX((J5+J16),0)</f>
        <v>51.603914636754197</v>
      </c>
      <c r="K18" s="22"/>
      <c r="L18" s="22">
        <f>MAX((L5+L16),0)</f>
        <v>0</v>
      </c>
      <c r="M18" s="22"/>
      <c r="N18" s="22">
        <f>MAX((N5+N16),0)</f>
        <v>668.66474603911297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0.20413868259109771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5314.6344915841346</v>
      </c>
      <c r="C22" s="24">
        <f ca="1">C18*C20</f>
        <v>0</v>
      </c>
      <c r="D22" s="24">
        <f>D18*D20</f>
        <v>5637.2836973692783</v>
      </c>
      <c r="E22" s="24">
        <f>E18*E20</f>
        <v>32.374408551842528</v>
      </c>
      <c r="F22" s="24">
        <f>F18*F20</f>
        <v>1276.9728279292688</v>
      </c>
      <c r="G22" s="24"/>
      <c r="H22" s="24"/>
      <c r="I22" s="24"/>
      <c r="J22" s="24">
        <f>J18*J20</f>
        <v>18.267785781410986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228.923674469688</v>
      </c>
      <c r="C30" s="40">
        <f>IF(ISERROR(B30*3.6/1000000/'E Balans VL '!Z18*100),0,B30*3.6/1000000/'E Balans VL '!Z18*100)</f>
        <v>1.2738071684760819E-2</v>
      </c>
      <c r="D30" s="240" t="s">
        <v>703</v>
      </c>
    </row>
    <row r="31" spans="1:18">
      <c r="A31" s="6" t="s">
        <v>32</v>
      </c>
      <c r="B31" s="38">
        <f>IF( ISERROR(IND_ander_ele_kWh/1000),0,IND_ander_ele_kWh/1000)</f>
        <v>2927.22045320693</v>
      </c>
      <c r="C31" s="40">
        <f>IF(ISERROR(B31*3.6/1000000/'E Balans VL '!Z19*100),0,B31*3.6/1000000/'E Balans VL '!Z19*100)</f>
        <v>0.13607879110256255</v>
      </c>
      <c r="D31" s="240" t="s">
        <v>703</v>
      </c>
    </row>
    <row r="32" spans="1:18">
      <c r="A32" s="174" t="s">
        <v>40</v>
      </c>
      <c r="B32" s="38">
        <f>IF( ISERROR(IND_voed_ele_kWh/1000),0,IND_voed_ele_kWh/1000)</f>
        <v>1469.5527024852502</v>
      </c>
      <c r="C32" s="40">
        <f>IF(ISERROR(B32*3.6/1000000/'E Balans VL '!Z20*100),0,B32*3.6/1000000/'E Balans VL '!Z20*100)</f>
        <v>5.1945720145479594E-2</v>
      </c>
      <c r="D32" s="240" t="s">
        <v>703</v>
      </c>
    </row>
    <row r="33" spans="1:5">
      <c r="A33" s="174" t="s">
        <v>39</v>
      </c>
      <c r="B33" s="38">
        <f>IF( ISERROR(IND_textiel_ele_kWh/1000),0,IND_textiel_ele_kWh/1000)</f>
        <v>11921.699504115901</v>
      </c>
      <c r="C33" s="40">
        <f>IF(ISERROR(B33*3.6/1000000/'E Balans VL '!Z21*100),0,B33*3.6/1000000/'E Balans VL '!Z21*100)</f>
        <v>1.6102064171435362</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28.0180237265606</v>
      </c>
      <c r="C35" s="40">
        <f>IF(ISERROR(B35*3.6/1000000/'E Balans VL '!Z22*100),0,B35*3.6/1000000/'E Balans VL '!Z22*100)</f>
        <v>5.6308326874617868E-3</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9459.0168635866994</v>
      </c>
      <c r="C37" s="40">
        <f>IF(ISERROR(B37*3.6/1000000/'E Balans VL '!Z15*100),0,B37*3.6/1000000/'E Balans VL '!Z15*100)</f>
        <v>7.1429550400926078E-2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3752.7954995478158</v>
      </c>
      <c r="C5" s="18">
        <f>'Eigen informatie GS &amp; warmtenet'!B60</f>
        <v>0</v>
      </c>
      <c r="D5" s="31">
        <f>IF(ISERROR(SUM(LB_lb_gas_kWh,LB_rest_gas_kWh)/1000),0,SUM(LB_lb_gas_kWh,LB_rest_gas_kWh)/1000)*0.902</f>
        <v>126.2362547817538</v>
      </c>
      <c r="E5" s="18">
        <f>B17*'E Balans VL '!I25/3.6*1000000/100</f>
        <v>35.35384806120706</v>
      </c>
      <c r="F5" s="18">
        <f>B17*('E Balans VL '!L25/3.6*1000000+'E Balans VL '!N25/3.6*1000000)/100</f>
        <v>12246.61715847192</v>
      </c>
      <c r="G5" s="19"/>
      <c r="H5" s="18"/>
      <c r="I5" s="18"/>
      <c r="J5" s="18">
        <f>('E Balans VL '!D25+'E Balans VL '!E25)/3.6*1000000*landbouw!B17/100</f>
        <v>464.23905688786834</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3752.7954995478158</v>
      </c>
      <c r="C8" s="22">
        <f>C5+C6</f>
        <v>0</v>
      </c>
      <c r="D8" s="22">
        <f>MAX((D5+D6),0)</f>
        <v>126.2362547817538</v>
      </c>
      <c r="E8" s="22">
        <f>MAX((E5+E6),0)</f>
        <v>35.35384806120706</v>
      </c>
      <c r="F8" s="22">
        <f>MAX((F5+F6),0)</f>
        <v>12246.61715847192</v>
      </c>
      <c r="G8" s="22"/>
      <c r="H8" s="22"/>
      <c r="I8" s="22"/>
      <c r="J8" s="22">
        <f>MAX((J5+J6),0)</f>
        <v>464.23905688786834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0.20413868259109771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766.0907293114916</v>
      </c>
      <c r="C12" s="24">
        <f ca="1">C8*C10</f>
        <v>0</v>
      </c>
      <c r="D12" s="24">
        <f>D8*D10</f>
        <v>25.499723465914268</v>
      </c>
      <c r="E12" s="24">
        <f>E8*E10</f>
        <v>8.0253235098940028</v>
      </c>
      <c r="F12" s="24">
        <f>F8*F10</f>
        <v>3269.8467813120028</v>
      </c>
      <c r="G12" s="24"/>
      <c r="H12" s="24"/>
      <c r="I12" s="24"/>
      <c r="J12" s="24">
        <f>J8*J10</f>
        <v>164.3406261383054</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0.50806854288367898</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316.49659257768582</v>
      </c>
      <c r="C26" s="250">
        <f>B26*'GWP N2O_CH4'!B5</f>
        <v>6646.4284441314021</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286.37842151315328</v>
      </c>
      <c r="C27" s="250">
        <f>B27*'GWP N2O_CH4'!B5</f>
        <v>6013.9468517762189</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5.2674845609706908</v>
      </c>
      <c r="C28" s="250">
        <f>B28*'GWP N2O_CH4'!B4</f>
        <v>1632.9202139009142</v>
      </c>
      <c r="D28" s="51"/>
    </row>
    <row r="29" spans="1:4">
      <c r="A29" s="42" t="s">
        <v>276</v>
      </c>
      <c r="B29" s="250">
        <f>B34*'ha_N2O bodem landbouw'!B4</f>
        <v>10.655684898199381</v>
      </c>
      <c r="C29" s="250">
        <f>B29*'GWP N2O_CH4'!B4</f>
        <v>3303.262318441808</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2.8766994787098924E-3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3.63510482253814E-6</v>
      </c>
      <c r="C5" s="443" t="s">
        <v>210</v>
      </c>
      <c r="D5" s="428">
        <f>SUM(D6:D11)</f>
        <v>9.5012832302920327E-6</v>
      </c>
      <c r="E5" s="428">
        <f>SUM(E6:E11)</f>
        <v>5.9359112270536917E-4</v>
      </c>
      <c r="F5" s="441" t="s">
        <v>210</v>
      </c>
      <c r="G5" s="428">
        <f>SUM(G6:G11)</f>
        <v>0.14428796333708183</v>
      </c>
      <c r="H5" s="428">
        <f>SUM(H6:H11)</f>
        <v>2.3928792856859879E-2</v>
      </c>
      <c r="I5" s="443" t="s">
        <v>210</v>
      </c>
      <c r="J5" s="443" t="s">
        <v>210</v>
      </c>
      <c r="K5" s="443" t="s">
        <v>210</v>
      </c>
      <c r="L5" s="443" t="s">
        <v>210</v>
      </c>
      <c r="M5" s="428">
        <f>SUM(M6:M11)</f>
        <v>7.5162561866784112E-3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2.1136050234201699E-6</v>
      </c>
      <c r="C6" s="429"/>
      <c r="D6" s="429">
        <f>vkm_GW_PW*SUMIFS(TableVerdeelsleutelVkm[CNG],TableVerdeelsleutelVkm[Voertuigtype],"Lichte voertuigen")*SUMIFS(TableECFTransport[EnergieConsumptieFactor (PJ per km)],TableECFTransport[Index],CONCATENATE($A6,"_CNG_CNG"))</f>
        <v>4.2763783391447399E-6</v>
      </c>
      <c r="E6" s="431">
        <f>vkm_GW_PW*SUMIFS(TableVerdeelsleutelVkm[LPG],TableVerdeelsleutelVkm[Voertuigtype],"Lichte voertuigen")*SUMIFS(TableECFTransport[EnergieConsumptieFactor (PJ per km)],TableECFTransport[Index],CONCATENATE($A6,"_LPG_LPG"))</f>
        <v>2.7608021848587468E-4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4.4084715632707647E-2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1.1046842814787166E-2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2.4675870267988707E-3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2.9246972301430151E-2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7.9995389603135675E-7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1.3013955525309174E-3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1.5214997991179701E-6</v>
      </c>
      <c r="C8" s="429"/>
      <c r="D8" s="431">
        <f>vkm_NGW_PW*SUMIFS(TableVerdeelsleutelVkm[CNG],TableVerdeelsleutelVkm[Voertuigtype],"Lichte voertuigen")*SUMIFS(TableECFTransport[EnergieConsumptieFactor (PJ per km)],TableECFTransport[Index],CONCATENATE($A8,"_CNG_CNG"))</f>
        <v>5.2249048911472929E-6</v>
      </c>
      <c r="E8" s="431">
        <f>vkm_NGW_PW*SUMIFS(TableVerdeelsleutelVkm[LPG],TableVerdeelsleutelVkm[Voertuigtype],"Lichte voertuigen")*SUMIFS(TableECFTransport[EnergieConsumptieFactor (PJ per km)],TableECFTransport[Index],CONCATENATE($A8,"_LPG_LPG"))</f>
        <v>3.1751090421949449E-4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4.8265711343650944E-2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1.2880429360283073E-2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2.7376124036466248E-3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2.269056405929307E-2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7.2072789360832287E-7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1.0096612037019982E-3</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1.0097513395939277</v>
      </c>
      <c r="C14" s="22"/>
      <c r="D14" s="22">
        <f t="shared" ref="D14:M14" si="0">((D5)*10^9/3600)+D12</f>
        <v>2.6392453417477868</v>
      </c>
      <c r="E14" s="22">
        <f t="shared" si="0"/>
        <v>164.88642297371365</v>
      </c>
      <c r="F14" s="22"/>
      <c r="G14" s="22">
        <f t="shared" si="0"/>
        <v>40079.989815856061</v>
      </c>
      <c r="H14" s="22">
        <f t="shared" si="0"/>
        <v>6646.8869046832997</v>
      </c>
      <c r="I14" s="22"/>
      <c r="J14" s="22"/>
      <c r="K14" s="22"/>
      <c r="L14" s="22"/>
      <c r="M14" s="22">
        <f t="shared" si="0"/>
        <v>2087.8489407440034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0.20413868259109771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0.20612930820930053</v>
      </c>
      <c r="C18" s="24"/>
      <c r="D18" s="24">
        <f t="shared" ref="D18:M18" si="1">D14*D16</f>
        <v>0.53312755903305298</v>
      </c>
      <c r="E18" s="24">
        <f t="shared" si="1"/>
        <v>37.429218015033001</v>
      </c>
      <c r="F18" s="24"/>
      <c r="G18" s="24">
        <f t="shared" si="1"/>
        <v>10701.357280833568</v>
      </c>
      <c r="H18" s="24">
        <f t="shared" si="1"/>
        <v>1655.0748392661417</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1.5177739231338136E-3</v>
      </c>
      <c r="H50" s="321">
        <f t="shared" si="2"/>
        <v>0</v>
      </c>
      <c r="I50" s="321">
        <f t="shared" si="2"/>
        <v>0</v>
      </c>
      <c r="J50" s="321">
        <f t="shared" si="2"/>
        <v>0</v>
      </c>
      <c r="K50" s="321">
        <f t="shared" si="2"/>
        <v>0</v>
      </c>
      <c r="L50" s="321">
        <f t="shared" si="2"/>
        <v>0</v>
      </c>
      <c r="M50" s="321">
        <f t="shared" si="2"/>
        <v>6.6594103609757661E-5</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1.5177739231338136E-3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6.6594103609757661E-5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421.6038675371704</v>
      </c>
      <c r="H54" s="22">
        <f t="shared" si="3"/>
        <v>0</v>
      </c>
      <c r="I54" s="22">
        <f t="shared" si="3"/>
        <v>0</v>
      </c>
      <c r="J54" s="22">
        <f t="shared" si="3"/>
        <v>0</v>
      </c>
      <c r="K54" s="22">
        <f t="shared" si="3"/>
        <v>0</v>
      </c>
      <c r="L54" s="22">
        <f t="shared" si="3"/>
        <v>0</v>
      </c>
      <c r="M54" s="22">
        <f t="shared" si="3"/>
        <v>18.498362113821571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0.20413868259109771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112.5682326324245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14266.117295294811</v>
      </c>
      <c r="D10" s="684">
        <f ca="1">tertiair!C16</f>
        <v>0</v>
      </c>
      <c r="E10" s="684">
        <f ca="1">tertiair!D16</f>
        <v>13582.417616975403</v>
      </c>
      <c r="F10" s="684">
        <f>tertiair!E16</f>
        <v>117.93328580719967</v>
      </c>
      <c r="G10" s="684">
        <f ca="1">tertiair!F16</f>
        <v>2689.5412027549155</v>
      </c>
      <c r="H10" s="684">
        <f>tertiair!G16</f>
        <v>0</v>
      </c>
      <c r="I10" s="684">
        <f>tertiair!H16</f>
        <v>0</v>
      </c>
      <c r="J10" s="684">
        <f>tertiair!I16</f>
        <v>0</v>
      </c>
      <c r="K10" s="684">
        <f>tertiair!J16</f>
        <v>0</v>
      </c>
      <c r="L10" s="684">
        <f>tertiair!K16</f>
        <v>0</v>
      </c>
      <c r="M10" s="684">
        <f ca="1">tertiair!L16</f>
        <v>0</v>
      </c>
      <c r="N10" s="684">
        <f>tertiair!M16</f>
        <v>0</v>
      </c>
      <c r="O10" s="684">
        <f ca="1">tertiair!N16</f>
        <v>871.88714844595256</v>
      </c>
      <c r="P10" s="684">
        <f>tertiair!O16</f>
        <v>0</v>
      </c>
      <c r="Q10" s="685">
        <f>tertiair!P16</f>
        <v>0</v>
      </c>
      <c r="R10" s="687">
        <f ca="1">SUM(C10:Q10)</f>
        <v>31527.896549278281</v>
      </c>
      <c r="S10" s="68"/>
    </row>
    <row r="11" spans="1:19" s="453" customFormat="1">
      <c r="A11" s="799" t="s">
        <v>224</v>
      </c>
      <c r="B11" s="804"/>
      <c r="C11" s="684">
        <f>huishoudens!B8</f>
        <v>19778.482223467996</v>
      </c>
      <c r="D11" s="684">
        <f>huishoudens!C8</f>
        <v>0</v>
      </c>
      <c r="E11" s="684">
        <f>huishoudens!D8</f>
        <v>38221.503393661966</v>
      </c>
      <c r="F11" s="684">
        <f>huishoudens!E8</f>
        <v>4530.3792035291644</v>
      </c>
      <c r="G11" s="684">
        <f>huishoudens!F8</f>
        <v>19429.990190489119</v>
      </c>
      <c r="H11" s="684">
        <f>huishoudens!G8</f>
        <v>0</v>
      </c>
      <c r="I11" s="684">
        <f>huishoudens!H8</f>
        <v>0</v>
      </c>
      <c r="J11" s="684">
        <f>huishoudens!I8</f>
        <v>0</v>
      </c>
      <c r="K11" s="684">
        <f>huishoudens!J8</f>
        <v>2542.5146992418549</v>
      </c>
      <c r="L11" s="684">
        <f>huishoudens!K8</f>
        <v>0</v>
      </c>
      <c r="M11" s="684">
        <f>huishoudens!L8</f>
        <v>0</v>
      </c>
      <c r="N11" s="684">
        <f>huishoudens!M8</f>
        <v>0</v>
      </c>
      <c r="O11" s="684">
        <f>huishoudens!N8</f>
        <v>11351.709849448609</v>
      </c>
      <c r="P11" s="684">
        <f>huishoudens!O8</f>
        <v>34.393333333333338</v>
      </c>
      <c r="Q11" s="685">
        <f>huishoudens!P8</f>
        <v>133.46666666666667</v>
      </c>
      <c r="R11" s="687">
        <f>SUM(C11:Q11)</f>
        <v>96022.439559838705</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26034.431221591025</v>
      </c>
      <c r="D13" s="684">
        <f>industrie!C18</f>
        <v>0</v>
      </c>
      <c r="E13" s="684">
        <f>industrie!D18</f>
        <v>27907.345036481573</v>
      </c>
      <c r="F13" s="684">
        <f>industrie!E18</f>
        <v>142.61853987595828</v>
      </c>
      <c r="G13" s="684">
        <f>industrie!F18</f>
        <v>4782.6697675253508</v>
      </c>
      <c r="H13" s="684">
        <f>industrie!G18</f>
        <v>0</v>
      </c>
      <c r="I13" s="684">
        <f>industrie!H18</f>
        <v>0</v>
      </c>
      <c r="J13" s="684">
        <f>industrie!I18</f>
        <v>0</v>
      </c>
      <c r="K13" s="684">
        <f>industrie!J18</f>
        <v>51.603914636754197</v>
      </c>
      <c r="L13" s="684">
        <f>industrie!K18</f>
        <v>0</v>
      </c>
      <c r="M13" s="684">
        <f>industrie!L18</f>
        <v>0</v>
      </c>
      <c r="N13" s="684">
        <f>industrie!M18</f>
        <v>0</v>
      </c>
      <c r="O13" s="684">
        <f>industrie!N18</f>
        <v>668.66474603911297</v>
      </c>
      <c r="P13" s="684">
        <f>industrie!O18</f>
        <v>0</v>
      </c>
      <c r="Q13" s="685">
        <f>industrie!P18</f>
        <v>0</v>
      </c>
      <c r="R13" s="687">
        <f>SUM(C13:Q13)</f>
        <v>59587.333226149771</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60079.030740353832</v>
      </c>
      <c r="D16" s="717">
        <f t="shared" ref="D16:R16" ca="1" si="0">SUM(D9:D15)</f>
        <v>0</v>
      </c>
      <c r="E16" s="717">
        <f t="shared" ca="1" si="0"/>
        <v>79711.26604711893</v>
      </c>
      <c r="F16" s="717">
        <f t="shared" si="0"/>
        <v>4790.9310292123218</v>
      </c>
      <c r="G16" s="717">
        <f t="shared" ca="1" si="0"/>
        <v>26902.201160769386</v>
      </c>
      <c r="H16" s="717">
        <f t="shared" si="0"/>
        <v>0</v>
      </c>
      <c r="I16" s="717">
        <f t="shared" si="0"/>
        <v>0</v>
      </c>
      <c r="J16" s="717">
        <f t="shared" si="0"/>
        <v>0</v>
      </c>
      <c r="K16" s="717">
        <f t="shared" si="0"/>
        <v>2594.1186138786093</v>
      </c>
      <c r="L16" s="717">
        <f t="shared" si="0"/>
        <v>0</v>
      </c>
      <c r="M16" s="717">
        <f t="shared" ca="1" si="0"/>
        <v>0</v>
      </c>
      <c r="N16" s="717">
        <f t="shared" si="0"/>
        <v>0</v>
      </c>
      <c r="O16" s="717">
        <f t="shared" ca="1" si="0"/>
        <v>12892.261743933674</v>
      </c>
      <c r="P16" s="717">
        <f t="shared" si="0"/>
        <v>34.393333333333338</v>
      </c>
      <c r="Q16" s="717">
        <f t="shared" si="0"/>
        <v>133.46666666666667</v>
      </c>
      <c r="R16" s="717">
        <f t="shared" ca="1" si="0"/>
        <v>187137.66933526675</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421.6038675371704</v>
      </c>
      <c r="I19" s="684">
        <f>transport!H54</f>
        <v>0</v>
      </c>
      <c r="J19" s="684">
        <f>transport!I54</f>
        <v>0</v>
      </c>
      <c r="K19" s="684">
        <f>transport!J54</f>
        <v>0</v>
      </c>
      <c r="L19" s="684">
        <f>transport!K54</f>
        <v>0</v>
      </c>
      <c r="M19" s="684">
        <f>transport!L54</f>
        <v>0</v>
      </c>
      <c r="N19" s="684">
        <f>transport!M54</f>
        <v>18.498362113821571</v>
      </c>
      <c r="O19" s="684">
        <f>transport!N54</f>
        <v>0</v>
      </c>
      <c r="P19" s="684">
        <f>transport!O54</f>
        <v>0</v>
      </c>
      <c r="Q19" s="685">
        <f>transport!P54</f>
        <v>0</v>
      </c>
      <c r="R19" s="687">
        <f>SUM(C19:Q19)</f>
        <v>440.10222965099194</v>
      </c>
      <c r="S19" s="68"/>
    </row>
    <row r="20" spans="1:19" s="453" customFormat="1">
      <c r="A20" s="799" t="s">
        <v>306</v>
      </c>
      <c r="B20" s="804"/>
      <c r="C20" s="684">
        <f>transport!B14</f>
        <v>1.0097513395939277</v>
      </c>
      <c r="D20" s="684">
        <f>transport!C14</f>
        <v>0</v>
      </c>
      <c r="E20" s="684">
        <f>transport!D14</f>
        <v>2.6392453417477868</v>
      </c>
      <c r="F20" s="684">
        <f>transport!E14</f>
        <v>164.88642297371365</v>
      </c>
      <c r="G20" s="684">
        <f>transport!F14</f>
        <v>0</v>
      </c>
      <c r="H20" s="684">
        <f>transport!G14</f>
        <v>40079.989815856061</v>
      </c>
      <c r="I20" s="684">
        <f>transport!H14</f>
        <v>6646.8869046832997</v>
      </c>
      <c r="J20" s="684">
        <f>transport!I14</f>
        <v>0</v>
      </c>
      <c r="K20" s="684">
        <f>transport!J14</f>
        <v>0</v>
      </c>
      <c r="L20" s="684">
        <f>transport!K14</f>
        <v>0</v>
      </c>
      <c r="M20" s="684">
        <f>transport!L14</f>
        <v>0</v>
      </c>
      <c r="N20" s="684">
        <f>transport!M14</f>
        <v>2087.8489407440034</v>
      </c>
      <c r="O20" s="684">
        <f>transport!N14</f>
        <v>0</v>
      </c>
      <c r="P20" s="684">
        <f>transport!O14</f>
        <v>0</v>
      </c>
      <c r="Q20" s="685">
        <f>transport!P14</f>
        <v>0</v>
      </c>
      <c r="R20" s="687">
        <f>SUM(C20:Q20)</f>
        <v>48983.26108093842</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1.0097513395939277</v>
      </c>
      <c r="D22" s="802">
        <f t="shared" ref="D22:R22" si="1">SUM(D18:D21)</f>
        <v>0</v>
      </c>
      <c r="E22" s="802">
        <f t="shared" si="1"/>
        <v>2.6392453417477868</v>
      </c>
      <c r="F22" s="802">
        <f t="shared" si="1"/>
        <v>164.88642297371365</v>
      </c>
      <c r="G22" s="802">
        <f t="shared" si="1"/>
        <v>0</v>
      </c>
      <c r="H22" s="802">
        <f t="shared" si="1"/>
        <v>40501.593683393228</v>
      </c>
      <c r="I22" s="802">
        <f t="shared" si="1"/>
        <v>6646.8869046832997</v>
      </c>
      <c r="J22" s="802">
        <f t="shared" si="1"/>
        <v>0</v>
      </c>
      <c r="K22" s="802">
        <f t="shared" si="1"/>
        <v>0</v>
      </c>
      <c r="L22" s="802">
        <f t="shared" si="1"/>
        <v>0</v>
      </c>
      <c r="M22" s="802">
        <f t="shared" si="1"/>
        <v>0</v>
      </c>
      <c r="N22" s="802">
        <f t="shared" si="1"/>
        <v>2106.3473028578251</v>
      </c>
      <c r="O22" s="802">
        <f t="shared" si="1"/>
        <v>0</v>
      </c>
      <c r="P22" s="802">
        <f t="shared" si="1"/>
        <v>0</v>
      </c>
      <c r="Q22" s="802">
        <f t="shared" si="1"/>
        <v>0</v>
      </c>
      <c r="R22" s="802">
        <f t="shared" si="1"/>
        <v>49423.363310589411</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3752.7954995478158</v>
      </c>
      <c r="D24" s="684">
        <f>+landbouw!C8</f>
        <v>0</v>
      </c>
      <c r="E24" s="684">
        <f>+landbouw!D8</f>
        <v>126.2362547817538</v>
      </c>
      <c r="F24" s="684">
        <f>+landbouw!E8</f>
        <v>35.35384806120706</v>
      </c>
      <c r="G24" s="684">
        <f>+landbouw!F8</f>
        <v>12246.61715847192</v>
      </c>
      <c r="H24" s="684">
        <f>+landbouw!G8</f>
        <v>0</v>
      </c>
      <c r="I24" s="684">
        <f>+landbouw!H8</f>
        <v>0</v>
      </c>
      <c r="J24" s="684">
        <f>+landbouw!I8</f>
        <v>0</v>
      </c>
      <c r="K24" s="684">
        <f>+landbouw!J8</f>
        <v>464.23905688786834</v>
      </c>
      <c r="L24" s="684">
        <f>+landbouw!K8</f>
        <v>0</v>
      </c>
      <c r="M24" s="684">
        <f>+landbouw!L8</f>
        <v>0</v>
      </c>
      <c r="N24" s="684">
        <f>+landbouw!M8</f>
        <v>0</v>
      </c>
      <c r="O24" s="684">
        <f>+landbouw!N8</f>
        <v>0</v>
      </c>
      <c r="P24" s="684">
        <f>+landbouw!O8</f>
        <v>0</v>
      </c>
      <c r="Q24" s="685">
        <f>+landbouw!P8</f>
        <v>0</v>
      </c>
      <c r="R24" s="687">
        <f>SUM(C24:Q24)</f>
        <v>16625.241817750564</v>
      </c>
      <c r="S24" s="68"/>
    </row>
    <row r="25" spans="1:19" s="453" customFormat="1" ht="15" thickBot="1">
      <c r="A25" s="821" t="s">
        <v>896</v>
      </c>
      <c r="B25" s="990"/>
      <c r="C25" s="991">
        <f>IF(Onbekend_ele_kWh="---",0,Onbekend_ele_kWh)/1000+IF(REST_rest_ele_kWh="---",0,REST_rest_ele_kWh)/1000</f>
        <v>661.67896919328405</v>
      </c>
      <c r="D25" s="991"/>
      <c r="E25" s="991">
        <f>IF(onbekend_gas_kWh="---",0,onbekend_gas_kWh)/1000+IF(REST_rest_gas_kWh="---",0,REST_rest_gas_kWh)/1000</f>
        <v>1430.52085362096</v>
      </c>
      <c r="F25" s="991"/>
      <c r="G25" s="991"/>
      <c r="H25" s="991"/>
      <c r="I25" s="991"/>
      <c r="J25" s="991"/>
      <c r="K25" s="991"/>
      <c r="L25" s="991"/>
      <c r="M25" s="991"/>
      <c r="N25" s="991"/>
      <c r="O25" s="991"/>
      <c r="P25" s="991"/>
      <c r="Q25" s="992"/>
      <c r="R25" s="687">
        <f>SUM(C25:Q25)</f>
        <v>2092.1998228142438</v>
      </c>
      <c r="S25" s="68"/>
    </row>
    <row r="26" spans="1:19" s="453" customFormat="1" ht="15.75" thickBot="1">
      <c r="A26" s="690" t="s">
        <v>897</v>
      </c>
      <c r="B26" s="807"/>
      <c r="C26" s="802">
        <f>SUM(C24:C25)</f>
        <v>4414.4744687411003</v>
      </c>
      <c r="D26" s="802">
        <f t="shared" ref="D26:R26" si="2">SUM(D24:D25)</f>
        <v>0</v>
      </c>
      <c r="E26" s="802">
        <f t="shared" si="2"/>
        <v>1556.7571084027138</v>
      </c>
      <c r="F26" s="802">
        <f t="shared" si="2"/>
        <v>35.35384806120706</v>
      </c>
      <c r="G26" s="802">
        <f t="shared" si="2"/>
        <v>12246.61715847192</v>
      </c>
      <c r="H26" s="802">
        <f t="shared" si="2"/>
        <v>0</v>
      </c>
      <c r="I26" s="802">
        <f t="shared" si="2"/>
        <v>0</v>
      </c>
      <c r="J26" s="802">
        <f t="shared" si="2"/>
        <v>0</v>
      </c>
      <c r="K26" s="802">
        <f t="shared" si="2"/>
        <v>464.23905688786834</v>
      </c>
      <c r="L26" s="802">
        <f t="shared" si="2"/>
        <v>0</v>
      </c>
      <c r="M26" s="802">
        <f t="shared" si="2"/>
        <v>0</v>
      </c>
      <c r="N26" s="802">
        <f t="shared" si="2"/>
        <v>0</v>
      </c>
      <c r="O26" s="802">
        <f t="shared" si="2"/>
        <v>0</v>
      </c>
      <c r="P26" s="802">
        <f t="shared" si="2"/>
        <v>0</v>
      </c>
      <c r="Q26" s="802">
        <f t="shared" si="2"/>
        <v>0</v>
      </c>
      <c r="R26" s="802">
        <f t="shared" si="2"/>
        <v>18717.441640564808</v>
      </c>
      <c r="S26" s="68"/>
    </row>
    <row r="27" spans="1:19" s="453" customFormat="1" ht="17.25" thickTop="1" thickBot="1">
      <c r="A27" s="691" t="s">
        <v>115</v>
      </c>
      <c r="B27" s="794"/>
      <c r="C27" s="692">
        <f ca="1">C22+C16+C26</f>
        <v>64494.514960434528</v>
      </c>
      <c r="D27" s="692">
        <f t="shared" ref="D27:R27" ca="1" si="3">D22+D16+D26</f>
        <v>0</v>
      </c>
      <c r="E27" s="692">
        <f t="shared" ca="1" si="3"/>
        <v>81270.662400863395</v>
      </c>
      <c r="F27" s="692">
        <f t="shared" si="3"/>
        <v>4991.1713002472425</v>
      </c>
      <c r="G27" s="692">
        <f t="shared" ca="1" si="3"/>
        <v>39148.818319241305</v>
      </c>
      <c r="H27" s="692">
        <f t="shared" si="3"/>
        <v>40501.593683393228</v>
      </c>
      <c r="I27" s="692">
        <f t="shared" si="3"/>
        <v>6646.8869046832997</v>
      </c>
      <c r="J27" s="692">
        <f t="shared" si="3"/>
        <v>0</v>
      </c>
      <c r="K27" s="692">
        <f t="shared" si="3"/>
        <v>3058.3576707664774</v>
      </c>
      <c r="L27" s="692">
        <f t="shared" si="3"/>
        <v>0</v>
      </c>
      <c r="M27" s="692">
        <f t="shared" ca="1" si="3"/>
        <v>0</v>
      </c>
      <c r="N27" s="692">
        <f t="shared" si="3"/>
        <v>2106.3473028578251</v>
      </c>
      <c r="O27" s="692">
        <f t="shared" ca="1" si="3"/>
        <v>12892.261743933674</v>
      </c>
      <c r="P27" s="692">
        <f t="shared" si="3"/>
        <v>34.393333333333338</v>
      </c>
      <c r="Q27" s="692">
        <f t="shared" si="3"/>
        <v>133.46666666666667</v>
      </c>
      <c r="R27" s="692">
        <f t="shared" ca="1" si="3"/>
        <v>255278.47428642097</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2912.2663903515563</v>
      </c>
      <c r="D40" s="684">
        <f ca="1">tertiair!C20</f>
        <v>0</v>
      </c>
      <c r="E40" s="684">
        <f ca="1">tertiair!D20</f>
        <v>2743.6483586290315</v>
      </c>
      <c r="F40" s="684">
        <f>tertiair!E20</f>
        <v>26.770855878234325</v>
      </c>
      <c r="G40" s="684">
        <f ca="1">tertiair!F20</f>
        <v>718.10750113556253</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6400.793105994384</v>
      </c>
    </row>
    <row r="41" spans="1:18">
      <c r="A41" s="812" t="s">
        <v>224</v>
      </c>
      <c r="B41" s="819"/>
      <c r="C41" s="684">
        <f ca="1">huishoudens!B12</f>
        <v>4037.5533047502017</v>
      </c>
      <c r="D41" s="684">
        <f ca="1">huishoudens!C12</f>
        <v>0</v>
      </c>
      <c r="E41" s="684">
        <f>huishoudens!D12</f>
        <v>7720.7436855197175</v>
      </c>
      <c r="F41" s="684">
        <f>huishoudens!E12</f>
        <v>1028.3960792011203</v>
      </c>
      <c r="G41" s="684">
        <f>huishoudens!F12</f>
        <v>5187.807380860595</v>
      </c>
      <c r="H41" s="684">
        <f>huishoudens!G12</f>
        <v>0</v>
      </c>
      <c r="I41" s="684">
        <f>huishoudens!H12</f>
        <v>0</v>
      </c>
      <c r="J41" s="684">
        <f>huishoudens!I12</f>
        <v>0</v>
      </c>
      <c r="K41" s="684">
        <f>huishoudens!J12</f>
        <v>900.0502035316166</v>
      </c>
      <c r="L41" s="684">
        <f>huishoudens!K12</f>
        <v>0</v>
      </c>
      <c r="M41" s="684">
        <f>huishoudens!L12</f>
        <v>0</v>
      </c>
      <c r="N41" s="684">
        <f>huishoudens!M12</f>
        <v>0</v>
      </c>
      <c r="O41" s="684">
        <f>huishoudens!N12</f>
        <v>0</v>
      </c>
      <c r="P41" s="684">
        <f>huishoudens!O12</f>
        <v>0</v>
      </c>
      <c r="Q41" s="759">
        <f>huishoudens!P12</f>
        <v>0</v>
      </c>
      <c r="R41" s="840">
        <f t="shared" ca="1" si="4"/>
        <v>18874.550653863251</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5314.6344915841346</v>
      </c>
      <c r="D43" s="684">
        <f ca="1">industrie!C22</f>
        <v>0</v>
      </c>
      <c r="E43" s="684">
        <f>industrie!D22</f>
        <v>5637.2836973692783</v>
      </c>
      <c r="F43" s="684">
        <f>industrie!E22</f>
        <v>32.374408551842528</v>
      </c>
      <c r="G43" s="684">
        <f>industrie!F22</f>
        <v>1276.9728279292688</v>
      </c>
      <c r="H43" s="684">
        <f>industrie!G22</f>
        <v>0</v>
      </c>
      <c r="I43" s="684">
        <f>industrie!H22</f>
        <v>0</v>
      </c>
      <c r="J43" s="684">
        <f>industrie!I22</f>
        <v>0</v>
      </c>
      <c r="K43" s="684">
        <f>industrie!J22</f>
        <v>18.267785781410986</v>
      </c>
      <c r="L43" s="684">
        <f>industrie!K22</f>
        <v>0</v>
      </c>
      <c r="M43" s="684">
        <f>industrie!L22</f>
        <v>0</v>
      </c>
      <c r="N43" s="684">
        <f>industrie!M22</f>
        <v>0</v>
      </c>
      <c r="O43" s="684">
        <f>industrie!N22</f>
        <v>0</v>
      </c>
      <c r="P43" s="684">
        <f>industrie!O22</f>
        <v>0</v>
      </c>
      <c r="Q43" s="759">
        <f>industrie!P22</f>
        <v>0</v>
      </c>
      <c r="R43" s="839">
        <f t="shared" ca="1" si="4"/>
        <v>12279.533211215934</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12264.454186685893</v>
      </c>
      <c r="D46" s="717">
        <f t="shared" ref="D46:Q46" ca="1" si="5">SUM(D39:D45)</f>
        <v>0</v>
      </c>
      <c r="E46" s="717">
        <f t="shared" ca="1" si="5"/>
        <v>16101.675741518029</v>
      </c>
      <c r="F46" s="717">
        <f t="shared" si="5"/>
        <v>1087.5413436311972</v>
      </c>
      <c r="G46" s="717">
        <f t="shared" ca="1" si="5"/>
        <v>7182.887709925426</v>
      </c>
      <c r="H46" s="717">
        <f t="shared" si="5"/>
        <v>0</v>
      </c>
      <c r="I46" s="717">
        <f t="shared" si="5"/>
        <v>0</v>
      </c>
      <c r="J46" s="717">
        <f t="shared" si="5"/>
        <v>0</v>
      </c>
      <c r="K46" s="717">
        <f t="shared" si="5"/>
        <v>918.31798931302762</v>
      </c>
      <c r="L46" s="717">
        <f t="shared" si="5"/>
        <v>0</v>
      </c>
      <c r="M46" s="717">
        <f t="shared" ca="1" si="5"/>
        <v>0</v>
      </c>
      <c r="N46" s="717">
        <f t="shared" si="5"/>
        <v>0</v>
      </c>
      <c r="O46" s="717">
        <f t="shared" ca="1" si="5"/>
        <v>0</v>
      </c>
      <c r="P46" s="717">
        <f t="shared" si="5"/>
        <v>0</v>
      </c>
      <c r="Q46" s="717">
        <f t="shared" si="5"/>
        <v>0</v>
      </c>
      <c r="R46" s="717">
        <f ca="1">SUM(R39:R45)</f>
        <v>37554.876971073565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112.5682326324245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112.5682326324245</v>
      </c>
    </row>
    <row r="50" spans="1:18">
      <c r="A50" s="815" t="s">
        <v>306</v>
      </c>
      <c r="B50" s="825"/>
      <c r="C50" s="997">
        <f ca="1">transport!B18</f>
        <v>0.20612930820930053</v>
      </c>
      <c r="D50" s="997">
        <f>transport!C18</f>
        <v>0</v>
      </c>
      <c r="E50" s="997">
        <f>transport!D18</f>
        <v>0.53312755903305298</v>
      </c>
      <c r="F50" s="997">
        <f>transport!E18</f>
        <v>37.429218015033001</v>
      </c>
      <c r="G50" s="997">
        <f>transport!F18</f>
        <v>0</v>
      </c>
      <c r="H50" s="997">
        <f>transport!G18</f>
        <v>10701.357280833568</v>
      </c>
      <c r="I50" s="997">
        <f>transport!H18</f>
        <v>1655.0748392661417</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12394.600594981985</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0.20612930820930053</v>
      </c>
      <c r="D52" s="717">
        <f t="shared" ref="D52:Q52" ca="1" si="6">SUM(D48:D51)</f>
        <v>0</v>
      </c>
      <c r="E52" s="717">
        <f t="shared" si="6"/>
        <v>0.53312755903305298</v>
      </c>
      <c r="F52" s="717">
        <f t="shared" si="6"/>
        <v>37.429218015033001</v>
      </c>
      <c r="G52" s="717">
        <f t="shared" si="6"/>
        <v>0</v>
      </c>
      <c r="H52" s="717">
        <f t="shared" si="6"/>
        <v>10813.925513465992</v>
      </c>
      <c r="I52" s="717">
        <f t="shared" si="6"/>
        <v>1655.0748392661417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12507.168827614409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766.0907293114916</v>
      </c>
      <c r="D54" s="997">
        <f ca="1">+landbouw!C12</f>
        <v>0</v>
      </c>
      <c r="E54" s="997">
        <f>+landbouw!D12</f>
        <v>25.499723465914268</v>
      </c>
      <c r="F54" s="997">
        <f>+landbouw!E12</f>
        <v>8.0253235098940028</v>
      </c>
      <c r="G54" s="997">
        <f>+landbouw!F12</f>
        <v>3269.8467813120028</v>
      </c>
      <c r="H54" s="997">
        <f>+landbouw!G12</f>
        <v>0</v>
      </c>
      <c r="I54" s="997">
        <f>+landbouw!H12</f>
        <v>0</v>
      </c>
      <c r="J54" s="997">
        <f>+landbouw!I12</f>
        <v>0</v>
      </c>
      <c r="K54" s="997">
        <f>+landbouw!J12</f>
        <v>164.3406261383054</v>
      </c>
      <c r="L54" s="997">
        <f>+landbouw!K12</f>
        <v>0</v>
      </c>
      <c r="M54" s="997">
        <f>+landbouw!L12</f>
        <v>0</v>
      </c>
      <c r="N54" s="997">
        <f>+landbouw!M12</f>
        <v>0</v>
      </c>
      <c r="O54" s="997">
        <f>+landbouw!N12</f>
        <v>0</v>
      </c>
      <c r="P54" s="997">
        <f>+landbouw!O12</f>
        <v>0</v>
      </c>
      <c r="Q54" s="998">
        <f>+landbouw!P12</f>
        <v>0</v>
      </c>
      <c r="R54" s="716">
        <f ca="1">SUM(C54:Q54)</f>
        <v>4233.8031837376084</v>
      </c>
    </row>
    <row r="55" spans="1:18" ht="15" thickBot="1">
      <c r="A55" s="815" t="s">
        <v>896</v>
      </c>
      <c r="B55" s="825"/>
      <c r="C55" s="997">
        <f ca="1">C25*'EF ele_warmte'!B12</f>
        <v>135.07427306935253</v>
      </c>
      <c r="D55" s="997"/>
      <c r="E55" s="997">
        <f>E25*EF_CO2_aardgas</f>
        <v>288.96521243143394</v>
      </c>
      <c r="F55" s="997"/>
      <c r="G55" s="997"/>
      <c r="H55" s="997"/>
      <c r="I55" s="997"/>
      <c r="J55" s="997"/>
      <c r="K55" s="997"/>
      <c r="L55" s="997"/>
      <c r="M55" s="997"/>
      <c r="N55" s="997"/>
      <c r="O55" s="997"/>
      <c r="P55" s="997"/>
      <c r="Q55" s="998"/>
      <c r="R55" s="716">
        <f ca="1">SUM(C55:Q55)</f>
        <v>424.03948550078644</v>
      </c>
    </row>
    <row r="56" spans="1:18" ht="15.75" thickBot="1">
      <c r="A56" s="813" t="s">
        <v>897</v>
      </c>
      <c r="B56" s="826"/>
      <c r="C56" s="717">
        <f ca="1">SUM(C54:C55)</f>
        <v>901.16500238084416</v>
      </c>
      <c r="D56" s="717">
        <f t="shared" ref="D56:Q56" ca="1" si="7">SUM(D54:D55)</f>
        <v>0</v>
      </c>
      <c r="E56" s="717">
        <f t="shared" si="7"/>
        <v>314.4649358973482</v>
      </c>
      <c r="F56" s="717">
        <f t="shared" si="7"/>
        <v>8.0253235098940028</v>
      </c>
      <c r="G56" s="717">
        <f t="shared" si="7"/>
        <v>3269.8467813120028</v>
      </c>
      <c r="H56" s="717">
        <f t="shared" si="7"/>
        <v>0</v>
      </c>
      <c r="I56" s="717">
        <f t="shared" si="7"/>
        <v>0</v>
      </c>
      <c r="J56" s="717">
        <f t="shared" si="7"/>
        <v>0</v>
      </c>
      <c r="K56" s="717">
        <f t="shared" si="7"/>
        <v>164.3406261383054</v>
      </c>
      <c r="L56" s="717">
        <f t="shared" si="7"/>
        <v>0</v>
      </c>
      <c r="M56" s="717">
        <f t="shared" si="7"/>
        <v>0</v>
      </c>
      <c r="N56" s="717">
        <f t="shared" si="7"/>
        <v>0</v>
      </c>
      <c r="O56" s="717">
        <f t="shared" si="7"/>
        <v>0</v>
      </c>
      <c r="P56" s="717">
        <f t="shared" si="7"/>
        <v>0</v>
      </c>
      <c r="Q56" s="718">
        <f t="shared" si="7"/>
        <v>0</v>
      </c>
      <c r="R56" s="719">
        <f ca="1">SUM(R54:R55)</f>
        <v>4657.8426692383946</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13165.825318374946</v>
      </c>
      <c r="D61" s="725">
        <f t="shared" ref="D61:Q61" ca="1" si="8">D46+D52+D56</f>
        <v>0</v>
      </c>
      <c r="E61" s="725">
        <f t="shared" ca="1" si="8"/>
        <v>16416.673804974409</v>
      </c>
      <c r="F61" s="725">
        <f t="shared" si="8"/>
        <v>1132.9958851561241</v>
      </c>
      <c r="G61" s="725">
        <f t="shared" ca="1" si="8"/>
        <v>10452.734491237428</v>
      </c>
      <c r="H61" s="725">
        <f t="shared" si="8"/>
        <v>10813.925513465992</v>
      </c>
      <c r="I61" s="725">
        <f t="shared" si="8"/>
        <v>1655.0748392661417</v>
      </c>
      <c r="J61" s="725">
        <f t="shared" si="8"/>
        <v>0</v>
      </c>
      <c r="K61" s="725">
        <f t="shared" si="8"/>
        <v>1082.6586154513329</v>
      </c>
      <c r="L61" s="725">
        <f t="shared" si="8"/>
        <v>0</v>
      </c>
      <c r="M61" s="725">
        <f t="shared" ca="1" si="8"/>
        <v>0</v>
      </c>
      <c r="N61" s="725">
        <f t="shared" si="8"/>
        <v>0</v>
      </c>
      <c r="O61" s="725">
        <f t="shared" ca="1" si="8"/>
        <v>0</v>
      </c>
      <c r="P61" s="725">
        <f t="shared" si="8"/>
        <v>0</v>
      </c>
      <c r="Q61" s="725">
        <f t="shared" si="8"/>
        <v>0</v>
      </c>
      <c r="R61" s="725">
        <f ca="1">R46+R52+R56</f>
        <v>54719.888467926372</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0.20413868259109769</v>
      </c>
      <c r="D63" s="769">
        <f t="shared" ca="1" si="9"/>
        <v>0</v>
      </c>
      <c r="E63" s="999">
        <f t="shared" ca="1" si="9"/>
        <v>0.20200000000000004</v>
      </c>
      <c r="F63" s="769">
        <f t="shared" si="9"/>
        <v>0.22700000000000001</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4920.6447415433631</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4920.6447415433631</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4920.6447415433631</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4920.6447415433631</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19778.482223467996</v>
      </c>
      <c r="C4" s="457">
        <f>huishoudens!C8</f>
        <v>0</v>
      </c>
      <c r="D4" s="457">
        <f>huishoudens!D8</f>
        <v>38221.503393661966</v>
      </c>
      <c r="E4" s="457">
        <f>huishoudens!E8</f>
        <v>4530.3792035291644</v>
      </c>
      <c r="F4" s="457">
        <f>huishoudens!F8</f>
        <v>19429.990190489119</v>
      </c>
      <c r="G4" s="457">
        <f>huishoudens!G8</f>
        <v>0</v>
      </c>
      <c r="H4" s="457">
        <f>huishoudens!H8</f>
        <v>0</v>
      </c>
      <c r="I4" s="457">
        <f>huishoudens!I8</f>
        <v>0</v>
      </c>
      <c r="J4" s="457">
        <f>huishoudens!J8</f>
        <v>2542.5146992418549</v>
      </c>
      <c r="K4" s="457">
        <f>huishoudens!K8</f>
        <v>0</v>
      </c>
      <c r="L4" s="457">
        <f>huishoudens!L8</f>
        <v>0</v>
      </c>
      <c r="M4" s="457">
        <f>huishoudens!M8</f>
        <v>0</v>
      </c>
      <c r="N4" s="457">
        <f>huishoudens!N8</f>
        <v>11351.709849448609</v>
      </c>
      <c r="O4" s="457">
        <f>huishoudens!O8</f>
        <v>34.393333333333338</v>
      </c>
      <c r="P4" s="458">
        <f>huishoudens!P8</f>
        <v>133.46666666666667</v>
      </c>
      <c r="Q4" s="459">
        <f>SUM(B4:P4)</f>
        <v>96022.439559838705</v>
      </c>
    </row>
    <row r="5" spans="1:17">
      <c r="A5" s="456" t="s">
        <v>155</v>
      </c>
      <c r="B5" s="457">
        <f ca="1">tertiair!B16</f>
        <v>13443.59529529481</v>
      </c>
      <c r="C5" s="457">
        <f ca="1">tertiair!C16</f>
        <v>0</v>
      </c>
      <c r="D5" s="457">
        <f ca="1">tertiair!D16</f>
        <v>13582.417616975403</v>
      </c>
      <c r="E5" s="457">
        <f>tertiair!E16</f>
        <v>117.93328580719967</v>
      </c>
      <c r="F5" s="457">
        <f ca="1">tertiair!F16</f>
        <v>2689.5412027549155</v>
      </c>
      <c r="G5" s="457">
        <f>tertiair!G16</f>
        <v>0</v>
      </c>
      <c r="H5" s="457">
        <f>tertiair!H16</f>
        <v>0</v>
      </c>
      <c r="I5" s="457">
        <f>tertiair!I16</f>
        <v>0</v>
      </c>
      <c r="J5" s="457">
        <f>tertiair!J16</f>
        <v>0</v>
      </c>
      <c r="K5" s="457">
        <f>tertiair!K16</f>
        <v>0</v>
      </c>
      <c r="L5" s="457">
        <f ca="1">tertiair!L16</f>
        <v>0</v>
      </c>
      <c r="M5" s="457">
        <f>tertiair!M16</f>
        <v>0</v>
      </c>
      <c r="N5" s="457">
        <f ca="1">tertiair!N16</f>
        <v>871.88714844595256</v>
      </c>
      <c r="O5" s="457">
        <f>tertiair!O16</f>
        <v>0</v>
      </c>
      <c r="P5" s="458">
        <f>tertiair!P16</f>
        <v>0</v>
      </c>
      <c r="Q5" s="456">
        <f t="shared" ref="Q5:Q14" ca="1" si="0">SUM(B5:P5)</f>
        <v>30705.374549278284</v>
      </c>
    </row>
    <row r="6" spans="1:17">
      <c r="A6" s="456" t="s">
        <v>193</v>
      </c>
      <c r="B6" s="457">
        <f>'openbare verlichting'!B8</f>
        <v>822.52200000000005</v>
      </c>
      <c r="C6" s="457"/>
      <c r="D6" s="457"/>
      <c r="E6" s="457"/>
      <c r="F6" s="457"/>
      <c r="G6" s="457"/>
      <c r="H6" s="457"/>
      <c r="I6" s="457"/>
      <c r="J6" s="457"/>
      <c r="K6" s="457"/>
      <c r="L6" s="457"/>
      <c r="M6" s="457"/>
      <c r="N6" s="457"/>
      <c r="O6" s="457"/>
      <c r="P6" s="458"/>
      <c r="Q6" s="456">
        <f t="shared" si="0"/>
        <v>822.52200000000005</v>
      </c>
    </row>
    <row r="7" spans="1:17">
      <c r="A7" s="456" t="s">
        <v>111</v>
      </c>
      <c r="B7" s="457">
        <f>landbouw!B8</f>
        <v>3752.7954995478158</v>
      </c>
      <c r="C7" s="457">
        <f>landbouw!C8</f>
        <v>0</v>
      </c>
      <c r="D7" s="457">
        <f>landbouw!D8</f>
        <v>126.2362547817538</v>
      </c>
      <c r="E7" s="457">
        <f>landbouw!E8</f>
        <v>35.35384806120706</v>
      </c>
      <c r="F7" s="457">
        <f>landbouw!F8</f>
        <v>12246.61715847192</v>
      </c>
      <c r="G7" s="457">
        <f>landbouw!G8</f>
        <v>0</v>
      </c>
      <c r="H7" s="457">
        <f>landbouw!H8</f>
        <v>0</v>
      </c>
      <c r="I7" s="457">
        <f>landbouw!I8</f>
        <v>0</v>
      </c>
      <c r="J7" s="457">
        <f>landbouw!J8</f>
        <v>464.23905688786834</v>
      </c>
      <c r="K7" s="457">
        <f>landbouw!K8</f>
        <v>0</v>
      </c>
      <c r="L7" s="457">
        <f>landbouw!L8</f>
        <v>0</v>
      </c>
      <c r="M7" s="457">
        <f>landbouw!M8</f>
        <v>0</v>
      </c>
      <c r="N7" s="457">
        <f>landbouw!N8</f>
        <v>0</v>
      </c>
      <c r="O7" s="457">
        <f>landbouw!O8</f>
        <v>0</v>
      </c>
      <c r="P7" s="458">
        <f>landbouw!P8</f>
        <v>0</v>
      </c>
      <c r="Q7" s="456">
        <f t="shared" si="0"/>
        <v>16625.241817750564</v>
      </c>
    </row>
    <row r="8" spans="1:17">
      <c r="A8" s="456" t="s">
        <v>682</v>
      </c>
      <c r="B8" s="457">
        <f>industrie!B18</f>
        <v>26034.431221591025</v>
      </c>
      <c r="C8" s="457">
        <f>industrie!C18</f>
        <v>0</v>
      </c>
      <c r="D8" s="457">
        <f>industrie!D18</f>
        <v>27907.345036481573</v>
      </c>
      <c r="E8" s="457">
        <f>industrie!E18</f>
        <v>142.61853987595828</v>
      </c>
      <c r="F8" s="457">
        <f>industrie!F18</f>
        <v>4782.6697675253508</v>
      </c>
      <c r="G8" s="457">
        <f>industrie!G18</f>
        <v>0</v>
      </c>
      <c r="H8" s="457">
        <f>industrie!H18</f>
        <v>0</v>
      </c>
      <c r="I8" s="457">
        <f>industrie!I18</f>
        <v>0</v>
      </c>
      <c r="J8" s="457">
        <f>industrie!J18</f>
        <v>51.603914636754197</v>
      </c>
      <c r="K8" s="457">
        <f>industrie!K18</f>
        <v>0</v>
      </c>
      <c r="L8" s="457">
        <f>industrie!L18</f>
        <v>0</v>
      </c>
      <c r="M8" s="457">
        <f>industrie!M18</f>
        <v>0</v>
      </c>
      <c r="N8" s="457">
        <f>industrie!N18</f>
        <v>668.66474603911297</v>
      </c>
      <c r="O8" s="457">
        <f>industrie!O18</f>
        <v>0</v>
      </c>
      <c r="P8" s="458">
        <f>industrie!P18</f>
        <v>0</v>
      </c>
      <c r="Q8" s="456">
        <f t="shared" si="0"/>
        <v>59587.333226149771</v>
      </c>
    </row>
    <row r="9" spans="1:17" s="462" customFormat="1">
      <c r="A9" s="460" t="s">
        <v>578</v>
      </c>
      <c r="B9" s="461">
        <f>transport!B14</f>
        <v>1.0097513395939277</v>
      </c>
      <c r="C9" s="461">
        <f>transport!C14</f>
        <v>0</v>
      </c>
      <c r="D9" s="461">
        <f>transport!D14</f>
        <v>2.6392453417477868</v>
      </c>
      <c r="E9" s="461">
        <f>transport!E14</f>
        <v>164.88642297371365</v>
      </c>
      <c r="F9" s="461">
        <f>transport!F14</f>
        <v>0</v>
      </c>
      <c r="G9" s="461">
        <f>transport!G14</f>
        <v>40079.989815856061</v>
      </c>
      <c r="H9" s="461">
        <f>transport!H14</f>
        <v>6646.8869046832997</v>
      </c>
      <c r="I9" s="461">
        <f>transport!I14</f>
        <v>0</v>
      </c>
      <c r="J9" s="461">
        <f>transport!J14</f>
        <v>0</v>
      </c>
      <c r="K9" s="461">
        <f>transport!K14</f>
        <v>0</v>
      </c>
      <c r="L9" s="461">
        <f>transport!L14</f>
        <v>0</v>
      </c>
      <c r="M9" s="461">
        <f>transport!M14</f>
        <v>2087.8489407440034</v>
      </c>
      <c r="N9" s="461">
        <f>transport!N14</f>
        <v>0</v>
      </c>
      <c r="O9" s="461">
        <f>transport!O14</f>
        <v>0</v>
      </c>
      <c r="P9" s="461">
        <f>transport!P14</f>
        <v>0</v>
      </c>
      <c r="Q9" s="460">
        <f>SUM(B9:P9)</f>
        <v>48983.26108093842</v>
      </c>
    </row>
    <row r="10" spans="1:17">
      <c r="A10" s="456" t="s">
        <v>568</v>
      </c>
      <c r="B10" s="457">
        <f>transport!B54</f>
        <v>0</v>
      </c>
      <c r="C10" s="457">
        <f>transport!C54</f>
        <v>0</v>
      </c>
      <c r="D10" s="457">
        <f>transport!D54</f>
        <v>0</v>
      </c>
      <c r="E10" s="457">
        <f>transport!E54</f>
        <v>0</v>
      </c>
      <c r="F10" s="457">
        <f>transport!F54</f>
        <v>0</v>
      </c>
      <c r="G10" s="457">
        <f>transport!G54</f>
        <v>421.6038675371704</v>
      </c>
      <c r="H10" s="457">
        <f>transport!H54</f>
        <v>0</v>
      </c>
      <c r="I10" s="457">
        <f>transport!I54</f>
        <v>0</v>
      </c>
      <c r="J10" s="457">
        <f>transport!J54</f>
        <v>0</v>
      </c>
      <c r="K10" s="457">
        <f>transport!K54</f>
        <v>0</v>
      </c>
      <c r="L10" s="457">
        <f>transport!L54</f>
        <v>0</v>
      </c>
      <c r="M10" s="457">
        <f>transport!M54</f>
        <v>18.498362113821571</v>
      </c>
      <c r="N10" s="457">
        <f>transport!N54</f>
        <v>0</v>
      </c>
      <c r="O10" s="457">
        <f>transport!O54</f>
        <v>0</v>
      </c>
      <c r="P10" s="458">
        <f>transport!P54</f>
        <v>0</v>
      </c>
      <c r="Q10" s="456">
        <f t="shared" si="0"/>
        <v>440.10222965099194</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661.67896919328405</v>
      </c>
      <c r="C14" s="464"/>
      <c r="D14" s="464">
        <f>'SEAP template'!E25</f>
        <v>1430.52085362096</v>
      </c>
      <c r="E14" s="464"/>
      <c r="F14" s="464"/>
      <c r="G14" s="464"/>
      <c r="H14" s="464"/>
      <c r="I14" s="464"/>
      <c r="J14" s="464"/>
      <c r="K14" s="464"/>
      <c r="L14" s="464"/>
      <c r="M14" s="464"/>
      <c r="N14" s="464"/>
      <c r="O14" s="464"/>
      <c r="P14" s="465"/>
      <c r="Q14" s="456">
        <f t="shared" si="0"/>
        <v>2092.1998228142438</v>
      </c>
    </row>
    <row r="15" spans="1:17" s="469" customFormat="1">
      <c r="A15" s="466" t="s">
        <v>572</v>
      </c>
      <c r="B15" s="467">
        <f ca="1">SUM(B4:B14)</f>
        <v>64494.514960434521</v>
      </c>
      <c r="C15" s="467">
        <f t="shared" ref="C15:Q15" ca="1" si="1">SUM(C4:C14)</f>
        <v>0</v>
      </c>
      <c r="D15" s="467">
        <f t="shared" ca="1" si="1"/>
        <v>81270.662400863395</v>
      </c>
      <c r="E15" s="467">
        <f t="shared" si="1"/>
        <v>4991.1713002472425</v>
      </c>
      <c r="F15" s="467">
        <f t="shared" ca="1" si="1"/>
        <v>39148.818319241305</v>
      </c>
      <c r="G15" s="467">
        <f t="shared" si="1"/>
        <v>40501.593683393228</v>
      </c>
      <c r="H15" s="467">
        <f t="shared" si="1"/>
        <v>6646.8869046832997</v>
      </c>
      <c r="I15" s="467">
        <f t="shared" si="1"/>
        <v>0</v>
      </c>
      <c r="J15" s="467">
        <f t="shared" si="1"/>
        <v>3058.3576707664774</v>
      </c>
      <c r="K15" s="467">
        <f t="shared" si="1"/>
        <v>0</v>
      </c>
      <c r="L15" s="467">
        <f t="shared" ca="1" si="1"/>
        <v>0</v>
      </c>
      <c r="M15" s="467">
        <f t="shared" si="1"/>
        <v>2106.3473028578251</v>
      </c>
      <c r="N15" s="467">
        <f t="shared" ca="1" si="1"/>
        <v>12892.261743933674</v>
      </c>
      <c r="O15" s="467">
        <f t="shared" si="1"/>
        <v>34.393333333333338</v>
      </c>
      <c r="P15" s="467">
        <f t="shared" si="1"/>
        <v>133.46666666666667</v>
      </c>
      <c r="Q15" s="467">
        <f t="shared" ca="1" si="1"/>
        <v>255278.47428642097</v>
      </c>
    </row>
    <row r="17" spans="1:17">
      <c r="A17" s="470" t="s">
        <v>573</v>
      </c>
      <c r="B17" s="774">
        <f ca="1">huishoudens!B10</f>
        <v>0.20413868259109771</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4037.5533047502017</v>
      </c>
      <c r="C22" s="457">
        <f t="shared" ref="C22:C32" ca="1" si="3">C4*$C$17</f>
        <v>0</v>
      </c>
      <c r="D22" s="457">
        <f t="shared" ref="D22:D32" si="4">D4*$D$17</f>
        <v>7720.7436855197175</v>
      </c>
      <c r="E22" s="457">
        <f t="shared" ref="E22:E32" si="5">E4*$E$17</f>
        <v>1028.3960792011203</v>
      </c>
      <c r="F22" s="457">
        <f t="shared" ref="F22:F32" si="6">F4*$F$17</f>
        <v>5187.807380860595</v>
      </c>
      <c r="G22" s="457">
        <f t="shared" ref="G22:G32" si="7">G4*$G$17</f>
        <v>0</v>
      </c>
      <c r="H22" s="457">
        <f t="shared" ref="H22:H32" si="8">H4*$H$17</f>
        <v>0</v>
      </c>
      <c r="I22" s="457">
        <f t="shared" ref="I22:I32" si="9">I4*$I$17</f>
        <v>0</v>
      </c>
      <c r="J22" s="457">
        <f t="shared" ref="J22:J32" si="10">J4*$J$17</f>
        <v>900.0502035316166</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18874.550653863251</v>
      </c>
    </row>
    <row r="23" spans="1:17">
      <c r="A23" s="456" t="s">
        <v>155</v>
      </c>
      <c r="B23" s="457">
        <f t="shared" ca="1" si="2"/>
        <v>2744.3578328693616</v>
      </c>
      <c r="C23" s="457">
        <f t="shared" ca="1" si="3"/>
        <v>0</v>
      </c>
      <c r="D23" s="457">
        <f t="shared" ca="1" si="4"/>
        <v>2743.6483586290315</v>
      </c>
      <c r="E23" s="457">
        <f t="shared" si="5"/>
        <v>26.770855878234325</v>
      </c>
      <c r="F23" s="457">
        <f t="shared" ca="1" si="6"/>
        <v>718.10750113556253</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6232.8845485121892</v>
      </c>
    </row>
    <row r="24" spans="1:17">
      <c r="A24" s="456" t="s">
        <v>193</v>
      </c>
      <c r="B24" s="457">
        <f t="shared" ca="1" si="2"/>
        <v>167.90855748219488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167.90855748219488</v>
      </c>
    </row>
    <row r="25" spans="1:17">
      <c r="A25" s="456" t="s">
        <v>111</v>
      </c>
      <c r="B25" s="457">
        <f t="shared" ca="1" si="2"/>
        <v>766.0907293114916</v>
      </c>
      <c r="C25" s="457">
        <f t="shared" ca="1" si="3"/>
        <v>0</v>
      </c>
      <c r="D25" s="457">
        <f t="shared" si="4"/>
        <v>25.499723465914268</v>
      </c>
      <c r="E25" s="457">
        <f t="shared" si="5"/>
        <v>8.0253235098940028</v>
      </c>
      <c r="F25" s="457">
        <f t="shared" si="6"/>
        <v>3269.8467813120028</v>
      </c>
      <c r="G25" s="457">
        <f t="shared" si="7"/>
        <v>0</v>
      </c>
      <c r="H25" s="457">
        <f t="shared" si="8"/>
        <v>0</v>
      </c>
      <c r="I25" s="457">
        <f t="shared" si="9"/>
        <v>0</v>
      </c>
      <c r="J25" s="457">
        <f t="shared" si="10"/>
        <v>164.3406261383054</v>
      </c>
      <c r="K25" s="457">
        <f t="shared" si="11"/>
        <v>0</v>
      </c>
      <c r="L25" s="457">
        <f t="shared" si="12"/>
        <v>0</v>
      </c>
      <c r="M25" s="457">
        <f t="shared" si="13"/>
        <v>0</v>
      </c>
      <c r="N25" s="457">
        <f t="shared" si="14"/>
        <v>0</v>
      </c>
      <c r="O25" s="457">
        <f t="shared" si="15"/>
        <v>0</v>
      </c>
      <c r="P25" s="458">
        <f t="shared" si="16"/>
        <v>0</v>
      </c>
      <c r="Q25" s="456">
        <f t="shared" ca="1" si="17"/>
        <v>4233.8031837376084</v>
      </c>
    </row>
    <row r="26" spans="1:17">
      <c r="A26" s="456" t="s">
        <v>682</v>
      </c>
      <c r="B26" s="457">
        <f t="shared" ca="1" si="2"/>
        <v>5314.6344915841346</v>
      </c>
      <c r="C26" s="457">
        <f t="shared" ca="1" si="3"/>
        <v>0</v>
      </c>
      <c r="D26" s="457">
        <f t="shared" si="4"/>
        <v>5637.2836973692783</v>
      </c>
      <c r="E26" s="457">
        <f t="shared" si="5"/>
        <v>32.374408551842528</v>
      </c>
      <c r="F26" s="457">
        <f t="shared" si="6"/>
        <v>1276.9728279292688</v>
      </c>
      <c r="G26" s="457">
        <f t="shared" si="7"/>
        <v>0</v>
      </c>
      <c r="H26" s="457">
        <f t="shared" si="8"/>
        <v>0</v>
      </c>
      <c r="I26" s="457">
        <f t="shared" si="9"/>
        <v>0</v>
      </c>
      <c r="J26" s="457">
        <f t="shared" si="10"/>
        <v>18.267785781410986</v>
      </c>
      <c r="K26" s="457">
        <f t="shared" si="11"/>
        <v>0</v>
      </c>
      <c r="L26" s="457">
        <f t="shared" si="12"/>
        <v>0</v>
      </c>
      <c r="M26" s="457">
        <f t="shared" si="13"/>
        <v>0</v>
      </c>
      <c r="N26" s="457">
        <f t="shared" si="14"/>
        <v>0</v>
      </c>
      <c r="O26" s="457">
        <f t="shared" si="15"/>
        <v>0</v>
      </c>
      <c r="P26" s="458">
        <f t="shared" si="16"/>
        <v>0</v>
      </c>
      <c r="Q26" s="456">
        <f t="shared" ca="1" si="17"/>
        <v>12279.533211215934</v>
      </c>
    </row>
    <row r="27" spans="1:17" s="462" customFormat="1">
      <c r="A27" s="460" t="s">
        <v>578</v>
      </c>
      <c r="B27" s="768">
        <f t="shared" ca="1" si="2"/>
        <v>0.20612930820930053</v>
      </c>
      <c r="C27" s="461">
        <f t="shared" ca="1" si="3"/>
        <v>0</v>
      </c>
      <c r="D27" s="461">
        <f t="shared" si="4"/>
        <v>0.53312755903305298</v>
      </c>
      <c r="E27" s="461">
        <f t="shared" si="5"/>
        <v>37.429218015033001</v>
      </c>
      <c r="F27" s="461">
        <f t="shared" si="6"/>
        <v>0</v>
      </c>
      <c r="G27" s="461">
        <f t="shared" si="7"/>
        <v>10701.357280833568</v>
      </c>
      <c r="H27" s="461">
        <f t="shared" si="8"/>
        <v>1655.0748392661417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12394.600594981985</v>
      </c>
    </row>
    <row r="28" spans="1:17">
      <c r="A28" s="456" t="s">
        <v>568</v>
      </c>
      <c r="B28" s="457">
        <f t="shared" ca="1" si="2"/>
        <v>0</v>
      </c>
      <c r="C28" s="457">
        <f t="shared" ca="1" si="3"/>
        <v>0</v>
      </c>
      <c r="D28" s="457">
        <f t="shared" si="4"/>
        <v>0</v>
      </c>
      <c r="E28" s="457">
        <f t="shared" si="5"/>
        <v>0</v>
      </c>
      <c r="F28" s="457">
        <f t="shared" si="6"/>
        <v>0</v>
      </c>
      <c r="G28" s="457">
        <f t="shared" si="7"/>
        <v>112.5682326324245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112.5682326324245</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135.07427306935253</v>
      </c>
      <c r="C32" s="457">
        <f t="shared" ca="1" si="3"/>
        <v>0</v>
      </c>
      <c r="D32" s="457">
        <f t="shared" si="4"/>
        <v>288.96521243143394</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424.03948550078644</v>
      </c>
    </row>
    <row r="33" spans="1:17" s="469" customFormat="1">
      <c r="A33" s="466" t="s">
        <v>572</v>
      </c>
      <c r="B33" s="467">
        <f ca="1">SUM(B22:B32)</f>
        <v>13165.825318374946</v>
      </c>
      <c r="C33" s="467">
        <f t="shared" ref="C33:Q33" ca="1" si="18">SUM(C22:C32)</f>
        <v>0</v>
      </c>
      <c r="D33" s="467">
        <f t="shared" ca="1" si="18"/>
        <v>16416.673804974409</v>
      </c>
      <c r="E33" s="467">
        <f t="shared" si="18"/>
        <v>1132.9958851561241</v>
      </c>
      <c r="F33" s="467">
        <f t="shared" ca="1" si="18"/>
        <v>10452.734491237428</v>
      </c>
      <c r="G33" s="467">
        <f t="shared" si="18"/>
        <v>10813.925513465992</v>
      </c>
      <c r="H33" s="467">
        <f t="shared" si="18"/>
        <v>1655.0748392661417</v>
      </c>
      <c r="I33" s="467">
        <f t="shared" si="18"/>
        <v>0</v>
      </c>
      <c r="J33" s="467">
        <f t="shared" si="18"/>
        <v>1082.6586154513329</v>
      </c>
      <c r="K33" s="467">
        <f t="shared" si="18"/>
        <v>0</v>
      </c>
      <c r="L33" s="467">
        <f t="shared" ca="1" si="18"/>
        <v>0</v>
      </c>
      <c r="M33" s="467">
        <f t="shared" si="18"/>
        <v>0</v>
      </c>
      <c r="N33" s="467">
        <f t="shared" ca="1" si="18"/>
        <v>0</v>
      </c>
      <c r="O33" s="467">
        <f t="shared" si="18"/>
        <v>0</v>
      </c>
      <c r="P33" s="467">
        <f t="shared" si="18"/>
        <v>0</v>
      </c>
      <c r="Q33" s="467">
        <f t="shared" ca="1" si="18"/>
        <v>54719.888467926372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4920.6447415433631</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4920.6447415433631</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0.20413868259109771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0.20413868259109771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1</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19.066666666666666</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2020-06-20T16:31:00Z</dcterms:modified>
</cp:coreProperties>
</file>