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F20" i="18" l="1"/>
  <c r="B17" i="18"/>
  <c r="C46" i="18"/>
  <c r="F49"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G49" i="18"/>
  <c r="C49" i="18"/>
  <c r="H49" i="18"/>
  <c r="D49" i="18"/>
  <c r="N6" i="17"/>
  <c r="L6" i="17"/>
  <c r="F6" i="17"/>
  <c r="D6" i="17"/>
  <c r="C6" i="17"/>
  <c r="N16" i="16"/>
  <c r="L16" i="16"/>
  <c r="F16" i="16"/>
  <c r="D16" i="16"/>
  <c r="C16" i="16"/>
  <c r="B16" i="16"/>
  <c r="B13" i="15"/>
  <c r="B49"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D20" i="56"/>
  <c r="Q78" i="14"/>
  <c r="B9" i="6" s="1"/>
  <c r="P9" i="56"/>
  <c r="P10" i="56" s="1"/>
  <c r="J90" i="14"/>
  <c r="J17" i="56"/>
  <c r="J20" i="56" s="1"/>
  <c r="Q90" i="14"/>
  <c r="B17" i="6" s="1"/>
  <c r="C87" i="14"/>
  <c r="C17" i="56" s="1"/>
  <c r="C20" i="56" s="1"/>
  <c r="P20" i="56"/>
  <c r="B87" i="14"/>
  <c r="K33" i="48"/>
  <c r="B4" i="6" l="1"/>
  <c r="C90" i="14"/>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O4" i="48"/>
  <c r="O22" i="48" s="1"/>
  <c r="P11" i="14"/>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5" i="48" l="1"/>
  <c r="F24" i="14"/>
  <c r="F26" i="14" s="1"/>
  <c r="E7" i="48"/>
  <c r="E25" i="48" s="1"/>
  <c r="E12" i="17"/>
  <c r="F54" i="14" s="1"/>
  <c r="F56" i="14" s="1"/>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O15" i="48"/>
  <c r="K10" i="14"/>
  <c r="J5" i="48"/>
  <c r="J23" i="48" s="1"/>
  <c r="N22" i="14"/>
  <c r="N27" i="14" s="1"/>
  <c r="O33" i="48"/>
  <c r="R19"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3" i="14" l="1"/>
  <c r="K16" i="14" s="1"/>
  <c r="K27" i="14" s="1"/>
  <c r="J8" i="48"/>
  <c r="J26" i="48" s="1"/>
  <c r="J33" i="48" s="1"/>
  <c r="E8" i="48"/>
  <c r="F13" i="14"/>
  <c r="F16" i="14" s="1"/>
  <c r="F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15" i="48" l="1"/>
  <c r="E26" i="48"/>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<sst xmlns="http://schemas.openxmlformats.org/spreadsheetml/2006/main" count="2516" uniqueCount="963">
  <si>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</si>
  <si>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</si>
  <si>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</si>
  <si>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</si>
  <si>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</si>
  <si>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</si>
  <si>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</si>
  <si>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</si>
  <si>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</si>
  <si>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</si>
  <si>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</si>
  <si>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</si>
  <si>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</si>
  <si>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</si>
  <si>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</si>
  <si>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</si>
  <si>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</si>
  <si>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</si>
  <si>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</si>
  <si>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</si>
  <si>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</si>
  <si>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</si>
  <si>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</si>
  <si>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</si>
  <si>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</si>
  <si>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</si>
  <si>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</si>
  <si>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</si>
  <si>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</si>
  <si>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</si>
  <si>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</si>
  <si>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</si>
  <si>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</si>
  <si>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</si>
  <si>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</si>
  <si>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</si>
  <si>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</si>
  <si>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</si>
  <si>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</si>
  <si>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</si>
  <si>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</si>
  <si>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</si>
  <si>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</si>
  <si>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</si>
  <si>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</si>
  <si>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</si>
  <si>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</si>
  <si>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</si>
  <si>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</si>
  <si>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</si>
  <si>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</si>
  <si>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</si>
  <si>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</si>
  <si>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</si>
  <si>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</si>
  <si>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</si>
  <si>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</si>
  <si>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</si>
  <si>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</si>
  <si>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</si>
  <si>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</si>
  <si>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</si>
  <si>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</si>
  <si>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</si>
  <si>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</si>
  <si>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</si>
  <si>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</si>
  <si>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</si>
  <si>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</si>
  <si>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</si>
  <si>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</si>
  <si>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</si>
  <si>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</si>
  <si>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</si>
  <si>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</si>
  <si>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</si>
  <si>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</si>
  <si>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</si>
  <si>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</si>
  <si>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</si>
  <si>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</si>
  <si>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</si>
  <si>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</si>
  <si>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</si>
  <si>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</si>
  <si>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</si>
  <si>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</si>
  <si>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</si>
  <si>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</si>
  <si>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</si>
  <si>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</si>
  <si>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</si>
  <si>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</si>
  <si>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</si>
  <si>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</si>
  <si>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</si>
  <si>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</si>
  <si>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</si>
  <si>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</si>
  <si>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</si>
  <si>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</si>
  <si>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</si>
  <si>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</si>
  <si>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</si>
  <si>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</si>
  <si>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</si>
  <si>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</si>
  <si>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</si>
  <si>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</si>
  <si>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</si>
  <si>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</si>
  <si>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</si>
  <si>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</si>
  <si>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</si>
  <si>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</si>
  <si>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</si>
  <si>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</si>
  <si>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</si>
  <si>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</si>
  <si>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</si>
  <si>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</si>
  <si>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</si>
  <si>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</si>
  <si>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</si>
  <si>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</si>
  <si>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</si>
  <si>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</si>
  <si>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</si>
  <si>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</si>
  <si>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</si>
  <si>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</si>
  <si>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</si>
  <si>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</si>
  <si>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</si>
  <si>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</si>
  <si>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</si>
  <si>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</si>
  <si>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</si>
  <si>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</si>
  <si>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</si>
  <si>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</si>
  <si>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</si>
  <si>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</si>
  <si>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</si>
  <si>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</si>
  <si>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</si>
  <si>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</si>
  <si>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</si>
  <si>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</si>
  <si>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</si>
  <si>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</si>
  <si>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</si>
  <si>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</si>
  <si>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</si>
  <si>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</si>
  <si>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</si>
  <si>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</si>
  <si>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</si>
  <si>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</si>
  <si>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</si>
  <si>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</si>
  <si>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</si>
  <si>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</si>
  <si>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</si>
  <si>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</si>
  <si>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</si>
  <si>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</si>
  <si>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</si>
  <si>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</si>
  <si>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</si>
  <si>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</si>
  <si>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</si>
  <si>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</si>
  <si>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</si>
  <si>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</si>
  <si>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</si>
  <si>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</si>
  <si>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</si>
  <si>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</si>
  <si>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</si>
  <si>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</si>
  <si>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</si>
  <si>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</si>
  <si>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</si>
  <si>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</si>
  <si>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</si>
  <si>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</si>
  <si>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</si>
  <si>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</si>
  <si>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</si>
  <si>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</si>
  <si>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</si>
  <si>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</si>
  <si>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</si>
  <si>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</si>
  <si>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</si>
  <si>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</si>
  <si>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</si>
  <si>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</si>
  <si>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</si>
  <si>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</si>
  <si>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</si>
  <si>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</si>
  <si>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</si>
  <si>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</si>
  <si>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</si>
  <si>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</si>
  <si>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</si>
  <si>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</si>
  <si>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</si>
  <si>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</si>
  <si>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</si>
  <si>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</si>
  <si>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</si>
  <si>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</si>
  <si>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</si>
  <si>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</si>
  <si>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</si>
  <si>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</si>
  <si>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</si>
  <si>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</si>
  <si>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</si>
  <si>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</si>
  <si>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</si>
  <si>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</si>
  <si>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</si>
  <si>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</si>
  <si>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</si>
  <si>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</si>
  <si>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</si>
  <si>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</si>
  <si>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</si>
  <si>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</si>
  <si>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</si>
  <si>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</si>
  <si>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</si>
  <si>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</si>
  <si>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</si>
  <si>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</si>
  <si>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</si>
  <si>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</si>
  <si>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</si>
  <si>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</si>
  <si>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</si>
  <si>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</si>
  <si>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</si>
  <si>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</si>
  <si>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</si>
  <si>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</si>
  <si>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</si>
  <si>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</si>
  <si>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</si>
  <si>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</si>
  <si>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</si>
  <si>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</si>
  <si>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</si>
  <si>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</si>
  <si>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</si>
  <si>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</si>
  <si>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</si>
  <si>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</si>
  <si>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</si>
  <si>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</si>
  <si>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</si>
  <si>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</si>
  <si>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</si>
  <si>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</si>
  <si>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</si>
  <si>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</si>
  <si>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</si>
  <si>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</si>
  <si>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</si>
  <si>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</si>
  <si>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</si>
  <si>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</si>
  <si>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</si>
  <si>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</si>
  <si>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</si>
  <si>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</si>
  <si>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</si>
  <si>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</si>
  <si>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</si>
  <si>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</si>
  <si>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</si>
  <si>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</si>
  <si>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</si>
  <si>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</si>
  <si>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</si>
  <si>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</si>
  <si>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</si>
  <si>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</si>
  <si>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</si>
  <si>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</si>
  <si>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</si>
  <si>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</si>
  <si>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</si>
  <si>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</si>
  <si>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</si>
  <si>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</si>
  <si>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</si>
  <si>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</si>
  <si>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</si>
  <si>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</si>
  <si>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</si>
  <si>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</si>
  <si>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</si>
  <si>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</si>
  <si>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</si>
  <si>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</si>
  <si>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</si>
  <si>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</si>
  <si>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</si>
  <si>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</si>
  <si>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</si>
  <si>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</si>
  <si>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</si>
  <si>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</si>
  <si>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</si>
  <si>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</si>
  <si>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</si>
  <si>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</si>
  <si>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</si>
  <si>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</si>
  <si>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</si>
  <si>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</si>
  <si>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</si>
  <si>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</si>
  <si>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</si>
  <si>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</si>
  <si>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</si>
  <si>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</si>
  <si>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</si>
  <si>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</si>
  <si>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</si>
  <si>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</si>
  <si>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</si>
  <si>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</si>
  <si>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</si>
  <si>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</si>
  <si>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</si>
  <si>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</si>
  <si>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</si>
  <si>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</si>
  <si>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</si>
  <si>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</si>
  <si>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</si>
  <si>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</si>
  <si>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</si>
  <si>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</si>
  <si>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</si>
  <si>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</si>
  <si>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</si>
  <si>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</si>
  <si>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</si>
  <si>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</si>
  <si>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</si>
  <si>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</si>
  <si>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</si>
  <si>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</si>
  <si>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</si>
  <si>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</si>
  <si>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</si>
  <si>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</si>
  <si>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</si>
  <si>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</si>
  <si>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</si>
  <si>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</si>
  <si>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</si>
  <si>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</si>
  <si>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</si>
  <si>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</si>
  <si>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</si>
  <si>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</si>
  <si>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</si>
  <si>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</si>
  <si>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</si>
  <si>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</si>
  <si>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</si>
  <si>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</si>
  <si>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</si>
  <si>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</si>
  <si>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</si>
  <si>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</si>
  <si>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</si>
  <si>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</si>
  <si>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</si>
  <si>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</si>
  <si>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</si>
  <si>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</si>
  <si>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</si>
  <si>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</si>
  <si>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</si>
  <si>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</si>
  <si>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</si>
  <si>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</si>
  <si>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</si>
  <si>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</si>
  <si>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</si>
  <si>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</si>
  <si>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</si>
  <si>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</si>
  <si>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</si>
  <si>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</si>
  <si>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</si>
  <si>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</si>
  <si>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</si>
  <si>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</si>
  <si>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</si>
  <si>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</si>
  <si>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</si>
  <si>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</si>
  <si>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</si>
  <si>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</si>
  <si>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</si>
  <si>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</si>
  <si>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</si>
  <si>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</si>
  <si>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</si>
  <si>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</si>
  <si>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</si>
  <si>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</si>
  <si>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</si>
  <si>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</si>
  <si>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</si>
  <si>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</si>
  <si>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</si>
  <si>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</si>
  <si>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</si>
  <si>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</si>
  <si>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</si>
  <si>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</si>
  <si>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</si>
  <si>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</si>
  <si>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</si>
  <si>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</si>
  <si>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</si>
  <si>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</si>
  <si>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</si>
  <si>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</si>
  <si>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</si>
  <si>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</si>
  <si>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</si>
  <si>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</si>
  <si>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</si>
  <si>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</si>
  <si>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</si>
  <si>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</si>
  <si>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</si>
  <si>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</si>
  <si>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</si>
  <si>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</si>
  <si>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</si>
  <si>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</si>
  <si>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</si>
  <si>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</si>
  <si>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</si>
  <si>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</si>
  <si>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</si>
  <si>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</si>
  <si>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</si>
  <si>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</si>
  <si>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</si>
  <si>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</si>
  <si>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</si>
  <si>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</si>
  <si>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</si>
  <si>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</si>
  <si>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</si>
  <si>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</si>
  <si>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</si>
  <si>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</si>
  <si>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</si>
  <si>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</si>
  <si>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</si>
  <si>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</si>
  <si>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</si>
  <si>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</si>
  <si>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</si>
  <si>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</si>
  <si>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</si>
  <si>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</si>
  <si>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</si>
  <si>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</si>
  <si>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</si>
  <si>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</si>
  <si>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</si>
  <si>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</si>
  <si>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</si>
  <si>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</si>
  <si>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</si>
  <si>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</si>
  <si>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</si>
  <si>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</si>
  <si>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</si>
  <si>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</si>
  <si>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</si>
  <si>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</si>
  <si>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</si>
  <si>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</si>
  <si>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</si>
  <si>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</si>
  <si>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</si>
  <si>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</si>
  <si>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</si>
  <si>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</si>
  <si>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</si>
  <si>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</si>
  <si>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</si>
  <si>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</si>
  <si>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</si>
  <si>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</si>
  <si>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</si>
  <si>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</si>
  <si>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</si>
  <si>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</si>
  <si>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</si>
  <si>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</si>
  <si>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</si>
  <si>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</si>
  <si>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</si>
  <si>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</si>
  <si>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</si>
  <si>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</si>
  <si>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</si>
  <si>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</si>
  <si>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</si>
  <si>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</si>
  <si>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</si>
  <si>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</si>
  <si>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</si>
  <si>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</si>
  <si>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</si>
  <si>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</si>
  <si>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</si>
  <si>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</si>
  <si>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</si>
  <si>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</si>
  <si>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</si>
  <si>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</si>
  <si>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</si>
  <si>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</si>
  <si>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</si>
  <si>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</si>
  <si>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</si>
  <si>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</si>
  <si>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</si>
  <si>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</si>
  <si>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</si>
  <si>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</si>
  <si>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</si>
  <si>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</si>
  <si>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</si>
  <si>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</si>
  <si>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</si>
  <si>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</si>
  <si>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</si>
  <si>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</si>
  <si>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</si>
  <si>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</si>
  <si>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</si>
  <si>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</si>
  <si>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</si>
  <si>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</si>
  <si>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</si>
  <si>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</si>
  <si>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</si>
  <si>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</si>
  <si>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</si>
  <si>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</si>
  <si>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</si>
  <si>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</si>
  <si>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</si>
  <si>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</si>
  <si>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</si>
  <si>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</si>
  <si>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</si>
  <si>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</si>
  <si>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</si>
  <si>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</si>
  <si>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</si>
  <si>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</si>
  <si>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</si>
  <si>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</si>
  <si>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</si>
  <si>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</si>
  <si>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</si>
  <si>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</si>
  <si>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</si>
  <si>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</si>
  <si>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</si>
  <si>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</si>
  <si>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</si>
  <si>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</si>
  <si>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</si>
  <si>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</si>
  <si>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</si>
  <si>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</si>
  <si>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</si>
  <si>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</si>
  <si>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</si>
  <si>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</si>
  <si>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</si>
  <si>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</si>
  <si>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</si>
  <si>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</si>
  <si>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</si>
  <si>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</si>
  <si>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</si>
  <si>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</si>
  <si>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</si>
  <si>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</si>
  <si>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</si>
  <si>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</si>
  <si>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</si>
  <si>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</si>
  <si>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</si>
  <si>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</si>
  <si>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</si>
  <si>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</si>
  <si>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</si>
  <si>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</si>
  <si>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</si>
  <si>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</si>
  <si>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</si>
  <si>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</si>
  <si>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</si>
  <si>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</si>
  <si>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</si>
  <si>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</si>
  <si>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</si>
  <si>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</si>
  <si>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</si>
  <si>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</si>
  <si>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</si>
  <si>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</si>
  <si>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</si>
  <si>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</si>
  <si>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</si>
  <si>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</si>
  <si>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</si>
  <si>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</si>
  <si>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</si>
  <si>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</si>
  <si>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</si>
  <si>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</si>
  <si>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</si>
  <si>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</si>
  <si>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</si>
  <si>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</si>
  <si>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</si>
  <si>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</si>
  <si>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</si>
  <si>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</si>
  <si>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</si>
  <si>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</si>
  <si>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</si>
  <si>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</si>
  <si>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</si>
  <si>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</si>
  <si>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</si>
  <si>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</si>
  <si>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</si>
  <si>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</si>
  <si>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</si>
  <si>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</si>
  <si>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</si>
  <si>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</si>
  <si>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</si>
  <si>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</si>
  <si>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</si>
  <si>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</si>
  <si>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</si>
  <si>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</si>
  <si>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</si>
  <si>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</si>
  <si>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</si>
  <si>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</si>
  <si>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</si>
  <si>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</si>
  <si>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</si>
  <si>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</si>
  <si>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</si>
  <si>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</si>
  <si>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</si>
  <si>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</si>
  <si>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</si>
  <si>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</si>
  <si>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</si>
  <si>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</si>
  <si>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</si>
  <si>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</si>
  <si>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</si>
  <si>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</si>
  <si>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</si>
  <si>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</si>
  <si>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</si>
  <si>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</si>
  <si>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</si>
  <si>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</si>
  <si>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</si>
  <si>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</si>
  <si>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</si>
  <si>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</si>
  <si>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</si>
  <si>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</si>
  <si>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</si>
  <si>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</si>
  <si>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</si>
  <si>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</si>
  <si>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</si>
  <si>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</si>
  <si>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</si>
  <si>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</si>
  <si>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</si>
  <si>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</si>
  <si>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</si>
  <si>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</si>
  <si>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</si>
  <si>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</si>
  <si>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</si>
  <si>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</si>
  <si>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</si>
  <si>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</si>
  <si>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</si>
  <si>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</si>
  <si>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</si>
  <si>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</si>
  <si>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</si>
  <si>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</si>
  <si>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</si>
  <si>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</si>
  <si>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</si>
  <si>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</si>
  <si>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</si>
  <si>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</si>
  <si>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</si>
  <si>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</si>
  <si>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</si>
  <si>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</si>
  <si>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</si>
  <si>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</si>
  <si>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</si>
  <si>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</si>
  <si>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</si>
  <si>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</si>
  <si>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</si>
  <si>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</si>
  <si>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</si>
  <si>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</si>
  <si>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</si>
  <si>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</si>
  <si>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</si>
  <si>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</si>
  <si>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</si>
  <si>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</si>
  <si>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</si>
  <si>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</si>
  <si>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</si>
  <si>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</si>
  <si>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</si>
  <si>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</si>
  <si>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</si>
  <si>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</si>
  <si>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</si>
  <si>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</si>
  <si>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</si>
  <si>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</si>
  <si>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</si>
  <si>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</si>
  <si>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</si>
  <si>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</si>
  <si>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</si>
  <si>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</si>
  <si>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</si>
  <si>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</si>
  <si>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</si>
  <si>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</si>
  <si>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</si>
  <si>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</si>
  <si>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</si>
  <si>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</si>
  <si>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</si>
  <si>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</si>
  <si>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</si>
  <si>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</si>
  <si>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</si>
  <si>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</si>
  <si>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</si>
  <si>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</si>
  <si>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</si>
  <si>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</si>
  <si>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</si>
  <si>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</si>
  <si>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</si>
  <si>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</si>
  <si>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</si>
  <si>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</si>
  <si>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</si>
  <si>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</si>
  <si>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</si>
  <si>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</si>
  <si>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</si>
  <si>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</si>
  <si>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</si>
  <si>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</si>
  <si>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</si>
  <si>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</si>
  <si>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</si>
  <si>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</si>
  <si>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</si>
  <si>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</si>
  <si>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</si>
  <si>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</si>
  <si>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</si>
  <si>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</si>
  <si>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</si>
  <si>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</si>
  <si>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</si>
  <si>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</si>
  <si>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</si>
  <si>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</si>
  <si>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</si>
  <si>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</si>
  <si>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</si>
  <si>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</si>
  <si>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</si>
  <si>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</si>
  <si>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</si>
  <si>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</si>
  <si>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</si>
  <si>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</si>
  <si>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</si>
  <si>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</si>
  <si>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</si>
  <si>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</si>
  <si>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</si>
  <si>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</si>
  <si>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</si>
  <si>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</si>
  <si>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</si>
  <si>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</si>
  <si>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</si>
  <si>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</si>
  <si>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</si>
  <si>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</si>
  <si>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</si>
  <si>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</si>
  <si>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</si>
  <si>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</si>
  <si>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</si>
  <si>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</si>
  <si>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</si>
  <si>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</si>
  <si>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</si>
  <si>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</si>
  <si>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</si>
  <si>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</si>
  <si>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</si>
  <si>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</si>
  <si>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</si>
  <si>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</si>
  <si>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</si>
  <si>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</si>
  <si>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</si>
  <si>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</si>
  <si>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</si>
  <si>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</si>
  <si>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</si>
  <si>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</si>
  <si>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</si>
  <si>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</si>
  <si>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</si>
  <si>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</si>
  <si>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</si>
  <si>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</si>
  <si>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</si>
  <si>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</si>
  <si>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</si>
  <si>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</si>
  <si>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</si>
  <si>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</si>
  <si>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</si>
  <si>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</si>
  <si>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</si>
  <si>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</si>
  <si>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</si>
  <si>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</si>
  <si>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</si>
  <si>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</si>
  <si>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</si>
  <si>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</si>
  <si>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</si>
  <si>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</si>
  <si>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</si>
  <si>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</si>
  <si>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</si>
  <si>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</si>
  <si>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</si>
  <si>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</si>
  <si>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</si>
  <si>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</si>
  <si>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</si>
  <si>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</si>
  <si>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</si>
  <si>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</si>
  <si>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</si>
  <si>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</si>
  <si>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</si>
  <si>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</si>
  <si>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</si>
  <si>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</si>
  <si>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</si>
  <si>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</si>
  <si>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</si>
  <si>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</si>
  <si>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</si>
  <si>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</si>
  <si>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</si>
  <si>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</si>
  <si>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</si>
  <si>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</si>
  <si>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</si>
  <si>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</si>
  <si>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</si>
  <si>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</si>
  <si>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</si>
  <si>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</si>
  <si>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</si>
  <si>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</si>
  <si>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</si>
  <si>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</si>
  <si>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</si>
  <si>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</si>
  <si>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</si>
  <si>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</si>
  <si>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</si>
  <si>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</si>
  <si>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</si>
  <si>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</si>
  <si>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</si>
  <si>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</si>
  <si>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</si>
  <si>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</si>
  <si>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</si>
  <si>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</si>
  <si>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</si>
  <si>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</si>
  <si>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</si>
  <si>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36007</t>
  </si>
  <si>
    <t>INGELMUNSTER</t>
  </si>
  <si>
    <t>Paarden&amp;pony's 200 - 600 kg</t>
  </si>
  <si>
    <t>Paarden&amp;pony's &lt; 200 kg</t>
  </si>
  <si>
    <t>Fluvius</t>
  </si>
  <si>
    <t>referentietaak LNE (2017); Jaarverslag De Lijn</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</si>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</sst>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36007</v>
      </c>
      <c r="B6" s="394"/>
      <c r="C6" s="395"/>
    </row>
    <row r="7" spans="1:7" s="392" customFormat="1" ht="15.75" customHeight="1">
      <c r="A7" s="396" t="str">
        <f>txtMunicipality</f>
        <v>INGELMUNSTER</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13373.511397253787</v>
      </c>
      <c r="D10" s="684">
        <f ca="1">tertiair!C16</f>
        <v>0</v>
      </c>
      <c r="E10" s="684">
        <f ca="1">tertiair!D16</f>
        <v>11410.929906405721</v>
      </c>
      <c r="F10" s="684">
        <f>tertiair!E16</f>
        <v>115.67007017563412</v>
      </c>
      <c r="G10" s="684">
        <f ca="1">tertiair!F16</f>
        <v>2750.2133601036594</v>
      </c>
      <c r="H10" s="684">
        <f>tertiair!G16</f>
        <v>0</v>
      </c>
      <c r="I10" s="684">
        <f>tertiair!H16</f>
        <v>0</v>
      </c>
      <c r="J10" s="684">
        <f>tertiair!I16</f>
        <v>0</v>
      </c>
      <c r="K10" s="684">
        <f>tertiair!J16</f>
        <v>0</v>
      </c>
      <c r="L10" s="684">
        <f>tertiair!K16</f>
        <v>0</v>
      </c>
      <c r="M10" s="684">
        <f ca="1">tertiair!L16</f>
        <v>0</v>
      </c>
      <c r="N10" s="684">
        <f>tertiair!M16</f>
        <v>0</v>
      </c>
      <c r="O10" s="684">
        <f ca="1">tertiair!N16</f>
        <v>1547.782156184812</v>
      </c>
      <c r="P10" s="684">
        <f>tertiair!O16</f>
        <v>1.5633333333333335</v>
      </c>
      <c r="Q10" s="685">
        <f>tertiair!P16</f>
        <v>0</v>
      </c>
      <c r="R10" s="687">
        <f ca="1">SUM(C10:Q10)</f>
        <v>29199.670223456942</v>
      </c>
      <c r="S10" s="68"/>
    </row>
    <row r="11" spans="1:19" s="453" customFormat="1">
      <c r="A11" s="799" t="s">
        <v>224</v>
      </c>
      <c r="B11" s="804"/>
      <c r="C11" s="684">
        <f>huishoudens!B8</f>
        <v>18214.232101268812</v>
      </c>
      <c r="D11" s="684">
        <f>huishoudens!C8</f>
        <v>0</v>
      </c>
      <c r="E11" s="684">
        <f>huishoudens!D8</f>
        <v>43347.681362389165</v>
      </c>
      <c r="F11" s="684">
        <f>huishoudens!E8</f>
        <v>2445.9614613502686</v>
      </c>
      <c r="G11" s="684">
        <f>huishoudens!F8</f>
        <v>12918.203890205888</v>
      </c>
      <c r="H11" s="684">
        <f>huishoudens!G8</f>
        <v>0</v>
      </c>
      <c r="I11" s="684">
        <f>huishoudens!H8</f>
        <v>0</v>
      </c>
      <c r="J11" s="684">
        <f>huishoudens!I8</f>
        <v>0</v>
      </c>
      <c r="K11" s="684">
        <f>huishoudens!J8</f>
        <v>1970.4488919124376</v>
      </c>
      <c r="L11" s="684">
        <f>huishoudens!K8</f>
        <v>0</v>
      </c>
      <c r="M11" s="684">
        <f>huishoudens!L8</f>
        <v>0</v>
      </c>
      <c r="N11" s="684">
        <f>huishoudens!M8</f>
        <v>0</v>
      </c>
      <c r="O11" s="684">
        <f>huishoudens!N8</f>
        <v>12680.301778872768</v>
      </c>
      <c r="P11" s="684">
        <f>huishoudens!O8</f>
        <v>48.463333333333338</v>
      </c>
      <c r="Q11" s="685">
        <f>huishoudens!P8</f>
        <v>133.46666666666667</v>
      </c>
      <c r="R11" s="687">
        <f>SUM(C11:Q11)</f>
        <v>91758.759485999341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18577.769820961454</v>
      </c>
      <c r="D13" s="684">
        <f>industrie!C18</f>
        <v>0</v>
      </c>
      <c r="E13" s="684">
        <f>industrie!D18</f>
        <v>20349.502508500944</v>
      </c>
      <c r="F13" s="684">
        <f>industrie!E18</f>
        <v>158.51173611172214</v>
      </c>
      <c r="G13" s="684">
        <f>industrie!F18</f>
        <v>4553.0840777945323</v>
      </c>
      <c r="H13" s="684">
        <f>industrie!G18</f>
        <v>0</v>
      </c>
      <c r="I13" s="684">
        <f>industrie!H18</f>
        <v>0</v>
      </c>
      <c r="J13" s="684">
        <f>industrie!I18</f>
        <v>0</v>
      </c>
      <c r="K13" s="684">
        <f>industrie!J18</f>
        <v>54.278642713891209</v>
      </c>
      <c r="L13" s="684">
        <f>industrie!K18</f>
        <v>0</v>
      </c>
      <c r="M13" s="684">
        <f>industrie!L18</f>
        <v>0</v>
      </c>
      <c r="N13" s="684">
        <f>industrie!M18</f>
        <v>0</v>
      </c>
      <c r="O13" s="684">
        <f>industrie!N18</f>
        <v>564.99657129990521</v>
      </c>
      <c r="P13" s="684">
        <f>industrie!O18</f>
        <v>0</v>
      </c>
      <c r="Q13" s="685">
        <f>industrie!P18</f>
        <v>0</v>
      </c>
      <c r="R13" s="687">
        <f>SUM(C13:Q13)</f>
        <v>44258.143357382454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50165.513319484053</v>
      </c>
      <c r="D16" s="717">
        <f t="shared" ref="D16:R16" ca="1" si="0">SUM(D9:D15)</f>
        <v>0</v>
      </c>
      <c r="E16" s="717">
        <f t="shared" ca="1" si="0"/>
        <v>75108.113777295832</v>
      </c>
      <c r="F16" s="717">
        <f t="shared" si="0"/>
        <v>2720.1432676376248</v>
      </c>
      <c r="G16" s="717">
        <f t="shared" ca="1" si="0"/>
        <v>20221.501328104081</v>
      </c>
      <c r="H16" s="717">
        <f t="shared" si="0"/>
        <v>0</v>
      </c>
      <c r="I16" s="717">
        <f t="shared" si="0"/>
        <v>0</v>
      </c>
      <c r="J16" s="717">
        <f t="shared" si="0"/>
        <v>0</v>
      </c>
      <c r="K16" s="717">
        <f t="shared" si="0"/>
        <v>2024.7275346263289</v>
      </c>
      <c r="L16" s="717">
        <f t="shared" si="0"/>
        <v>0</v>
      </c>
      <c r="M16" s="717">
        <f t="shared" ca="1" si="0"/>
        <v>0</v>
      </c>
      <c r="N16" s="717">
        <f t="shared" si="0"/>
        <v>0</v>
      </c>
      <c r="O16" s="717">
        <f t="shared" ca="1" si="0"/>
        <v>14793.080506357486</v>
      </c>
      <c r="P16" s="717">
        <f t="shared" si="0"/>
        <v>50.026666666666671</v>
      </c>
      <c r="Q16" s="717">
        <f t="shared" si="0"/>
        <v>133.46666666666667</v>
      </c>
      <c r="R16" s="717">
        <f t="shared" ca="1" si="0"/>
        <v>165216.57306683873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640.49495964396442</v>
      </c>
      <c r="I19" s="684">
        <f>transport!H54</f>
        <v>0</v>
      </c>
      <c r="J19" s="684">
        <f>transport!I54</f>
        <v>0</v>
      </c>
      <c r="K19" s="684">
        <f>transport!J54</f>
        <v>0</v>
      </c>
      <c r="L19" s="684">
        <f>transport!K54</f>
        <v>0</v>
      </c>
      <c r="M19" s="684">
        <f>transport!L54</f>
        <v>0</v>
      </c>
      <c r="N19" s="684">
        <f>transport!M54</f>
        <v>28.102464440810678</v>
      </c>
      <c r="O19" s="684">
        <f>transport!N54</f>
        <v>0</v>
      </c>
      <c r="P19" s="684">
        <f>transport!O54</f>
        <v>0</v>
      </c>
      <c r="Q19" s="685">
        <f>transport!P54</f>
        <v>0</v>
      </c>
      <c r="R19" s="687">
        <f>SUM(C19:Q19)</f>
        <v>668.59742408477507</v>
      </c>
      <c r="S19" s="68"/>
    </row>
    <row r="20" spans="1:19" s="453" customFormat="1">
      <c r="A20" s="799" t="s">
        <v>306</v>
      </c>
      <c r="B20" s="804"/>
      <c r="C20" s="684">
        <f>transport!B14</f>
        <v>1.0868777797745388</v>
      </c>
      <c r="D20" s="684">
        <f>transport!C14</f>
        <v>0</v>
      </c>
      <c r="E20" s="684">
        <f>transport!D14</f>
        <v>2.4329993168717099</v>
      </c>
      <c r="F20" s="684">
        <f>transport!E14</f>
        <v>154.91414365307679</v>
      </c>
      <c r="G20" s="684">
        <f>transport!F14</f>
        <v>0</v>
      </c>
      <c r="H20" s="684">
        <f>transport!G14</f>
        <v>44779.729881509586</v>
      </c>
      <c r="I20" s="684">
        <f>transport!H14</f>
        <v>6218.3336820577169</v>
      </c>
      <c r="J20" s="684">
        <f>transport!I14</f>
        <v>0</v>
      </c>
      <c r="K20" s="684">
        <f>transport!J14</f>
        <v>0</v>
      </c>
      <c r="L20" s="684">
        <f>transport!K14</f>
        <v>0</v>
      </c>
      <c r="M20" s="684">
        <f>transport!L14</f>
        <v>0</v>
      </c>
      <c r="N20" s="684">
        <f>transport!M14</f>
        <v>2277.3358209532034</v>
      </c>
      <c r="O20" s="684">
        <f>transport!N14</f>
        <v>0</v>
      </c>
      <c r="P20" s="684">
        <f>transport!O14</f>
        <v>0</v>
      </c>
      <c r="Q20" s="685">
        <f>transport!P14</f>
        <v>0</v>
      </c>
      <c r="R20" s="687">
        <f>SUM(C20:Q20)</f>
        <v>53433.833405270227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1.0868777797745388</v>
      </c>
      <c r="D22" s="802">
        <f t="shared" ref="D22:R22" si="1">SUM(D18:D21)</f>
        <v>0</v>
      </c>
      <c r="E22" s="802">
        <f t="shared" si="1"/>
        <v>2.4329993168717099</v>
      </c>
      <c r="F22" s="802">
        <f t="shared" si="1"/>
        <v>154.91414365307679</v>
      </c>
      <c r="G22" s="802">
        <f t="shared" si="1"/>
        <v>0</v>
      </c>
      <c r="H22" s="802">
        <f t="shared" si="1"/>
        <v>45420.224841153547</v>
      </c>
      <c r="I22" s="802">
        <f t="shared" si="1"/>
        <v>6218.3336820577169</v>
      </c>
      <c r="J22" s="802">
        <f t="shared" si="1"/>
        <v>0</v>
      </c>
      <c r="K22" s="802">
        <f t="shared" si="1"/>
        <v>0</v>
      </c>
      <c r="L22" s="802">
        <f t="shared" si="1"/>
        <v>0</v>
      </c>
      <c r="M22" s="802">
        <f t="shared" si="1"/>
        <v>0</v>
      </c>
      <c r="N22" s="802">
        <f t="shared" si="1"/>
        <v>2305.4382853940142</v>
      </c>
      <c r="O22" s="802">
        <f t="shared" si="1"/>
        <v>0</v>
      </c>
      <c r="P22" s="802">
        <f t="shared" si="1"/>
        <v>0</v>
      </c>
      <c r="Q22" s="802">
        <f t="shared" si="1"/>
        <v>0</v>
      </c>
      <c r="R22" s="802">
        <f t="shared" si="1"/>
        <v>54102.430829354998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3483.0780343557394</v>
      </c>
      <c r="D24" s="684">
        <f>+landbouw!C8</f>
        <v>18546.428571428572</v>
      </c>
      <c r="E24" s="684">
        <f>+landbouw!D8</f>
        <v>535.54829135263572</v>
      </c>
      <c r="F24" s="684">
        <f>+landbouw!E8</f>
        <v>32.812928822467946</v>
      </c>
      <c r="G24" s="684">
        <f>+landbouw!F8</f>
        <v>11366.439558184653</v>
      </c>
      <c r="H24" s="684">
        <f>+landbouw!G8</f>
        <v>0</v>
      </c>
      <c r="I24" s="684">
        <f>+landbouw!H8</f>
        <v>0</v>
      </c>
      <c r="J24" s="684">
        <f>+landbouw!I8</f>
        <v>0</v>
      </c>
      <c r="K24" s="684">
        <f>+landbouw!J8</f>
        <v>430.8736945381097</v>
      </c>
      <c r="L24" s="684">
        <f>+landbouw!K8</f>
        <v>0</v>
      </c>
      <c r="M24" s="684">
        <f>+landbouw!L8</f>
        <v>0</v>
      </c>
      <c r="N24" s="684">
        <f>+landbouw!M8</f>
        <v>0</v>
      </c>
      <c r="O24" s="684">
        <f>+landbouw!N8</f>
        <v>0</v>
      </c>
      <c r="P24" s="684">
        <f>+landbouw!O8</f>
        <v>0</v>
      </c>
      <c r="Q24" s="685">
        <f>+landbouw!P8</f>
        <v>0</v>
      </c>
      <c r="R24" s="687">
        <f>SUM(C24:Q24)</f>
        <v>34395.181078682173</v>
      </c>
      <c r="S24" s="68"/>
    </row>
    <row r="25" spans="1:19" s="453" customFormat="1" ht="15" thickBot="1">
      <c r="A25" s="821" t="s">
        <v>896</v>
      </c>
      <c r="B25" s="990"/>
      <c r="C25" s="991">
        <f>IF(Onbekend_ele_kWh="---",0,Onbekend_ele_kWh)/1000+IF(REST_rest_ele_kWh="---",0,REST_rest_ele_kWh)/1000</f>
        <v>703.37407209331991</v>
      </c>
      <c r="D25" s="991"/>
      <c r="E25" s="991">
        <f>IF(onbekend_gas_kWh="---",0,onbekend_gas_kWh)/1000+IF(REST_rest_gas_kWh="---",0,REST_rest_gas_kWh)/1000</f>
        <v>1981.68868101219</v>
      </c>
      <c r="F25" s="991"/>
      <c r="G25" s="991"/>
      <c r="H25" s="991"/>
      <c r="I25" s="991"/>
      <c r="J25" s="991"/>
      <c r="K25" s="991"/>
      <c r="L25" s="991"/>
      <c r="M25" s="991"/>
      <c r="N25" s="991"/>
      <c r="O25" s="991"/>
      <c r="P25" s="991"/>
      <c r="Q25" s="992"/>
      <c r="R25" s="687">
        <f>SUM(C25:Q25)</f>
        <v>2685.0627531055097</v>
      </c>
      <c r="S25" s="68"/>
    </row>
    <row r="26" spans="1:19" s="453" customFormat="1" ht="15.75" thickBot="1">
      <c r="A26" s="690" t="s">
        <v>897</v>
      </c>
      <c r="B26" s="807"/>
      <c r="C26" s="802">
        <f>SUM(C24:C25)</f>
        <v>4186.4521064490591</v>
      </c>
      <c r="D26" s="802">
        <f t="shared" ref="D26:R26" si="2">SUM(D24:D25)</f>
        <v>18546.428571428572</v>
      </c>
      <c r="E26" s="802">
        <f t="shared" si="2"/>
        <v>2517.2369723648258</v>
      </c>
      <c r="F26" s="802">
        <f t="shared" si="2"/>
        <v>32.812928822467946</v>
      </c>
      <c r="G26" s="802">
        <f t="shared" si="2"/>
        <v>11366.439558184653</v>
      </c>
      <c r="H26" s="802">
        <f t="shared" si="2"/>
        <v>0</v>
      </c>
      <c r="I26" s="802">
        <f t="shared" si="2"/>
        <v>0</v>
      </c>
      <c r="J26" s="802">
        <f t="shared" si="2"/>
        <v>0</v>
      </c>
      <c r="K26" s="802">
        <f t="shared" si="2"/>
        <v>430.8736945381097</v>
      </c>
      <c r="L26" s="802">
        <f t="shared" si="2"/>
        <v>0</v>
      </c>
      <c r="M26" s="802">
        <f t="shared" si="2"/>
        <v>0</v>
      </c>
      <c r="N26" s="802">
        <f t="shared" si="2"/>
        <v>0</v>
      </c>
      <c r="O26" s="802">
        <f t="shared" si="2"/>
        <v>0</v>
      </c>
      <c r="P26" s="802">
        <f t="shared" si="2"/>
        <v>0</v>
      </c>
      <c r="Q26" s="802">
        <f t="shared" si="2"/>
        <v>0</v>
      </c>
      <c r="R26" s="802">
        <f t="shared" si="2"/>
        <v>37080.24383178768</v>
      </c>
      <c r="S26" s="68"/>
    </row>
    <row r="27" spans="1:19" s="453" customFormat="1" ht="17.25" thickTop="1" thickBot="1">
      <c r="A27" s="691" t="s">
        <v>115</v>
      </c>
      <c r="B27" s="794"/>
      <c r="C27" s="692">
        <f ca="1">C22+C16+C26</f>
        <v>54353.052303712888</v>
      </c>
      <c r="D27" s="692">
        <f t="shared" ref="D27:R27" ca="1" si="3">D22+D16+D26</f>
        <v>18546.428571428572</v>
      </c>
      <c r="E27" s="692">
        <f t="shared" ca="1" si="3"/>
        <v>77627.783748977527</v>
      </c>
      <c r="F27" s="692">
        <f t="shared" si="3"/>
        <v>2907.8703401131697</v>
      </c>
      <c r="G27" s="692">
        <f t="shared" ca="1" si="3"/>
        <v>31587.940886288736</v>
      </c>
      <c r="H27" s="692">
        <f t="shared" si="3"/>
        <v>45420.224841153547</v>
      </c>
      <c r="I27" s="692">
        <f t="shared" si="3"/>
        <v>6218.3336820577169</v>
      </c>
      <c r="J27" s="692">
        <f t="shared" si="3"/>
        <v>0</v>
      </c>
      <c r="K27" s="692">
        <f t="shared" si="3"/>
        <v>2455.6012291644383</v>
      </c>
      <c r="L27" s="692">
        <f t="shared" si="3"/>
        <v>0</v>
      </c>
      <c r="M27" s="692">
        <f t="shared" ca="1" si="3"/>
        <v>0</v>
      </c>
      <c r="N27" s="692">
        <f t="shared" si="3"/>
        <v>2305.4382853940142</v>
      </c>
      <c r="O27" s="692">
        <f t="shared" ca="1" si="3"/>
        <v>14793.080506357486</v>
      </c>
      <c r="P27" s="692">
        <f t="shared" si="3"/>
        <v>50.026666666666671</v>
      </c>
      <c r="Q27" s="692">
        <f t="shared" si="3"/>
        <v>133.46666666666667</v>
      </c>
      <c r="R27" s="692">
        <f t="shared" ca="1" si="3"/>
        <v>256399.24772798142</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2855.9138903645944</v>
      </c>
      <c r="D40" s="684">
        <f ca="1">tertiair!C20</f>
        <v>0</v>
      </c>
      <c r="E40" s="684">
        <f ca="1">tertiair!D20</f>
        <v>2305.0078410939559</v>
      </c>
      <c r="F40" s="684">
        <f>tertiair!E20</f>
        <v>26.257105929868946</v>
      </c>
      <c r="G40" s="684">
        <f ca="1">tertiair!F20</f>
        <v>734.30696714767714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5921.4858045360961</v>
      </c>
    </row>
    <row r="41" spans="1:18">
      <c r="A41" s="812" t="s">
        <v>224</v>
      </c>
      <c r="B41" s="819"/>
      <c r="C41" s="684">
        <f ca="1">huishoudens!B12</f>
        <v>3889.6499890836521</v>
      </c>
      <c r="D41" s="684">
        <f ca="1">huishoudens!C12</f>
        <v>0</v>
      </c>
      <c r="E41" s="684">
        <f>huishoudens!D12</f>
        <v>8756.2316352026119</v>
      </c>
      <c r="F41" s="684">
        <f>huishoudens!E12</f>
        <v>555.23325172651096</v>
      </c>
      <c r="G41" s="684">
        <f>huishoudens!F12</f>
        <v>3449.1604386849726</v>
      </c>
      <c r="H41" s="684">
        <f>huishoudens!G12</f>
        <v>0</v>
      </c>
      <c r="I41" s="684">
        <f>huishoudens!H12</f>
        <v>0</v>
      </c>
      <c r="J41" s="684">
        <f>huishoudens!I12</f>
        <v>0</v>
      </c>
      <c r="K41" s="684">
        <f>huishoudens!J12</f>
        <v>697.53890773700289</v>
      </c>
      <c r="L41" s="684">
        <f>huishoudens!K12</f>
        <v>0</v>
      </c>
      <c r="M41" s="684">
        <f>huishoudens!L12</f>
        <v>0</v>
      </c>
      <c r="N41" s="684">
        <f>huishoudens!M12</f>
        <v>0</v>
      </c>
      <c r="O41" s="684">
        <f>huishoudens!N12</f>
        <v>0</v>
      </c>
      <c r="P41" s="684">
        <f>huishoudens!O12</f>
        <v>0</v>
      </c>
      <c r="Q41" s="759">
        <f>huishoudens!P12</f>
        <v>0</v>
      </c>
      <c r="R41" s="840">
        <f t="shared" ca="1" si="4"/>
        <v>17347.81422243475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3967.2834835714862</v>
      </c>
      <c r="D43" s="684">
        <f ca="1">industrie!C22</f>
        <v>0</v>
      </c>
      <c r="E43" s="684">
        <f>industrie!D22</f>
        <v>4110.5995067171907</v>
      </c>
      <c r="F43" s="684">
        <f>industrie!E22</f>
        <v>35.982164097360929</v>
      </c>
      <c r="G43" s="684">
        <f>industrie!F22</f>
        <v>1215.6734487711401</v>
      </c>
      <c r="H43" s="684">
        <f>industrie!G22</f>
        <v>0</v>
      </c>
      <c r="I43" s="684">
        <f>industrie!H22</f>
        <v>0</v>
      </c>
      <c r="J43" s="684">
        <f>industrie!I22</f>
        <v>0</v>
      </c>
      <c r="K43" s="684">
        <f>industrie!J22</f>
        <v>19.214639520717487</v>
      </c>
      <c r="L43" s="684">
        <f>industrie!K22</f>
        <v>0</v>
      </c>
      <c r="M43" s="684">
        <f>industrie!L22</f>
        <v>0</v>
      </c>
      <c r="N43" s="684">
        <f>industrie!M22</f>
        <v>0</v>
      </c>
      <c r="O43" s="684">
        <f>industrie!N22</f>
        <v>0</v>
      </c>
      <c r="P43" s="684">
        <f>industrie!O22</f>
        <v>0</v>
      </c>
      <c r="Q43" s="759">
        <f>industrie!P22</f>
        <v>0</v>
      </c>
      <c r="R43" s="839">
        <f t="shared" ca="1" si="4"/>
        <v>9348.7532426778962</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10712.847363019733</v>
      </c>
      <c r="D46" s="717">
        <f t="shared" ref="D46:Q46" ca="1" si="5">SUM(D39:D45)</f>
        <v>0</v>
      </c>
      <c r="E46" s="717">
        <f t="shared" ca="1" si="5"/>
        <v>15171.838983013757</v>
      </c>
      <c r="F46" s="717">
        <f t="shared" si="5"/>
        <v>617.47252175374092</v>
      </c>
      <c r="G46" s="717">
        <f t="shared" ca="1" si="5"/>
        <v>5399.1408546037901</v>
      </c>
      <c r="H46" s="717">
        <f t="shared" si="5"/>
        <v>0</v>
      </c>
      <c r="I46" s="717">
        <f t="shared" si="5"/>
        <v>0</v>
      </c>
      <c r="J46" s="717">
        <f t="shared" si="5"/>
        <v>0</v>
      </c>
      <c r="K46" s="717">
        <f t="shared" si="5"/>
        <v>716.75354725772036</v>
      </c>
      <c r="L46" s="717">
        <f t="shared" si="5"/>
        <v>0</v>
      </c>
      <c r="M46" s="717">
        <f t="shared" ca="1" si="5"/>
        <v>0</v>
      </c>
      <c r="N46" s="717">
        <f t="shared" si="5"/>
        <v>0</v>
      </c>
      <c r="O46" s="717">
        <f t="shared" ca="1" si="5"/>
        <v>0</v>
      </c>
      <c r="P46" s="717">
        <f t="shared" si="5"/>
        <v>0</v>
      </c>
      <c r="Q46" s="717">
        <f t="shared" si="5"/>
        <v>0</v>
      </c>
      <c r="R46" s="717">
        <f ca="1">SUM(R39:R45)</f>
        <v>32618.053269648743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171.01215422493851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171.01215422493851</v>
      </c>
    </row>
    <row r="50" spans="1:18">
      <c r="A50" s="815" t="s">
        <v>306</v>
      </c>
      <c r="B50" s="825"/>
      <c r="C50" s="997">
        <f ca="1">transport!B18</f>
        <v>0.23210279306481463</v>
      </c>
      <c r="D50" s="997">
        <f>transport!C18</f>
        <v>0</v>
      </c>
      <c r="E50" s="997">
        <f>transport!D18</f>
        <v>0.49146586200808545</v>
      </c>
      <c r="F50" s="997">
        <f>transport!E18</f>
        <v>35.165510609248436</v>
      </c>
      <c r="G50" s="997">
        <f>transport!F18</f>
        <v>0</v>
      </c>
      <c r="H50" s="997">
        <f>transport!G18</f>
        <v>11956.18787836306</v>
      </c>
      <c r="I50" s="997">
        <f>transport!H18</f>
        <v>1548.3650868323716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13540.442044459753</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0.23210279306481463</v>
      </c>
      <c r="D52" s="717">
        <f t="shared" ref="D52:Q52" ca="1" si="6">SUM(D48:D51)</f>
        <v>0</v>
      </c>
      <c r="E52" s="717">
        <f t="shared" si="6"/>
        <v>0.49146586200808545</v>
      </c>
      <c r="F52" s="717">
        <f t="shared" si="6"/>
        <v>35.165510609248436</v>
      </c>
      <c r="G52" s="717">
        <f t="shared" si="6"/>
        <v>0</v>
      </c>
      <c r="H52" s="717">
        <f t="shared" si="6"/>
        <v>12127.200032587998</v>
      </c>
      <c r="I52" s="717">
        <f t="shared" si="6"/>
        <v>1548.3650868323716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13711.454198684691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743.81145265880048</v>
      </c>
      <c r="D54" s="997">
        <f ca="1">+landbouw!C12</f>
        <v>4407.5042016806728</v>
      </c>
      <c r="E54" s="997">
        <f>+landbouw!D12</f>
        <v>108.18075485323241</v>
      </c>
      <c r="F54" s="997">
        <f>+landbouw!E12</f>
        <v>7.4485348427002238</v>
      </c>
      <c r="G54" s="997">
        <f>+landbouw!F12</f>
        <v>3034.8393620353027</v>
      </c>
      <c r="H54" s="997">
        <f>+landbouw!G12</f>
        <v>0</v>
      </c>
      <c r="I54" s="997">
        <f>+landbouw!H12</f>
        <v>0</v>
      </c>
      <c r="J54" s="997">
        <f>+landbouw!I12</f>
        <v>0</v>
      </c>
      <c r="K54" s="997">
        <f>+landbouw!J12</f>
        <v>152.52928786649082</v>
      </c>
      <c r="L54" s="997">
        <f>+landbouw!K12</f>
        <v>0</v>
      </c>
      <c r="M54" s="997">
        <f>+landbouw!L12</f>
        <v>0</v>
      </c>
      <c r="N54" s="997">
        <f>+landbouw!M12</f>
        <v>0</v>
      </c>
      <c r="O54" s="997">
        <f>+landbouw!N12</f>
        <v>0</v>
      </c>
      <c r="P54" s="997">
        <f>+landbouw!O12</f>
        <v>0</v>
      </c>
      <c r="Q54" s="998">
        <f>+landbouw!P12</f>
        <v>0</v>
      </c>
      <c r="R54" s="716">
        <f ca="1">SUM(C54:Q54)</f>
        <v>8454.3135939372005</v>
      </c>
    </row>
    <row r="55" spans="1:18" ht="15" thickBot="1">
      <c r="A55" s="815" t="s">
        <v>896</v>
      </c>
      <c r="B55" s="825"/>
      <c r="C55" s="997">
        <f ca="1">C25*'EF ele_warmte'!B12</f>
        <v>150.20556104854529</v>
      </c>
      <c r="D55" s="997"/>
      <c r="E55" s="997">
        <f>E25*EF_CO2_aardgas</f>
        <v>400.30111356446241</v>
      </c>
      <c r="F55" s="997"/>
      <c r="G55" s="997"/>
      <c r="H55" s="997"/>
      <c r="I55" s="997"/>
      <c r="J55" s="997"/>
      <c r="K55" s="997"/>
      <c r="L55" s="997"/>
      <c r="M55" s="997"/>
      <c r="N55" s="997"/>
      <c r="O55" s="997"/>
      <c r="P55" s="997"/>
      <c r="Q55" s="998"/>
      <c r="R55" s="716">
        <f ca="1">SUM(C55:Q55)</f>
        <v>550.5066746130077</v>
      </c>
    </row>
    <row r="56" spans="1:18" ht="15.75" thickBot="1">
      <c r="A56" s="813" t="s">
        <v>897</v>
      </c>
      <c r="B56" s="826"/>
      <c r="C56" s="717">
        <f ca="1">SUM(C54:C55)</f>
        <v>894.01701370734577</v>
      </c>
      <c r="D56" s="717">
        <f t="shared" ref="D56:Q56" ca="1" si="7">SUM(D54:D55)</f>
        <v>4407.5042016806728</v>
      </c>
      <c r="E56" s="717">
        <f t="shared" si="7"/>
        <v>508.48186841769484</v>
      </c>
      <c r="F56" s="717">
        <f t="shared" si="7"/>
        <v>7.4485348427002238</v>
      </c>
      <c r="G56" s="717">
        <f t="shared" si="7"/>
        <v>3034.8393620353027</v>
      </c>
      <c r="H56" s="717">
        <f t="shared" si="7"/>
        <v>0</v>
      </c>
      <c r="I56" s="717">
        <f t="shared" si="7"/>
        <v>0</v>
      </c>
      <c r="J56" s="717">
        <f t="shared" si="7"/>
        <v>0</v>
      </c>
      <c r="K56" s="717">
        <f t="shared" si="7"/>
        <v>152.52928786649082</v>
      </c>
      <c r="L56" s="717">
        <f t="shared" si="7"/>
        <v>0</v>
      </c>
      <c r="M56" s="717">
        <f t="shared" si="7"/>
        <v>0</v>
      </c>
      <c r="N56" s="717">
        <f t="shared" si="7"/>
        <v>0</v>
      </c>
      <c r="O56" s="717">
        <f t="shared" si="7"/>
        <v>0</v>
      </c>
      <c r="P56" s="717">
        <f t="shared" si="7"/>
        <v>0</v>
      </c>
      <c r="Q56" s="718">
        <f t="shared" si="7"/>
        <v>0</v>
      </c>
      <c r="R56" s="719">
        <f ca="1">SUM(R54:R55)</f>
        <v>9004.8202685502074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11607.096479520143</v>
      </c>
      <c r="D61" s="725">
        <f t="shared" ref="D61:Q61" ca="1" si="8">D46+D52+D56</f>
        <v>4407.5042016806728</v>
      </c>
      <c r="E61" s="725">
        <f t="shared" ca="1" si="8"/>
        <v>15680.812317293459</v>
      </c>
      <c r="F61" s="725">
        <f t="shared" si="8"/>
        <v>660.08656720568968</v>
      </c>
      <c r="G61" s="725">
        <f t="shared" ca="1" si="8"/>
        <v>8433.9802166390928</v>
      </c>
      <c r="H61" s="725">
        <f t="shared" si="8"/>
        <v>12127.200032587998</v>
      </c>
      <c r="I61" s="725">
        <f t="shared" si="8"/>
        <v>1548.3650868323716</v>
      </c>
      <c r="J61" s="725">
        <f t="shared" si="8"/>
        <v>0</v>
      </c>
      <c r="K61" s="725">
        <f t="shared" si="8"/>
        <v>869.28283512421115</v>
      </c>
      <c r="L61" s="725">
        <f t="shared" si="8"/>
        <v>0</v>
      </c>
      <c r="M61" s="725">
        <f t="shared" ca="1" si="8"/>
        <v>0</v>
      </c>
      <c r="N61" s="725">
        <f t="shared" si="8"/>
        <v>0</v>
      </c>
      <c r="O61" s="725">
        <f t="shared" ca="1" si="8"/>
        <v>0</v>
      </c>
      <c r="P61" s="725">
        <f t="shared" si="8"/>
        <v>0</v>
      </c>
      <c r="Q61" s="725">
        <f t="shared" si="8"/>
        <v>0</v>
      </c>
      <c r="R61" s="725">
        <f ca="1">R46+R52+R56</f>
        <v>55334.327736883643</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0.21355003974132389</v>
      </c>
      <c r="D63" s="769">
        <f t="shared" ca="1" si="9"/>
        <v>0.23764705882352943</v>
      </c>
      <c r="E63" s="999">
        <f t="shared" ca="1" si="9"/>
        <v>0.20199999999999999</v>
      </c>
      <c r="F63" s="769">
        <f t="shared" si="9"/>
        <v>0.22700000000000006</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2810.1743021578077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12982.5</v>
      </c>
      <c r="D76" s="1009">
        <f>'lokale energieproductie'!C8</f>
        <v>15273.529411764706</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3085.2529411764708</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2810.1743021578077</v>
      </c>
      <c r="C78" s="740">
        <f>SUM(C72:C77)</f>
        <v>12982.5</v>
      </c>
      <c r="D78" s="741">
        <f t="shared" ref="D78:H78" si="10">SUM(D76:D77)</f>
        <v>15273.529411764706</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3085.2529411764708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18546.428571428572</v>
      </c>
      <c r="D87" s="762">
        <f>'lokale energieproductie'!C17</f>
        <v>21819.327731092439</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4407.5042016806728</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18546.428571428572</v>
      </c>
      <c r="D90" s="740">
        <f t="shared" ref="D90:H90" si="12">SUM(D87:D89)</f>
        <v>21819.327731092439</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4407.5042016806728</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18214.232101268812</v>
      </c>
      <c r="C4" s="457">
        <f>huishoudens!C8</f>
        <v>0</v>
      </c>
      <c r="D4" s="457">
        <f>huishoudens!D8</f>
        <v>43347.681362389165</v>
      </c>
      <c r="E4" s="457">
        <f>huishoudens!E8</f>
        <v>2445.9614613502686</v>
      </c>
      <c r="F4" s="457">
        <f>huishoudens!F8</f>
        <v>12918.203890205888</v>
      </c>
      <c r="G4" s="457">
        <f>huishoudens!G8</f>
        <v>0</v>
      </c>
      <c r="H4" s="457">
        <f>huishoudens!H8</f>
        <v>0</v>
      </c>
      <c r="I4" s="457">
        <f>huishoudens!I8</f>
        <v>0</v>
      </c>
      <c r="J4" s="457">
        <f>huishoudens!J8</f>
        <v>1970.4488919124376</v>
      </c>
      <c r="K4" s="457">
        <f>huishoudens!K8</f>
        <v>0</v>
      </c>
      <c r="L4" s="457">
        <f>huishoudens!L8</f>
        <v>0</v>
      </c>
      <c r="M4" s="457">
        <f>huishoudens!M8</f>
        <v>0</v>
      </c>
      <c r="N4" s="457">
        <f>huishoudens!N8</f>
        <v>12680.301778872768</v>
      </c>
      <c r="O4" s="457">
        <f>huishoudens!O8</f>
        <v>48.463333333333338</v>
      </c>
      <c r="P4" s="458">
        <f>huishoudens!P8</f>
        <v>133.46666666666667</v>
      </c>
      <c r="Q4" s="459">
        <f>SUM(B4:P4)</f>
        <v>91758.759485999341</v>
      </c>
    </row>
    <row r="5" spans="1:17">
      <c r="A5" s="456" t="s">
        <v>155</v>
      </c>
      <c r="B5" s="457">
        <f ca="1">tertiair!B16</f>
        <v>12476.588397253787</v>
      </c>
      <c r="C5" s="457">
        <f ca="1">tertiair!C16</f>
        <v>0</v>
      </c>
      <c r="D5" s="457">
        <f ca="1">tertiair!D16</f>
        <v>11410.929906405721</v>
      </c>
      <c r="E5" s="457">
        <f>tertiair!E16</f>
        <v>115.67007017563412</v>
      </c>
      <c r="F5" s="457">
        <f ca="1">tertiair!F16</f>
        <v>2750.2133601036594</v>
      </c>
      <c r="G5" s="457">
        <f>tertiair!G16</f>
        <v>0</v>
      </c>
      <c r="H5" s="457">
        <f>tertiair!H16</f>
        <v>0</v>
      </c>
      <c r="I5" s="457">
        <f>tertiair!I16</f>
        <v>0</v>
      </c>
      <c r="J5" s="457">
        <f>tertiair!J16</f>
        <v>0</v>
      </c>
      <c r="K5" s="457">
        <f>tertiair!K16</f>
        <v>0</v>
      </c>
      <c r="L5" s="457">
        <f ca="1">tertiair!L16</f>
        <v>0</v>
      </c>
      <c r="M5" s="457">
        <f>tertiair!M16</f>
        <v>0</v>
      </c>
      <c r="N5" s="457">
        <f ca="1">tertiair!N16</f>
        <v>1547.782156184812</v>
      </c>
      <c r="O5" s="457">
        <f>tertiair!O16</f>
        <v>1.5633333333333335</v>
      </c>
      <c r="P5" s="458">
        <f>tertiair!P16</f>
        <v>0</v>
      </c>
      <c r="Q5" s="456">
        <f t="shared" ref="Q5:Q14" ca="1" si="0">SUM(B5:P5)</f>
        <v>28302.747223456943</v>
      </c>
    </row>
    <row r="6" spans="1:17">
      <c r="A6" s="456" t="s">
        <v>193</v>
      </c>
      <c r="B6" s="457">
        <f>'openbare verlichting'!B8</f>
        <v>896.923</v>
      </c>
      <c r="C6" s="457"/>
      <c r="D6" s="457"/>
      <c r="E6" s="457"/>
      <c r="F6" s="457"/>
      <c r="G6" s="457"/>
      <c r="H6" s="457"/>
      <c r="I6" s="457"/>
      <c r="J6" s="457"/>
      <c r="K6" s="457"/>
      <c r="L6" s="457"/>
      <c r="M6" s="457"/>
      <c r="N6" s="457"/>
      <c r="O6" s="457"/>
      <c r="P6" s="458"/>
      <c r="Q6" s="456">
        <f t="shared" si="0"/>
        <v>896.923</v>
      </c>
    </row>
    <row r="7" spans="1:17">
      <c r="A7" s="456" t="s">
        <v>111</v>
      </c>
      <c r="B7" s="457">
        <f>landbouw!B8</f>
        <v>3483.0780343557394</v>
      </c>
      <c r="C7" s="457">
        <f>landbouw!C8</f>
        <v>18546.428571428572</v>
      </c>
      <c r="D7" s="457">
        <f>landbouw!D8</f>
        <v>535.54829135263572</v>
      </c>
      <c r="E7" s="457">
        <f>landbouw!E8</f>
        <v>32.812928822467946</v>
      </c>
      <c r="F7" s="457">
        <f>landbouw!F8</f>
        <v>11366.439558184653</v>
      </c>
      <c r="G7" s="457">
        <f>landbouw!G8</f>
        <v>0</v>
      </c>
      <c r="H7" s="457">
        <f>landbouw!H8</f>
        <v>0</v>
      </c>
      <c r="I7" s="457">
        <f>landbouw!I8</f>
        <v>0</v>
      </c>
      <c r="J7" s="457">
        <f>landbouw!J8</f>
        <v>430.8736945381097</v>
      </c>
      <c r="K7" s="457">
        <f>landbouw!K8</f>
        <v>0</v>
      </c>
      <c r="L7" s="457">
        <f>landbouw!L8</f>
        <v>0</v>
      </c>
      <c r="M7" s="457">
        <f>landbouw!M8</f>
        <v>0</v>
      </c>
      <c r="N7" s="457">
        <f>landbouw!N8</f>
        <v>0</v>
      </c>
      <c r="O7" s="457">
        <f>landbouw!O8</f>
        <v>0</v>
      </c>
      <c r="P7" s="458">
        <f>landbouw!P8</f>
        <v>0</v>
      </c>
      <c r="Q7" s="456">
        <f t="shared" si="0"/>
        <v>34395.181078682173</v>
      </c>
    </row>
    <row r="8" spans="1:17">
      <c r="A8" s="456" t="s">
        <v>682</v>
      </c>
      <c r="B8" s="457">
        <f>industrie!B18</f>
        <v>18577.769820961454</v>
      </c>
      <c r="C8" s="457">
        <f>industrie!C18</f>
        <v>0</v>
      </c>
      <c r="D8" s="457">
        <f>industrie!D18</f>
        <v>20349.502508500944</v>
      </c>
      <c r="E8" s="457">
        <f>industrie!E18</f>
        <v>158.51173611172214</v>
      </c>
      <c r="F8" s="457">
        <f>industrie!F18</f>
        <v>4553.0840777945323</v>
      </c>
      <c r="G8" s="457">
        <f>industrie!G18</f>
        <v>0</v>
      </c>
      <c r="H8" s="457">
        <f>industrie!H18</f>
        <v>0</v>
      </c>
      <c r="I8" s="457">
        <f>industrie!I18</f>
        <v>0</v>
      </c>
      <c r="J8" s="457">
        <f>industrie!J18</f>
        <v>54.278642713891209</v>
      </c>
      <c r="K8" s="457">
        <f>industrie!K18</f>
        <v>0</v>
      </c>
      <c r="L8" s="457">
        <f>industrie!L18</f>
        <v>0</v>
      </c>
      <c r="M8" s="457">
        <f>industrie!M18</f>
        <v>0</v>
      </c>
      <c r="N8" s="457">
        <f>industrie!N18</f>
        <v>564.99657129990521</v>
      </c>
      <c r="O8" s="457">
        <f>industrie!O18</f>
        <v>0</v>
      </c>
      <c r="P8" s="458">
        <f>industrie!P18</f>
        <v>0</v>
      </c>
      <c r="Q8" s="456">
        <f t="shared" si="0"/>
        <v>44258.143357382454</v>
      </c>
    </row>
    <row r="9" spans="1:17" s="462" customFormat="1">
      <c r="A9" s="460" t="s">
        <v>578</v>
      </c>
      <c r="B9" s="461">
        <f>transport!B14</f>
        <v>1.0868777797745388</v>
      </c>
      <c r="C9" s="461">
        <f>transport!C14</f>
        <v>0</v>
      </c>
      <c r="D9" s="461">
        <f>transport!D14</f>
        <v>2.4329993168717099</v>
      </c>
      <c r="E9" s="461">
        <f>transport!E14</f>
        <v>154.91414365307679</v>
      </c>
      <c r="F9" s="461">
        <f>transport!F14</f>
        <v>0</v>
      </c>
      <c r="G9" s="461">
        <f>transport!G14</f>
        <v>44779.729881509586</v>
      </c>
      <c r="H9" s="461">
        <f>transport!H14</f>
        <v>6218.3336820577169</v>
      </c>
      <c r="I9" s="461">
        <f>transport!I14</f>
        <v>0</v>
      </c>
      <c r="J9" s="461">
        <f>transport!J14</f>
        <v>0</v>
      </c>
      <c r="K9" s="461">
        <f>transport!K14</f>
        <v>0</v>
      </c>
      <c r="L9" s="461">
        <f>transport!L14</f>
        <v>0</v>
      </c>
      <c r="M9" s="461">
        <f>transport!M14</f>
        <v>2277.3358209532034</v>
      </c>
      <c r="N9" s="461">
        <f>transport!N14</f>
        <v>0</v>
      </c>
      <c r="O9" s="461">
        <f>transport!O14</f>
        <v>0</v>
      </c>
      <c r="P9" s="461">
        <f>transport!P14</f>
        <v>0</v>
      </c>
      <c r="Q9" s="460">
        <f>SUM(B9:P9)</f>
        <v>53433.833405270227</v>
      </c>
    </row>
    <row r="10" spans="1:17">
      <c r="A10" s="456" t="s">
        <v>568</v>
      </c>
      <c r="B10" s="457">
        <f>transport!B54</f>
        <v>0</v>
      </c>
      <c r="C10" s="457">
        <f>transport!C54</f>
        <v>0</v>
      </c>
      <c r="D10" s="457">
        <f>transport!D54</f>
        <v>0</v>
      </c>
      <c r="E10" s="457">
        <f>transport!E54</f>
        <v>0</v>
      </c>
      <c r="F10" s="457">
        <f>transport!F54</f>
        <v>0</v>
      </c>
      <c r="G10" s="457">
        <f>transport!G54</f>
        <v>640.49495964396442</v>
      </c>
      <c r="H10" s="457">
        <f>transport!H54</f>
        <v>0</v>
      </c>
      <c r="I10" s="457">
        <f>transport!I54</f>
        <v>0</v>
      </c>
      <c r="J10" s="457">
        <f>transport!J54</f>
        <v>0</v>
      </c>
      <c r="K10" s="457">
        <f>transport!K54</f>
        <v>0</v>
      </c>
      <c r="L10" s="457">
        <f>transport!L54</f>
        <v>0</v>
      </c>
      <c r="M10" s="457">
        <f>transport!M54</f>
        <v>28.102464440810678</v>
      </c>
      <c r="N10" s="457">
        <f>transport!N54</f>
        <v>0</v>
      </c>
      <c r="O10" s="457">
        <f>transport!O54</f>
        <v>0</v>
      </c>
      <c r="P10" s="458">
        <f>transport!P54</f>
        <v>0</v>
      </c>
      <c r="Q10" s="456">
        <f t="shared" si="0"/>
        <v>668.59742408477507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703.37407209331991</v>
      </c>
      <c r="C14" s="464"/>
      <c r="D14" s="464">
        <f>'SEAP template'!E25</f>
        <v>1981.68868101219</v>
      </c>
      <c r="E14" s="464"/>
      <c r="F14" s="464"/>
      <c r="G14" s="464"/>
      <c r="H14" s="464"/>
      <c r="I14" s="464"/>
      <c r="J14" s="464"/>
      <c r="K14" s="464"/>
      <c r="L14" s="464"/>
      <c r="M14" s="464"/>
      <c r="N14" s="464"/>
      <c r="O14" s="464"/>
      <c r="P14" s="465"/>
      <c r="Q14" s="456">
        <f t="shared" si="0"/>
        <v>2685.0627531055097</v>
      </c>
    </row>
    <row r="15" spans="1:17" s="469" customFormat="1">
      <c r="A15" s="466" t="s">
        <v>572</v>
      </c>
      <c r="B15" s="467">
        <f ca="1">SUM(B4:B14)</f>
        <v>54353.052303712881</v>
      </c>
      <c r="C15" s="467">
        <f t="shared" ref="C15:Q15" ca="1" si="1">SUM(C4:C14)</f>
        <v>18546.428571428572</v>
      </c>
      <c r="D15" s="467">
        <f t="shared" ca="1" si="1"/>
        <v>77627.783748977527</v>
      </c>
      <c r="E15" s="467">
        <f t="shared" si="1"/>
        <v>2907.8703401131697</v>
      </c>
      <c r="F15" s="467">
        <f t="shared" ca="1" si="1"/>
        <v>31587.940886288736</v>
      </c>
      <c r="G15" s="467">
        <f t="shared" si="1"/>
        <v>45420.224841153547</v>
      </c>
      <c r="H15" s="467">
        <f t="shared" si="1"/>
        <v>6218.3336820577169</v>
      </c>
      <c r="I15" s="467">
        <f t="shared" si="1"/>
        <v>0</v>
      </c>
      <c r="J15" s="467">
        <f t="shared" si="1"/>
        <v>2455.6012291644388</v>
      </c>
      <c r="K15" s="467">
        <f t="shared" si="1"/>
        <v>0</v>
      </c>
      <c r="L15" s="467">
        <f t="shared" ca="1" si="1"/>
        <v>0</v>
      </c>
      <c r="M15" s="467">
        <f t="shared" si="1"/>
        <v>2305.4382853940142</v>
      </c>
      <c r="N15" s="467">
        <f t="shared" ca="1" si="1"/>
        <v>14793.080506357486</v>
      </c>
      <c r="O15" s="467">
        <f t="shared" si="1"/>
        <v>50.026666666666671</v>
      </c>
      <c r="P15" s="467">
        <f t="shared" si="1"/>
        <v>133.46666666666667</v>
      </c>
      <c r="Q15" s="467">
        <f t="shared" ca="1" si="1"/>
        <v>256399.24772798145</v>
      </c>
    </row>
    <row r="17" spans="1:17">
      <c r="A17" s="470" t="s">
        <v>573</v>
      </c>
      <c r="B17" s="774">
        <f ca="1">huishoudens!B10</f>
        <v>0.21355003974132389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3889.6499890836521</v>
      </c>
      <c r="C22" s="457">
        <f t="shared" ref="C22:C32" ca="1" si="3">C4*$C$17</f>
        <v>0</v>
      </c>
      <c r="D22" s="457">
        <f t="shared" ref="D22:D32" si="4">D4*$D$17</f>
        <v>8756.2316352026119</v>
      </c>
      <c r="E22" s="457">
        <f t="shared" ref="E22:E32" si="5">E4*$E$17</f>
        <v>555.23325172651096</v>
      </c>
      <c r="F22" s="457">
        <f t="shared" ref="F22:F32" si="6">F4*$F$17</f>
        <v>3449.1604386849726</v>
      </c>
      <c r="G22" s="457">
        <f t="shared" ref="G22:G32" si="7">G4*$G$17</f>
        <v>0</v>
      </c>
      <c r="H22" s="457">
        <f t="shared" ref="H22:H32" si="8">H4*$H$17</f>
        <v>0</v>
      </c>
      <c r="I22" s="457">
        <f t="shared" ref="I22:I32" si="9">I4*$I$17</f>
        <v>0</v>
      </c>
      <c r="J22" s="457">
        <f t="shared" ref="J22:J32" si="10">J4*$J$17</f>
        <v>697.53890773700289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17347.81422243475</v>
      </c>
    </row>
    <row r="23" spans="1:17">
      <c r="A23" s="456" t="s">
        <v>155</v>
      </c>
      <c r="B23" s="457">
        <f t="shared" ca="1" si="2"/>
        <v>2664.3759480696867</v>
      </c>
      <c r="C23" s="457">
        <f t="shared" ca="1" si="3"/>
        <v>0</v>
      </c>
      <c r="D23" s="457">
        <f t="shared" ca="1" si="4"/>
        <v>2305.0078410939559</v>
      </c>
      <c r="E23" s="457">
        <f t="shared" si="5"/>
        <v>26.257105929868946</v>
      </c>
      <c r="F23" s="457">
        <f t="shared" ca="1" si="6"/>
        <v>734.30696714767714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5729.9478622411889</v>
      </c>
    </row>
    <row r="24" spans="1:17">
      <c r="A24" s="456" t="s">
        <v>193</v>
      </c>
      <c r="B24" s="457">
        <f t="shared" ca="1" si="2"/>
        <v>191.53794229490745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191.53794229490745</v>
      </c>
    </row>
    <row r="25" spans="1:17">
      <c r="A25" s="456" t="s">
        <v>111</v>
      </c>
      <c r="B25" s="457">
        <f t="shared" ca="1" si="2"/>
        <v>743.81145265880048</v>
      </c>
      <c r="C25" s="457">
        <f t="shared" ca="1" si="3"/>
        <v>4407.5042016806728</v>
      </c>
      <c r="D25" s="457">
        <f t="shared" si="4"/>
        <v>108.18075485323241</v>
      </c>
      <c r="E25" s="457">
        <f t="shared" si="5"/>
        <v>7.4485348427002238</v>
      </c>
      <c r="F25" s="457">
        <f t="shared" si="6"/>
        <v>3034.8393620353027</v>
      </c>
      <c r="G25" s="457">
        <f t="shared" si="7"/>
        <v>0</v>
      </c>
      <c r="H25" s="457">
        <f t="shared" si="8"/>
        <v>0</v>
      </c>
      <c r="I25" s="457">
        <f t="shared" si="9"/>
        <v>0</v>
      </c>
      <c r="J25" s="457">
        <f t="shared" si="10"/>
        <v>152.52928786649082</v>
      </c>
      <c r="K25" s="457">
        <f t="shared" si="11"/>
        <v>0</v>
      </c>
      <c r="L25" s="457">
        <f t="shared" si="12"/>
        <v>0</v>
      </c>
      <c r="M25" s="457">
        <f t="shared" si="13"/>
        <v>0</v>
      </c>
      <c r="N25" s="457">
        <f t="shared" si="14"/>
        <v>0</v>
      </c>
      <c r="O25" s="457">
        <f t="shared" si="15"/>
        <v>0</v>
      </c>
      <c r="P25" s="458">
        <f t="shared" si="16"/>
        <v>0</v>
      </c>
      <c r="Q25" s="456">
        <f t="shared" ca="1" si="17"/>
        <v>8454.3135939372005</v>
      </c>
    </row>
    <row r="26" spans="1:17">
      <c r="A26" s="456" t="s">
        <v>682</v>
      </c>
      <c r="B26" s="457">
        <f t="shared" ca="1" si="2"/>
        <v>3967.2834835714862</v>
      </c>
      <c r="C26" s="457">
        <f t="shared" ca="1" si="3"/>
        <v>0</v>
      </c>
      <c r="D26" s="457">
        <f t="shared" si="4"/>
        <v>4110.5995067171907</v>
      </c>
      <c r="E26" s="457">
        <f t="shared" si="5"/>
        <v>35.982164097360929</v>
      </c>
      <c r="F26" s="457">
        <f t="shared" si="6"/>
        <v>1215.6734487711401</v>
      </c>
      <c r="G26" s="457">
        <f t="shared" si="7"/>
        <v>0</v>
      </c>
      <c r="H26" s="457">
        <f t="shared" si="8"/>
        <v>0</v>
      </c>
      <c r="I26" s="457">
        <f t="shared" si="9"/>
        <v>0</v>
      </c>
      <c r="J26" s="457">
        <f t="shared" si="10"/>
        <v>19.214639520717487</v>
      </c>
      <c r="K26" s="457">
        <f t="shared" si="11"/>
        <v>0</v>
      </c>
      <c r="L26" s="457">
        <f t="shared" si="12"/>
        <v>0</v>
      </c>
      <c r="M26" s="457">
        <f t="shared" si="13"/>
        <v>0</v>
      </c>
      <c r="N26" s="457">
        <f t="shared" si="14"/>
        <v>0</v>
      </c>
      <c r="O26" s="457">
        <f t="shared" si="15"/>
        <v>0</v>
      </c>
      <c r="P26" s="458">
        <f t="shared" si="16"/>
        <v>0</v>
      </c>
      <c r="Q26" s="456">
        <f t="shared" ca="1" si="17"/>
        <v>9348.7532426778962</v>
      </c>
    </row>
    <row r="27" spans="1:17" s="462" customFormat="1">
      <c r="A27" s="460" t="s">
        <v>578</v>
      </c>
      <c r="B27" s="768">
        <f t="shared" ca="1" si="2"/>
        <v>0.23210279306481463</v>
      </c>
      <c r="C27" s="461">
        <f t="shared" ca="1" si="3"/>
        <v>0</v>
      </c>
      <c r="D27" s="461">
        <f t="shared" si="4"/>
        <v>0.49146586200808545</v>
      </c>
      <c r="E27" s="461">
        <f t="shared" si="5"/>
        <v>35.165510609248436</v>
      </c>
      <c r="F27" s="461">
        <f t="shared" si="6"/>
        <v>0</v>
      </c>
      <c r="G27" s="461">
        <f t="shared" si="7"/>
        <v>11956.18787836306</v>
      </c>
      <c r="H27" s="461">
        <f t="shared" si="8"/>
        <v>1548.3650868323716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13540.442044459753</v>
      </c>
    </row>
    <row r="28" spans="1:17">
      <c r="A28" s="456" t="s">
        <v>568</v>
      </c>
      <c r="B28" s="457">
        <f t="shared" ca="1" si="2"/>
        <v>0</v>
      </c>
      <c r="C28" s="457">
        <f t="shared" ca="1" si="3"/>
        <v>0</v>
      </c>
      <c r="D28" s="457">
        <f t="shared" si="4"/>
        <v>0</v>
      </c>
      <c r="E28" s="457">
        <f t="shared" si="5"/>
        <v>0</v>
      </c>
      <c r="F28" s="457">
        <f t="shared" si="6"/>
        <v>0</v>
      </c>
      <c r="G28" s="457">
        <f t="shared" si="7"/>
        <v>171.01215422493851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171.01215422493851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150.20556104854529</v>
      </c>
      <c r="C32" s="457">
        <f t="shared" ca="1" si="3"/>
        <v>0</v>
      </c>
      <c r="D32" s="457">
        <f t="shared" si="4"/>
        <v>400.30111356446241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550.5066746130077</v>
      </c>
    </row>
    <row r="33" spans="1:17" s="469" customFormat="1">
      <c r="A33" s="466" t="s">
        <v>572</v>
      </c>
      <c r="B33" s="467">
        <f ca="1">SUM(B22:B32)</f>
        <v>11607.096479520143</v>
      </c>
      <c r="C33" s="467">
        <f t="shared" ref="C33:Q33" ca="1" si="18">SUM(C22:C32)</f>
        <v>4407.5042016806728</v>
      </c>
      <c r="D33" s="467">
        <f t="shared" ca="1" si="18"/>
        <v>15680.812317293461</v>
      </c>
      <c r="E33" s="467">
        <f t="shared" si="18"/>
        <v>660.08656720568968</v>
      </c>
      <c r="F33" s="467">
        <f t="shared" ca="1" si="18"/>
        <v>8433.9802166390928</v>
      </c>
      <c r="G33" s="467">
        <f t="shared" si="18"/>
        <v>12127.200032587998</v>
      </c>
      <c r="H33" s="467">
        <f t="shared" si="18"/>
        <v>1548.3650868323716</v>
      </c>
      <c r="I33" s="467">
        <f t="shared" si="18"/>
        <v>0</v>
      </c>
      <c r="J33" s="467">
        <f t="shared" si="18"/>
        <v>869.28283512421115</v>
      </c>
      <c r="K33" s="467">
        <f t="shared" si="18"/>
        <v>0</v>
      </c>
      <c r="L33" s="467">
        <f t="shared" ca="1" si="18"/>
        <v>0</v>
      </c>
      <c r="M33" s="467">
        <f t="shared" si="18"/>
        <v>0</v>
      </c>
      <c r="N33" s="467">
        <f t="shared" ca="1" si="18"/>
        <v>0</v>
      </c>
      <c r="O33" s="467">
        <f t="shared" si="18"/>
        <v>0</v>
      </c>
      <c r="P33" s="467">
        <f t="shared" si="18"/>
        <v>0</v>
      </c>
      <c r="Q33" s="467">
        <f t="shared" ca="1" si="18"/>
        <v>55334.32773688365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2810.1743021578077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12982.5</v>
      </c>
      <c r="D8" s="1026">
        <f>'SEAP template'!D76</f>
        <v>15273.529411764706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3085.2529411764708</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2810.1743021578077</v>
      </c>
      <c r="C10" s="1030">
        <f>SUM(C4:C9)</f>
        <v>12982.5</v>
      </c>
      <c r="D10" s="1030">
        <f t="shared" ref="D10:H10" si="0">SUM(D8:D9)</f>
        <v>15273.529411764706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3085.2529411764708</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0.21355003974132389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18546.428571428572</v>
      </c>
      <c r="D17" s="1027">
        <f>'SEAP template'!D87</f>
        <v>21819.327731092439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4407.5042016806728</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18546.428571428572</v>
      </c>
      <c r="D20" s="1030">
        <f t="shared" ref="D20:H20" si="2">SUM(D17:D19)</f>
        <v>21819.327731092439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4407.5042016806728</v>
      </c>
    </row>
    <row r="22" spans="1:16">
      <c r="A22" s="470" t="s">
        <v>916</v>
      </c>
      <c r="B22" s="774" t="s">
        <v>910</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0.21355003974132389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0.21355003974132389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0.21355003974132389</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4380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761</v>
      </c>
      <c r="C14" s="332"/>
      <c r="D14" s="332"/>
      <c r="E14" s="332"/>
      <c r="F14" s="332"/>
    </row>
    <row r="15" spans="1:6">
      <c r="A15" s="1299" t="s">
        <v>183</v>
      </c>
      <c r="B15" s="1300">
        <v>777</v>
      </c>
      <c r="C15" s="332"/>
      <c r="D15" s="332"/>
      <c r="E15" s="332"/>
      <c r="F15" s="332"/>
    </row>
    <row r="16" spans="1:6">
      <c r="A16" s="1299" t="s">
        <v>6</v>
      </c>
      <c r="B16" s="1300">
        <v>105</v>
      </c>
      <c r="C16" s="332"/>
      <c r="D16" s="332"/>
      <c r="E16" s="332"/>
      <c r="F16" s="332"/>
    </row>
    <row r="17" spans="1:6">
      <c r="A17" s="1299" t="s">
        <v>7</v>
      </c>
      <c r="B17" s="1300">
        <v>92</v>
      </c>
      <c r="C17" s="332"/>
      <c r="D17" s="332"/>
      <c r="E17" s="332"/>
      <c r="F17" s="332"/>
    </row>
    <row r="18" spans="1:6">
      <c r="A18" s="1299" t="s">
        <v>8</v>
      </c>
      <c r="B18" s="1300">
        <v>192</v>
      </c>
      <c r="C18" s="332"/>
      <c r="D18" s="332"/>
      <c r="E18" s="332"/>
      <c r="F18" s="332"/>
    </row>
    <row r="19" spans="1:6">
      <c r="A19" s="1299" t="s">
        <v>9</v>
      </c>
      <c r="B19" s="1300">
        <v>114</v>
      </c>
      <c r="C19" s="332"/>
      <c r="D19" s="332"/>
      <c r="E19" s="332"/>
      <c r="F19" s="332"/>
    </row>
    <row r="20" spans="1:6">
      <c r="A20" s="1299" t="s">
        <v>10</v>
      </c>
      <c r="B20" s="1300">
        <v>150</v>
      </c>
      <c r="C20" s="332"/>
      <c r="D20" s="332"/>
      <c r="E20" s="332"/>
      <c r="F20" s="332"/>
    </row>
    <row r="21" spans="1:6">
      <c r="A21" s="1299" t="s">
        <v>11</v>
      </c>
      <c r="B21" s="1300">
        <v>1083</v>
      </c>
      <c r="C21" s="332"/>
      <c r="D21" s="332"/>
      <c r="E21" s="332"/>
      <c r="F21" s="332"/>
    </row>
    <row r="22" spans="1:6">
      <c r="A22" s="1299" t="s">
        <v>12</v>
      </c>
      <c r="B22" s="1300">
        <v>8322</v>
      </c>
      <c r="C22" s="332"/>
      <c r="D22" s="332"/>
      <c r="E22" s="332"/>
      <c r="F22" s="332"/>
    </row>
    <row r="23" spans="1:6">
      <c r="A23" s="1299" t="s">
        <v>13</v>
      </c>
      <c r="B23" s="1300">
        <v>34</v>
      </c>
      <c r="C23" s="332"/>
      <c r="D23" s="332"/>
      <c r="E23" s="332"/>
      <c r="F23" s="332"/>
    </row>
    <row r="24" spans="1:6">
      <c r="A24" s="1299" t="s">
        <v>14</v>
      </c>
      <c r="B24" s="1300">
        <v>3</v>
      </c>
      <c r="C24" s="332"/>
      <c r="D24" s="332"/>
      <c r="E24" s="332"/>
      <c r="F24" s="332"/>
    </row>
    <row r="25" spans="1:6">
      <c r="A25" s="1299" t="s">
        <v>15</v>
      </c>
      <c r="B25" s="1300">
        <v>301</v>
      </c>
      <c r="C25" s="332"/>
      <c r="D25" s="332"/>
      <c r="E25" s="332"/>
      <c r="F25" s="332"/>
    </row>
    <row r="26" spans="1:6">
      <c r="A26" s="1299" t="s">
        <v>16</v>
      </c>
      <c r="B26" s="1300">
        <v>25</v>
      </c>
      <c r="C26" s="332"/>
      <c r="D26" s="332"/>
      <c r="E26" s="332"/>
      <c r="F26" s="332"/>
    </row>
    <row r="27" spans="1:6">
      <c r="A27" s="1299" t="s">
        <v>17</v>
      </c>
      <c r="B27" s="1300">
        <v>0</v>
      </c>
      <c r="C27" s="332"/>
      <c r="D27" s="332"/>
      <c r="E27" s="332"/>
      <c r="F27" s="332"/>
    </row>
    <row r="28" spans="1:6" s="44" customFormat="1">
      <c r="A28" s="1301" t="s">
        <v>18</v>
      </c>
      <c r="B28" s="1302">
        <v>63383</v>
      </c>
      <c r="C28" s="338"/>
      <c r="D28" s="338"/>
      <c r="E28" s="338"/>
      <c r="F28" s="338"/>
    </row>
    <row r="29" spans="1:6">
      <c r="A29" s="1301" t="s">
        <v>950</v>
      </c>
      <c r="B29" s="1302">
        <v>88</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0</v>
      </c>
      <c r="E38" s="1300">
        <v>5</v>
      </c>
      <c r="F38" s="1300">
        <v>278265.02289343101</v>
      </c>
    </row>
    <row r="39" spans="1:6">
      <c r="A39" s="1299" t="s">
        <v>29</v>
      </c>
      <c r="B39" s="1299" t="s">
        <v>30</v>
      </c>
      <c r="C39" s="1300">
        <v>2842</v>
      </c>
      <c r="D39" s="1300">
        <v>48057296.410631001</v>
      </c>
      <c r="E39" s="1300">
        <v>4148</v>
      </c>
      <c r="F39" s="1300">
        <v>16393489.3287383</v>
      </c>
    </row>
    <row r="40" spans="1:6">
      <c r="A40" s="1299" t="s">
        <v>29</v>
      </c>
      <c r="B40" s="1299" t="s">
        <v>28</v>
      </c>
      <c r="C40" s="1300">
        <v>0</v>
      </c>
      <c r="D40" s="1300">
        <v>0</v>
      </c>
      <c r="E40" s="1300">
        <v>0</v>
      </c>
      <c r="F40" s="1300">
        <v>0</v>
      </c>
    </row>
    <row r="41" spans="1:6">
      <c r="A41" s="1299" t="s">
        <v>31</v>
      </c>
      <c r="B41" s="1299" t="s">
        <v>32</v>
      </c>
      <c r="C41" s="1300">
        <v>73</v>
      </c>
      <c r="D41" s="1300">
        <v>2082634.02355231</v>
      </c>
      <c r="E41" s="1300">
        <v>168</v>
      </c>
      <c r="F41" s="1300">
        <v>2582492.7071564002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25</v>
      </c>
      <c r="F44" s="1300">
        <v>553357.81394045497</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40</v>
      </c>
      <c r="D48" s="1300">
        <v>20240833.498752799</v>
      </c>
      <c r="E48" s="1300">
        <v>40</v>
      </c>
      <c r="F48" s="1300">
        <v>8936045.2614033595</v>
      </c>
    </row>
    <row r="49" spans="1:6">
      <c r="A49" s="1299" t="s">
        <v>31</v>
      </c>
      <c r="B49" s="1299" t="s">
        <v>39</v>
      </c>
      <c r="C49" s="1300">
        <v>0</v>
      </c>
      <c r="D49" s="1300">
        <v>0</v>
      </c>
      <c r="E49" s="1300">
        <v>22</v>
      </c>
      <c r="F49" s="1300">
        <v>725531.02454910695</v>
      </c>
    </row>
    <row r="50" spans="1:6">
      <c r="A50" s="1299" t="s">
        <v>31</v>
      </c>
      <c r="B50" s="1299" t="s">
        <v>40</v>
      </c>
      <c r="C50" s="1300">
        <v>3</v>
      </c>
      <c r="D50" s="1300">
        <v>236956.54476910899</v>
      </c>
      <c r="E50" s="1300">
        <v>14</v>
      </c>
      <c r="F50" s="1300">
        <v>5780343.0139121301</v>
      </c>
    </row>
    <row r="51" spans="1:6">
      <c r="A51" s="1299" t="s">
        <v>41</v>
      </c>
      <c r="B51" s="1299" t="s">
        <v>42</v>
      </c>
      <c r="C51" s="1300">
        <v>14</v>
      </c>
      <c r="D51" s="1300">
        <v>41695137.2887756</v>
      </c>
      <c r="E51" s="1300">
        <v>67</v>
      </c>
      <c r="F51" s="1300">
        <v>3021620.1453956198</v>
      </c>
    </row>
    <row r="52" spans="1:6">
      <c r="A52" s="1299" t="s">
        <v>41</v>
      </c>
      <c r="B52" s="1299" t="s">
        <v>28</v>
      </c>
      <c r="C52" s="1300">
        <v>1</v>
      </c>
      <c r="D52" s="1300">
        <v>21498.4475988755</v>
      </c>
      <c r="E52" s="1300">
        <v>10</v>
      </c>
      <c r="F52" s="1300">
        <v>461457.88896011998</v>
      </c>
    </row>
    <row r="53" spans="1:6">
      <c r="A53" s="1299" t="s">
        <v>43</v>
      </c>
      <c r="B53" s="1299" t="s">
        <v>44</v>
      </c>
      <c r="C53" s="1300">
        <v>77</v>
      </c>
      <c r="D53" s="1300">
        <v>1981688.6810121899</v>
      </c>
      <c r="E53" s="1300">
        <v>116</v>
      </c>
      <c r="F53" s="1300">
        <v>703374.07209331996</v>
      </c>
    </row>
    <row r="54" spans="1:6">
      <c r="A54" s="1299" t="s">
        <v>45</v>
      </c>
      <c r="B54" s="1299" t="s">
        <v>46</v>
      </c>
      <c r="C54" s="1300">
        <v>0</v>
      </c>
      <c r="D54" s="1300">
        <v>0</v>
      </c>
      <c r="E54" s="1300">
        <v>1</v>
      </c>
      <c r="F54" s="1300">
        <v>896923</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21</v>
      </c>
      <c r="D57" s="1300">
        <v>618792.250763688</v>
      </c>
      <c r="E57" s="1300">
        <v>43</v>
      </c>
      <c r="F57" s="1300">
        <v>2377656.5105342399</v>
      </c>
    </row>
    <row r="58" spans="1:6">
      <c r="A58" s="1299" t="s">
        <v>48</v>
      </c>
      <c r="B58" s="1299" t="s">
        <v>50</v>
      </c>
      <c r="C58" s="1300">
        <v>10</v>
      </c>
      <c r="D58" s="1300">
        <v>2507531.2038047099</v>
      </c>
      <c r="E58" s="1300">
        <v>14</v>
      </c>
      <c r="F58" s="1300">
        <v>759193.348586031</v>
      </c>
    </row>
    <row r="59" spans="1:6">
      <c r="A59" s="1299" t="s">
        <v>48</v>
      </c>
      <c r="B59" s="1299" t="s">
        <v>51</v>
      </c>
      <c r="C59" s="1300">
        <v>42</v>
      </c>
      <c r="D59" s="1300">
        <v>1987364.0951762199</v>
      </c>
      <c r="E59" s="1300">
        <v>128</v>
      </c>
      <c r="F59" s="1300">
        <v>4377421.77725768</v>
      </c>
    </row>
    <row r="60" spans="1:6">
      <c r="A60" s="1299" t="s">
        <v>48</v>
      </c>
      <c r="B60" s="1299" t="s">
        <v>52</v>
      </c>
      <c r="C60" s="1300">
        <v>25</v>
      </c>
      <c r="D60" s="1300">
        <v>1109787.3087976</v>
      </c>
      <c r="E60" s="1300">
        <v>44</v>
      </c>
      <c r="F60" s="1300">
        <v>959051.79335358494</v>
      </c>
    </row>
    <row r="61" spans="1:6">
      <c r="A61" s="1299" t="s">
        <v>48</v>
      </c>
      <c r="B61" s="1299" t="s">
        <v>53</v>
      </c>
      <c r="C61" s="1300">
        <v>53</v>
      </c>
      <c r="D61" s="1300">
        <v>2828358.3707191902</v>
      </c>
      <c r="E61" s="1300">
        <v>150</v>
      </c>
      <c r="F61" s="1300">
        <v>1668398.11613952</v>
      </c>
    </row>
    <row r="62" spans="1:6">
      <c r="A62" s="1299" t="s">
        <v>48</v>
      </c>
      <c r="B62" s="1299" t="s">
        <v>54</v>
      </c>
      <c r="C62" s="1300">
        <v>7</v>
      </c>
      <c r="D62" s="1300">
        <v>627396.21233383298</v>
      </c>
      <c r="E62" s="1300">
        <v>10</v>
      </c>
      <c r="F62" s="1300">
        <v>98072.561011960395</v>
      </c>
    </row>
    <row r="63" spans="1:6">
      <c r="A63" s="1299" t="s">
        <v>48</v>
      </c>
      <c r="B63" s="1299" t="s">
        <v>28</v>
      </c>
      <c r="C63" s="1300">
        <v>84</v>
      </c>
      <c r="D63" s="1300">
        <v>2971468.90253527</v>
      </c>
      <c r="E63" s="1300">
        <v>98</v>
      </c>
      <c r="F63" s="1300">
        <v>2236794.2903707698</v>
      </c>
    </row>
    <row r="64" spans="1:6">
      <c r="A64" s="1299" t="s">
        <v>55</v>
      </c>
      <c r="B64" s="1299" t="s">
        <v>56</v>
      </c>
      <c r="C64" s="1300">
        <v>0</v>
      </c>
      <c r="D64" s="1300">
        <v>0</v>
      </c>
      <c r="E64" s="1300">
        <v>0</v>
      </c>
      <c r="F64" s="1300">
        <v>0</v>
      </c>
    </row>
    <row r="65" spans="1:6">
      <c r="A65" s="1299" t="s">
        <v>55</v>
      </c>
      <c r="B65" s="1299" t="s">
        <v>28</v>
      </c>
      <c r="C65" s="1300">
        <v>1</v>
      </c>
      <c r="D65" s="1300">
        <v>20544.701266599299</v>
      </c>
      <c r="E65" s="1300">
        <v>4</v>
      </c>
      <c r="F65" s="1300">
        <v>31147.108246911601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242607.292601825</v>
      </c>
      <c r="E68" s="1303">
        <v>7</v>
      </c>
      <c r="F68" s="1303">
        <v>106969.154524389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41364337</v>
      </c>
      <c r="E73" s="455"/>
      <c r="F73" s="332"/>
    </row>
    <row r="74" spans="1:6">
      <c r="A74" s="1299" t="s">
        <v>63</v>
      </c>
      <c r="B74" s="1299" t="s">
        <v>768</v>
      </c>
      <c r="C74" s="1313" t="s">
        <v>762</v>
      </c>
      <c r="D74" s="1314">
        <v>6670821.1384616857</v>
      </c>
      <c r="E74" s="455"/>
      <c r="F74" s="332"/>
    </row>
    <row r="75" spans="1:6">
      <c r="A75" s="1299" t="s">
        <v>64</v>
      </c>
      <c r="B75" s="1299" t="s">
        <v>767</v>
      </c>
      <c r="C75" s="1313" t="s">
        <v>763</v>
      </c>
      <c r="D75" s="1314">
        <v>7447789</v>
      </c>
      <c r="E75" s="455"/>
      <c r="F75" s="332"/>
    </row>
    <row r="76" spans="1:6">
      <c r="A76" s="1299" t="s">
        <v>64</v>
      </c>
      <c r="B76" s="1299" t="s">
        <v>768</v>
      </c>
      <c r="C76" s="1313" t="s">
        <v>764</v>
      </c>
      <c r="D76" s="1314">
        <v>683360.13846168562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175987.72307662867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1820.7427725305138</v>
      </c>
      <c r="C91" s="332"/>
      <c r="D91" s="332"/>
      <c r="E91" s="332"/>
      <c r="F91" s="332"/>
    </row>
    <row r="92" spans="1:6">
      <c r="A92" s="1294" t="s">
        <v>68</v>
      </c>
      <c r="B92" s="1295">
        <v>989.4315296272938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2052</v>
      </c>
      <c r="C97" s="332"/>
      <c r="D97" s="332"/>
      <c r="E97" s="332"/>
      <c r="F97" s="332"/>
    </row>
    <row r="98" spans="1:6">
      <c r="A98" s="1299" t="s">
        <v>71</v>
      </c>
      <c r="B98" s="1300">
        <v>2</v>
      </c>
      <c r="C98" s="332"/>
      <c r="D98" s="332"/>
      <c r="E98" s="332"/>
      <c r="F98" s="332"/>
    </row>
    <row r="99" spans="1:6">
      <c r="A99" s="1299" t="s">
        <v>72</v>
      </c>
      <c r="B99" s="1300">
        <v>59</v>
      </c>
      <c r="C99" s="332"/>
      <c r="D99" s="332"/>
      <c r="E99" s="332"/>
      <c r="F99" s="332"/>
    </row>
    <row r="100" spans="1:6">
      <c r="A100" s="1299" t="s">
        <v>73</v>
      </c>
      <c r="B100" s="1300">
        <v>288</v>
      </c>
      <c r="C100" s="332"/>
      <c r="D100" s="332"/>
      <c r="E100" s="332"/>
      <c r="F100" s="332"/>
    </row>
    <row r="101" spans="1:6">
      <c r="A101" s="1299" t="s">
        <v>74</v>
      </c>
      <c r="B101" s="1300">
        <v>90</v>
      </c>
      <c r="C101" s="332"/>
      <c r="D101" s="332"/>
      <c r="E101" s="332"/>
      <c r="F101" s="332"/>
    </row>
    <row r="102" spans="1:6">
      <c r="A102" s="1299" t="s">
        <v>75</v>
      </c>
      <c r="B102" s="1300">
        <v>91</v>
      </c>
      <c r="C102" s="332"/>
      <c r="D102" s="332"/>
      <c r="E102" s="332"/>
      <c r="F102" s="332"/>
    </row>
    <row r="103" spans="1:6">
      <c r="A103" s="1299" t="s">
        <v>76</v>
      </c>
      <c r="B103" s="1300">
        <v>141</v>
      </c>
      <c r="C103" s="332"/>
      <c r="D103" s="332"/>
      <c r="E103" s="332"/>
      <c r="F103" s="332"/>
    </row>
    <row r="104" spans="1:6">
      <c r="A104" s="1299" t="s">
        <v>77</v>
      </c>
      <c r="B104" s="1300">
        <v>1324</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6</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25</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54353.052303712888</v>
      </c>
      <c r="C3" s="44" t="s">
        <v>169</v>
      </c>
      <c r="D3" s="44"/>
      <c r="E3" s="157"/>
      <c r="F3" s="44"/>
      <c r="G3" s="44"/>
      <c r="H3" s="44"/>
      <c r="I3" s="44"/>
      <c r="J3" s="44"/>
      <c r="K3" s="97"/>
    </row>
    <row r="4" spans="1:11">
      <c r="A4" s="362" t="s">
        <v>170</v>
      </c>
      <c r="B4" s="50">
        <f>IF(ISERROR('SEAP template'!B78+'SEAP template'!C78),0,'SEAP template'!B78+'SEAP template'!C78)</f>
        <v>15792.674302157808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3085.2529411764708</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0.21355003974132389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4407.5042016806728</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18546.428571428572</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896.923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0.21355003974132389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191.53794229490745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B46*B57</f>
        <v>2445.9614613502686</v>
      </c>
      <c r="F5" s="18">
        <f>B51*B62</f>
        <v>12918.203890205888</v>
      </c>
      <c r="G5" s="19"/>
      <c r="H5" s="18"/>
      <c r="I5" s="18"/>
      <c r="J5" s="18">
        <f>B50*B61+C50*C61</f>
        <v>1970.4488919124376</v>
      </c>
      <c r="K5" s="18"/>
      <c r="L5" s="18"/>
      <c r="M5" s="18"/>
      <c r="N5" s="18">
        <f>B48*B59+C48*C59</f>
        <v>12680.301778872768</v>
      </c>
      <c r="O5" s="18">
        <f>B69*B70*B71</f>
        <v>48.463333333333338</v>
      </c>
      <c r="P5" s="18">
        <f>B77*B78*B79/1000-B77*B78*B79/1000/B80</f>
        <v>133.46666666666667</v>
      </c>
    </row>
    <row r="6" spans="1:16">
      <c r="A6" s="17" t="s">
        <v>638</v>
      </c>
      <c r="B6" s="776">
        <f>kWh_PV_kleiner_dan_10kW</f>
        <v>1820.7427725305138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18214.232101268812</v>
      </c>
      <c r="C8" s="22">
        <f>C5</f>
        <v>0</v>
      </c>
      <c r="D8" s="22">
        <f>D5</f>
        <v>43347.681362389165</v>
      </c>
      <c r="E8" s="22">
        <f>E5</f>
        <v>2445.9614613502686</v>
      </c>
      <c r="F8" s="22">
        <f>F5</f>
        <v>12918.203890205888</v>
      </c>
      <c r="G8" s="22"/>
      <c r="H8" s="22"/>
      <c r="I8" s="22"/>
      <c r="J8" s="22">
        <f>J5</f>
        <v>1970.4488919124376</v>
      </c>
      <c r="K8" s="22"/>
      <c r="L8" s="22">
        <f>L5</f>
        <v>0</v>
      </c>
      <c r="M8" s="22">
        <f>M5</f>
        <v>0</v>
      </c>
      <c r="N8" s="22">
        <f>N5</f>
        <v>12680.301778872768</v>
      </c>
      <c r="O8" s="22">
        <f>O5</f>
        <v>48.463333333333338</v>
      </c>
      <c r="P8" s="22">
        <f>P5</f>
        <v>133.46666666666667</v>
      </c>
    </row>
    <row r="9" spans="1:16">
      <c r="B9" s="20"/>
      <c r="C9" s="20"/>
      <c r="D9" s="262"/>
      <c r="E9" s="20"/>
      <c r="F9" s="20"/>
      <c r="G9" s="20"/>
      <c r="H9" s="20"/>
      <c r="I9" s="20"/>
      <c r="J9" s="20"/>
      <c r="K9" s="20"/>
      <c r="L9" s="20"/>
      <c r="M9" s="20"/>
      <c r="N9" s="20"/>
      <c r="O9" s="20"/>
      <c r="P9" s="20"/>
    </row>
    <row r="10" spans="1:16">
      <c r="A10" s="25" t="s">
        <v>213</v>
      </c>
      <c r="B10" s="26">
        <f ca="1">'EF ele_warmte'!B12</f>
        <v>0.21355003974132389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3889.6499890836521</v>
      </c>
      <c r="C12" s="24">
        <f ca="1">C10*C8</f>
        <v>0</v>
      </c>
      <c r="D12" s="24">
        <f>D8*D10</f>
        <v>8756.2316352026119</v>
      </c>
      <c r="E12" s="24">
        <f>E10*E8</f>
        <v>555.23325172651096</v>
      </c>
      <c r="F12" s="24">
        <f>F10*F8</f>
        <v>3449.1604386849726</v>
      </c>
      <c r="G12" s="24"/>
      <c r="H12" s="24"/>
      <c r="I12" s="24"/>
      <c r="J12" s="24">
        <f>J10*J8</f>
        <v>697.53890773700289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2052</v>
      </c>
      <c r="C18" s="169" t="s">
        <v>110</v>
      </c>
      <c r="D18" s="231"/>
      <c r="E18" s="16"/>
    </row>
    <row r="19" spans="1:7">
      <c r="A19" s="174" t="s">
        <v>71</v>
      </c>
      <c r="B19" s="38">
        <f>aantalw2001_ander</f>
        <v>2</v>
      </c>
      <c r="C19" s="169" t="s">
        <v>110</v>
      </c>
      <c r="D19" s="232"/>
      <c r="E19" s="16"/>
    </row>
    <row r="20" spans="1:7">
      <c r="A20" s="174" t="s">
        <v>72</v>
      </c>
      <c r="B20" s="38">
        <f>aantalw2001_propaan</f>
        <v>59</v>
      </c>
      <c r="C20" s="170">
        <f>IF(ISERROR(B20/SUM($B$20,$B$21,$B$22)*100),0,B20/SUM($B$20,$B$21,$B$22)*100)</f>
        <v>13.501144164759726</v>
      </c>
      <c r="D20" s="232"/>
      <c r="E20" s="16"/>
    </row>
    <row r="21" spans="1:7">
      <c r="A21" s="174" t="s">
        <v>73</v>
      </c>
      <c r="B21" s="38">
        <f>aantalw2001_elektriciteit</f>
        <v>288</v>
      </c>
      <c r="C21" s="170">
        <f>IF(ISERROR(B21/SUM($B$20,$B$21,$B$22)*100),0,B21/SUM($B$20,$B$21,$B$22)*100)</f>
        <v>65.903890160183067</v>
      </c>
      <c r="D21" s="232"/>
      <c r="E21" s="16"/>
    </row>
    <row r="22" spans="1:7">
      <c r="A22" s="174" t="s">
        <v>74</v>
      </c>
      <c r="B22" s="38">
        <f>aantalw2001_hout</f>
        <v>90</v>
      </c>
      <c r="C22" s="170">
        <f>IF(ISERROR(B22/SUM($B$20,$B$21,$B$22)*100),0,B22/SUM($B$20,$B$21,$B$22)*100)</f>
        <v>20.59496567505721</v>
      </c>
      <c r="D22" s="232"/>
      <c r="E22" s="16"/>
    </row>
    <row r="23" spans="1:7">
      <c r="A23" s="174" t="s">
        <v>75</v>
      </c>
      <c r="B23" s="38">
        <f>aantalw2001_niet_gespec</f>
        <v>91</v>
      </c>
      <c r="C23" s="169" t="s">
        <v>110</v>
      </c>
      <c r="D23" s="231"/>
      <c r="E23" s="16"/>
    </row>
    <row r="24" spans="1:7">
      <c r="A24" s="174" t="s">
        <v>76</v>
      </c>
      <c r="B24" s="38">
        <f>aantalw2001_steenkool</f>
        <v>141</v>
      </c>
      <c r="C24" s="169" t="s">
        <v>110</v>
      </c>
      <c r="D24" s="232"/>
      <c r="E24" s="16"/>
    </row>
    <row r="25" spans="1:7">
      <c r="A25" s="174" t="s">
        <v>77</v>
      </c>
      <c r="B25" s="38">
        <f>aantalw2001_stookolie</f>
        <v>1324</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4380</v>
      </c>
      <c r="C28" s="37"/>
      <c r="D28" s="231"/>
    </row>
    <row r="29" spans="1:7" s="16" customFormat="1">
      <c r="A29" s="233" t="s">
        <v>664</v>
      </c>
      <c r="B29" s="38">
        <f>SUM(HH_hh_gas_aantal,HH_rest_gas_aantal)</f>
        <v>2842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2842</v>
      </c>
      <c r="C32" s="170">
        <f>IF(ISERROR(B32/SUM($B$32,$B$34,$B$35,$B$36,$B$38,$B$39)*100),0,B32/SUM($B$32,$B$34,$B$35,$B$36,$B$38,$B$39)*100)</f>
        <v>64.989709581522987</v>
      </c>
      <c r="D32" s="236"/>
      <c r="G32" s="16"/>
    </row>
    <row r="33" spans="1:7">
      <c r="A33" s="174" t="s">
        <v>71</v>
      </c>
      <c r="B33" s="35" t="s">
        <v>110</v>
      </c>
      <c r="C33" s="170"/>
      <c r="D33" s="236"/>
      <c r="G33" s="16"/>
    </row>
    <row r="34" spans="1:7">
      <c r="A34" s="174" t="s">
        <v>72</v>
      </c>
      <c r="B34" s="34">
        <f>IF((($B$28-$B$32-$B$39-$B$77-$B$38)*C20/100)&lt;0,0,($B$28-$B$32-$B$39-$B$77-$B$38)*C20/100)</f>
        <v>115.56979405034326</v>
      </c>
      <c r="C34" s="170">
        <f>IF(ISERROR(B34/SUM($B$32,$B$34,$B$35,$B$36,$B$38,$B$39)*100),0,B34/SUM($B$32,$B$34,$B$35,$B$36,$B$38,$B$39)*100)</f>
        <v>2.6428034312907216</v>
      </c>
      <c r="D34" s="236"/>
      <c r="G34" s="16"/>
    </row>
    <row r="35" spans="1:7">
      <c r="A35" s="174" t="s">
        <v>73</v>
      </c>
      <c r="B35" s="34">
        <f>IF((($B$28-$B$32-$B$39-$B$77-$B$38)*C21/100)&lt;0,0,($B$28-$B$32-$B$39-$B$77-$B$38)*C21/100)</f>
        <v>564.13729977116714</v>
      </c>
      <c r="C35" s="170">
        <f>IF(ISERROR(B35/SUM($B$32,$B$34,$B$35,$B$36,$B$38,$B$39)*100),0,B35/SUM($B$32,$B$34,$B$35,$B$36,$B$38,$B$39)*100)</f>
        <v>12.900464206978441</v>
      </c>
      <c r="D35" s="236"/>
      <c r="G35" s="16"/>
    </row>
    <row r="36" spans="1:7">
      <c r="A36" s="174" t="s">
        <v>74</v>
      </c>
      <c r="B36" s="34">
        <f>IF((($B$28-$B$32-$B$39-$B$77-$B$38)*C22/100)&lt;0,0,($B$28-$B$32-$B$39-$B$77-$B$38)*C22/100)</f>
        <v>176.29290617848972</v>
      </c>
      <c r="C36" s="170">
        <f>IF(ISERROR(B36/SUM($B$32,$B$34,$B$35,$B$36,$B$38,$B$39)*100),0,B36/SUM($B$32,$B$34,$B$35,$B$36,$B$38,$B$39)*100)</f>
        <v>4.0313950646807619</v>
      </c>
      <c r="D36" s="236"/>
      <c r="G36" s="16"/>
    </row>
    <row r="37" spans="1:7">
      <c r="A37" s="174" t="s">
        <v>75</v>
      </c>
      <c r="B37" s="35" t="s">
        <v>110</v>
      </c>
      <c r="C37" s="170"/>
      <c r="D37" s="176"/>
      <c r="G37" s="16"/>
    </row>
    <row r="38" spans="1:7">
      <c r="A38" s="174" t="s">
        <v>76</v>
      </c>
      <c r="B38" s="34">
        <f>IF((B24-(B29-B18)*0.1)&lt;0,0,B24-(B29-B18)*0.1)</f>
        <v>62</v>
      </c>
      <c r="C38" s="170">
        <f>IF(ISERROR(B38/SUM($B$32,$B$34,$B$35,$B$36,$B$38,$B$39)*100),0,B38/SUM($B$32,$B$34,$B$35,$B$36,$B$38,$B$39)*100)</f>
        <v>1.4177909901669334</v>
      </c>
      <c r="D38" s="237"/>
      <c r="G38" s="16"/>
    </row>
    <row r="39" spans="1:7">
      <c r="A39" s="174" t="s">
        <v>77</v>
      </c>
      <c r="B39" s="34">
        <f>IF((B25-(B29-B18))&lt;0,0,B25-(B29-B18)*0.9)</f>
        <v>613</v>
      </c>
      <c r="C39" s="170">
        <f>IF(ISERROR(B39/SUM($B$32,$B$34,$B$35,$B$36,$B$38,$B$39)*100),0,B39/SUM($B$32,$B$34,$B$35,$B$36,$B$38,$B$39)*100)</f>
        <v>14.017836725360164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2842</v>
      </c>
      <c r="C44" s="35" t="s">
        <v>110</v>
      </c>
      <c r="D44" s="177"/>
    </row>
    <row r="45" spans="1:7">
      <c r="A45" s="174" t="s">
        <v>71</v>
      </c>
      <c r="B45" s="34" t="str">
        <f t="shared" si="0"/>
        <v>-</v>
      </c>
      <c r="C45" s="35" t="s">
        <v>110</v>
      </c>
      <c r="D45" s="177"/>
    </row>
    <row r="46" spans="1:7">
      <c r="A46" s="174" t="s">
        <v>72</v>
      </c>
      <c r="B46" s="34">
        <f t="shared" si="0"/>
        <v>115.56979405034326</v>
      </c>
      <c r="C46" s="35" t="s">
        <v>110</v>
      </c>
      <c r="D46" s="177"/>
    </row>
    <row r="47" spans="1:7">
      <c r="A47" s="174" t="s">
        <v>73</v>
      </c>
      <c r="B47" s="34">
        <f t="shared" si="0"/>
        <v>564.13729977116714</v>
      </c>
      <c r="C47" s="35" t="s">
        <v>110</v>
      </c>
      <c r="D47" s="177"/>
    </row>
    <row r="48" spans="1:7">
      <c r="A48" s="174" t="s">
        <v>74</v>
      </c>
      <c r="B48" s="34">
        <f t="shared" si="0"/>
        <v>176.29290617848972</v>
      </c>
      <c r="C48" s="34">
        <f>B48*10</f>
        <v>1762.9290617848972</v>
      </c>
      <c r="D48" s="237"/>
    </row>
    <row r="49" spans="1:6">
      <c r="A49" s="174" t="s">
        <v>75</v>
      </c>
      <c r="B49" s="34" t="str">
        <f t="shared" si="0"/>
        <v>-</v>
      </c>
      <c r="C49" s="35" t="s">
        <v>110</v>
      </c>
      <c r="D49" s="237"/>
    </row>
    <row r="50" spans="1:6">
      <c r="A50" s="174" t="s">
        <v>76</v>
      </c>
      <c r="B50" s="34">
        <f t="shared" si="0"/>
        <v>62</v>
      </c>
      <c r="C50" s="34">
        <f>B50*2</f>
        <v>124</v>
      </c>
      <c r="D50" s="237"/>
    </row>
    <row r="51" spans="1:6">
      <c r="A51" s="174" t="s">
        <v>77</v>
      </c>
      <c r="B51" s="34">
        <f t="shared" si="0"/>
        <v>613</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1.5633333333333335</v>
      </c>
      <c r="P5" s="18">
        <f>B46*B47*B48/1000-B46*B47*B48/1000/B49</f>
        <v>0</v>
      </c>
      <c r="R5" s="33"/>
    </row>
    <row r="6" spans="1:18">
      <c r="A6" s="33" t="s">
        <v>53</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52</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51</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50</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49</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54</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259</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501</v>
      </c>
      <c r="B13" s="250">
        <f ca="1">'lokale energieproductie'!N39+'lokale energieproductie'!N32</f>
        <v>0</v>
      </c>
      <c r="C13" s="250">
        <f ca="1">'lokale energieproductie'!O39+'lokale energieproductie'!O32</f>
        <v>0</v>
      </c>
      <c r="D13" s="310">
        <f ca="1">('lokale energieproductie'!P32+'lokale energieproductie'!P39)*(-1)</f>
        <v>0</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0.21355003974132389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2664.3759480696867</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1668.39811613952</v>
      </c>
      <c r="C26" s="40">
        <f>IF(ISERROR(B26*3.6/1000000/'E Balans VL '!Z12*100),0,B26*3.6/1000000/'E Balans VL '!Z12*100)</f>
        <v>3.545226350788247E-2</v>
      </c>
      <c r="D26" s="240" t="s">
        <v>703</v>
      </c>
      <c r="F26" s="6"/>
    </row>
    <row r="27" spans="1:18">
      <c r="A27" s="234" t="s">
        <v>52</v>
      </c>
      <c r="B27" s="34">
        <f>IF(ISERROR(TER_horeca_ele_kWh/1000),0,TER_horeca_ele_kWh/1000)</f>
        <v>959.05179335358491</v>
      </c>
      <c r="C27" s="40">
        <f>IF(ISERROR(B27*3.6/1000000/'E Balans VL '!Z9*100),0,B27*3.6/1000000/'E Balans VL '!Z9*100)</f>
        <v>7.5484792452283095E-2</v>
      </c>
      <c r="D27" s="240" t="s">
        <v>703</v>
      </c>
      <c r="F27" s="6"/>
    </row>
    <row r="28" spans="1:18">
      <c r="A28" s="174" t="s">
        <v>51</v>
      </c>
      <c r="B28" s="34">
        <f>IF(ISERROR(TER_handel_ele_kWh/1000),0,TER_handel_ele_kWh/1000)</f>
        <v>4377.4217772576803</v>
      </c>
      <c r="C28" s="40">
        <f>IF(ISERROR(B28*3.6/1000000/'E Balans VL '!Z13*100),0,B28*3.6/1000000/'E Balans VL '!Z13*100)</f>
        <v>0.12261392668463356</v>
      </c>
      <c r="D28" s="240" t="s">
        <v>703</v>
      </c>
      <c r="F28" s="6"/>
    </row>
    <row r="29" spans="1:18">
      <c r="A29" s="234" t="s">
        <v>50</v>
      </c>
      <c r="B29" s="34">
        <f>IF(ISERROR(TER_gezond_ele_kWh/1000),0,TER_gezond_ele_kWh/1000)</f>
        <v>759.19334858603099</v>
      </c>
      <c r="C29" s="40">
        <f>IF(ISERROR(B29*3.6/1000000/'E Balans VL '!Z10*100),0,B29*3.6/1000000/'E Balans VL '!Z10*100)</f>
        <v>9.7123786366432083E-2</v>
      </c>
      <c r="D29" s="240" t="s">
        <v>703</v>
      </c>
      <c r="F29" s="6"/>
    </row>
    <row r="30" spans="1:18">
      <c r="A30" s="234" t="s">
        <v>49</v>
      </c>
      <c r="B30" s="34">
        <f>IF(ISERROR(TER_ander_ele_kWh/1000),0,TER_ander_ele_kWh/1000)</f>
        <v>2377.6565105342397</v>
      </c>
      <c r="C30" s="40">
        <f>IF(ISERROR(B30*3.6/1000000/'E Balans VL '!Z14*100),0,B30*3.6/1000000/'E Balans VL '!Z14*100)</f>
        <v>0.17782867250422296</v>
      </c>
      <c r="D30" s="240" t="s">
        <v>703</v>
      </c>
      <c r="F30" s="6"/>
    </row>
    <row r="31" spans="1:18">
      <c r="A31" s="234" t="s">
        <v>54</v>
      </c>
      <c r="B31" s="34">
        <f>IF(ISERROR(TER_onderwijs_ele_kWh/1000),0,TER_onderwijs_ele_kWh/1000)</f>
        <v>98.072561011960389</v>
      </c>
      <c r="C31" s="40">
        <f>IF(ISERROR(B31*3.6/1000000/'E Balans VL '!Z11*100),0,B31*3.6/1000000/'E Balans VL '!Z11*100)</f>
        <v>2.0708148294113268E-2</v>
      </c>
      <c r="D31" s="240" t="s">
        <v>703</v>
      </c>
    </row>
    <row r="32" spans="1:18">
      <c r="A32" s="234" t="s">
        <v>259</v>
      </c>
      <c r="B32" s="34">
        <f>IF(ISERROR(TER_rest_ele_kWh/1000),0,TER_rest_ele_kWh/1000)</f>
        <v>2236.7942903707699</v>
      </c>
      <c r="C32" s="40">
        <f>IF(ISERROR(B32*3.6/1000000/'E Balans VL '!Z8*100),0,B32*3.6/1000000/'E Balans VL '!Z8*100)</f>
        <v>1.842655940843773E-2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32</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40</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39</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501</v>
      </c>
      <c r="B16" s="250">
        <f>'lokale energieproductie'!N38+'lokale energieproductie'!N31</f>
        <v>0</v>
      </c>
      <c r="C16" s="250">
        <f>'lokale energieproductie'!O38+'lokale energieproductie'!O31</f>
        <v>0</v>
      </c>
      <c r="D16" s="310">
        <f>('lokale energieproductie'!P31+'lokale energieproductie'!P38)*(-1)</f>
        <v>0</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0.21355003974132389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3967.2834835714862</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553.357813940455</v>
      </c>
      <c r="C30" s="40">
        <f>IF(ISERROR(B30*3.6/1000000/'E Balans VL '!Z18*100),0,B30*3.6/1000000/'E Balans VL '!Z18*100)</f>
        <v>3.0790662073831871E-2</v>
      </c>
      <c r="D30" s="240" t="s">
        <v>703</v>
      </c>
    </row>
    <row r="31" spans="1:18">
      <c r="A31" s="6" t="s">
        <v>32</v>
      </c>
      <c r="B31" s="38">
        <f>IF( ISERROR(IND_ander_ele_kWh/1000),0,IND_ander_ele_kWh/1000)</f>
        <v>2582.4927071564002</v>
      </c>
      <c r="C31" s="40">
        <f>IF(ISERROR(B31*3.6/1000000/'E Balans VL '!Z19*100),0,B31*3.6/1000000/'E Balans VL '!Z19*100)</f>
        <v>0.12005330354808927</v>
      </c>
      <c r="D31" s="240" t="s">
        <v>703</v>
      </c>
    </row>
    <row r="32" spans="1:18">
      <c r="A32" s="174" t="s">
        <v>40</v>
      </c>
      <c r="B32" s="38">
        <f>IF( ISERROR(IND_voed_ele_kWh/1000),0,IND_voed_ele_kWh/1000)</f>
        <v>5780.3430139121301</v>
      </c>
      <c r="C32" s="40">
        <f>IF(ISERROR(B32*3.6/1000000/'E Balans VL '!Z20*100),0,B32*3.6/1000000/'E Balans VL '!Z20*100)</f>
        <v>0.20432345164468255</v>
      </c>
      <c r="D32" s="240" t="s">
        <v>703</v>
      </c>
    </row>
    <row r="33" spans="1:5">
      <c r="A33" s="174" t="s">
        <v>39</v>
      </c>
      <c r="B33" s="38">
        <f>IF( ISERROR(IND_textiel_ele_kWh/1000),0,IND_textiel_ele_kWh/1000)</f>
        <v>725.53102454910697</v>
      </c>
      <c r="C33" s="40">
        <f>IF(ISERROR(B33*3.6/1000000/'E Balans VL '!Z21*100),0,B33*3.6/1000000/'E Balans VL '!Z21*100)</f>
        <v>9.799397402713958E-2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8936.0452614033602</v>
      </c>
      <c r="C37" s="40">
        <f>IF(ISERROR(B37*3.6/1000000/'E Balans VL '!Z15*100),0,B37*3.6/1000000/'E Balans VL '!Z15*100)</f>
        <v>6.7480342258564932E-2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3483.0780343557394</v>
      </c>
      <c r="C5" s="18">
        <f>'Eigen informatie GS &amp; warmtenet'!B60</f>
        <v>0</v>
      </c>
      <c r="D5" s="31">
        <f>IF(ISERROR(SUM(LB_lb_gas_kWh,LB_rest_gas_kWh)/1000),0,SUM(LB_lb_gas_kWh,LB_rest_gas_kWh)/1000)*0.902</f>
        <v>37628.405434209781</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501</v>
      </c>
      <c r="B6" s="18" t="s">
        <v>210</v>
      </c>
      <c r="C6" s="18">
        <f>'lokale energieproductie'!O40+'lokale energieproductie'!O33</f>
        <v>18546.428571428572</v>
      </c>
      <c r="D6" s="310">
        <f>('lokale energieproductie'!P33+'lokale energieproductie'!P40)*(-1)</f>
        <v>-37092.857142857145</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3483.0780343557394</v>
      </c>
      <c r="C8" s="22">
        <f>C5+C6</f>
        <v>18546.428571428572</v>
      </c>
      <c r="D8" s="22">
        <f>MAX((D5+D6),0)</f>
        <v>535.54829135263572</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0.21355003974132389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743.81145265880048</v>
      </c>
      <c r="C12" s="24">
        <f ca="1">C8*C10</f>
        <v>4407.5042016806728</v>
      </c>
      <c r="D12" s="24">
        <f>D8*D10</f>
        <v>108.18075485323241</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0.47155310804398953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61.78984607594299</v>
      </c>
      <c r="C26" s="250">
        <f>B26*'GWP N2O_CH4'!B5</f>
        <v>1297.5867675948027</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56.747441668383971</v>
      </c>
      <c r="C27" s="250">
        <f>B27*'GWP N2O_CH4'!B5</f>
        <v>1191.6962750360633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50">
        <f>B28*'GWP N2O_CH4'!B4</f>
        <v>528.03963396590848</v>
      </c>
      <c r="D28" s="51"/>
    </row>
    <row r="29" spans="1:4">
      <c r="A29" s="42" t="s">
        <v>276</v>
      </c>
      <c r="B29" s="250">
        <f>B34*'ha_N2O bodem landbouw'!B4</f>
        <v>4.1971926540008955</v>
      </c>
      <c r="C29" s="250">
        <f>B29*'GWP N2O_CH4'!B4</f>
        <v>1301.1297227402777</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1.1331098878355219E-3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3.9127600071883398E-6</v>
      </c>
      <c r="C5" s="443" t="s">
        <v>210</v>
      </c>
      <c r="D5" s="428">
        <f>SUM(D6:D11)</f>
        <v>8.758797540738156E-6</v>
      </c>
      <c r="E5" s="428">
        <f>SUM(E6:E11)</f>
        <v>5.5769091715107645E-4</v>
      </c>
      <c r="F5" s="441" t="s">
        <v>210</v>
      </c>
      <c r="G5" s="428">
        <f>SUM(G6:G11)</f>
        <v>0.1612070275734345</v>
      </c>
      <c r="H5" s="428">
        <f>SUM(H6:H11)</f>
        <v>2.2386001255407781E-2</v>
      </c>
      <c r="I5" s="443" t="s">
        <v>210</v>
      </c>
      <c r="J5" s="443" t="s">
        <v>210</v>
      </c>
      <c r="K5" s="443" t="s">
        <v>210</v>
      </c>
      <c r="L5" s="443" t="s">
        <v>210</v>
      </c>
      <c r="M5" s="428">
        <f>SUM(M6:M11)</f>
        <v>8.1984089554315333E-3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3.3157482945418295E-6</v>
      </c>
      <c r="C6" s="429"/>
      <c r="D6" s="429">
        <f>vkm_GW_PW*SUMIFS(TableVerdeelsleutelVkm[CNG],TableVerdeelsleutelVkm[Voertuigtype],"Lichte voertuigen")*SUMIFS(TableECFTransport[EnergieConsumptieFactor (PJ per km)],TableECFTransport[Index],CONCATENATE($A6,"_CNG_CNG"))</f>
        <v>6.7086300551510513E-6</v>
      </c>
      <c r="E6" s="431">
        <f>vkm_GW_PW*SUMIFS(TableVerdeelsleutelVkm[LPG],TableVerdeelsleutelVkm[Voertuigtype],"Lichte voertuigen")*SUMIFS(TableECFTransport[EnergieConsumptieFactor (PJ per km)],TableECFTransport[Index],CONCATENATE($A6,"_LPG_LPG"))</f>
        <v>4.3310481544937975E-4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6.9158532012749477E-2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1.7329893625977019E-2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3.8710626560217996E-3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6.4611552117735935E-2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1.7672346495397237E-6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2.8750048279024567E-3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5.9701171264650995E-7</v>
      </c>
      <c r="C8" s="429"/>
      <c r="D8" s="431">
        <f>vkm_NGW_PW*SUMIFS(TableVerdeelsleutelVkm[CNG],TableVerdeelsleutelVkm[Voertuigtype],"Lichte voertuigen")*SUMIFS(TableECFTransport[EnergieConsumptieFactor (PJ per km)],TableECFTransport[Index],CONCATENATE($A8,"_CNG_CNG"))</f>
        <v>2.0501674855871039E-6</v>
      </c>
      <c r="E8" s="431">
        <f>vkm_NGW_PW*SUMIFS(TableVerdeelsleutelVkm[LPG],TableVerdeelsleutelVkm[Voertuigtype],"Lichte voertuigen")*SUMIFS(TableECFTransport[EnergieConsumptieFactor (PJ per km)],TableECFTransport[Index],CONCATENATE($A8,"_LPG_LPG"))</f>
        <v>1.2458610170169664E-4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1.8938678143815477E-2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5.0540704615687944E-3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1.0741944695693499E-3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8.4982652991336116E-3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2.6993321242980579E-7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3.7814700193792737E-4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1.0868777797745388</v>
      </c>
      <c r="C14" s="22"/>
      <c r="D14" s="22">
        <f t="shared" ref="D14:M14" si="0">((D5)*10^9/3600)+D12</f>
        <v>2.4329993168717099</v>
      </c>
      <c r="E14" s="22">
        <f t="shared" si="0"/>
        <v>154.91414365307679</v>
      </c>
      <c r="F14" s="22"/>
      <c r="G14" s="22">
        <f t="shared" si="0"/>
        <v>44779.729881509586</v>
      </c>
      <c r="H14" s="22">
        <f t="shared" si="0"/>
        <v>6218.3336820577169</v>
      </c>
      <c r="I14" s="22"/>
      <c r="J14" s="22"/>
      <c r="K14" s="22"/>
      <c r="L14" s="22"/>
      <c r="M14" s="22">
        <f t="shared" si="0"/>
        <v>2277.3358209532034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0.21355003974132389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0.23210279306481463</v>
      </c>
      <c r="C18" s="24"/>
      <c r="D18" s="24">
        <f t="shared" ref="D18:M18" si="1">D14*D16</f>
        <v>0.49146586200808545</v>
      </c>
      <c r="E18" s="24">
        <f t="shared" si="1"/>
        <v>35.165510609248436</v>
      </c>
      <c r="F18" s="24"/>
      <c r="G18" s="24">
        <f t="shared" si="1"/>
        <v>11956.18787836306</v>
      </c>
      <c r="H18" s="24">
        <f t="shared" si="1"/>
        <v>1548.3650868323716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2.3057818547182721E-3</v>
      </c>
      <c r="H50" s="321">
        <f t="shared" si="2"/>
        <v>0</v>
      </c>
      <c r="I50" s="321">
        <f t="shared" si="2"/>
        <v>0</v>
      </c>
      <c r="J50" s="321">
        <f t="shared" si="2"/>
        <v>0</v>
      </c>
      <c r="K50" s="321">
        <f t="shared" si="2"/>
        <v>0</v>
      </c>
      <c r="L50" s="321">
        <f t="shared" si="2"/>
        <v>0</v>
      </c>
      <c r="M50" s="321">
        <f t="shared" si="2"/>
        <v>1.0116887198691844E-4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2.3057818547182721E-3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1.0116887198691844E-4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640.49495964396442</v>
      </c>
      <c r="H54" s="22">
        <f t="shared" si="3"/>
        <v>0</v>
      </c>
      <c r="I54" s="22">
        <f t="shared" si="3"/>
        <v>0</v>
      </c>
      <c r="J54" s="22">
        <f t="shared" si="3"/>
        <v>0</v>
      </c>
      <c r="K54" s="22">
        <f t="shared" si="3"/>
        <v>0</v>
      </c>
      <c r="L54" s="22">
        <f t="shared" si="3"/>
        <v>0</v>
      </c>
      <c r="M54" s="22">
        <f t="shared" si="3"/>
        <v>28.102464440810678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0.21355003974132389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171.01215422493851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2810.1743021578077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12982.5</v>
      </c>
      <c r="C8" s="554">
        <f>B49</f>
        <v>15273.529411764706</v>
      </c>
      <c r="D8" s="980"/>
      <c r="E8" s="980">
        <f>E49</f>
        <v>0</v>
      </c>
      <c r="F8" s="981"/>
      <c r="G8" s="555"/>
      <c r="H8" s="980">
        <f>I49</f>
        <v>0</v>
      </c>
      <c r="I8" s="980">
        <f>G49+F49</f>
        <v>0</v>
      </c>
      <c r="J8" s="980">
        <f>H49+D49+C49</f>
        <v>0</v>
      </c>
      <c r="K8" s="980"/>
      <c r="L8" s="980"/>
      <c r="M8" s="980"/>
      <c r="N8" s="556"/>
      <c r="O8" s="557">
        <f>C8*$C$12+D8*$D$12+E8*$E$12+F8*$F$12+G8*$G$12+H8*$H$12+I8*$I$12+J8*$J$12</f>
        <v>3085.2529411764708</v>
      </c>
      <c r="P8" s="1256"/>
      <c r="Q8" s="1257"/>
      <c r="S8" s="1017"/>
      <c r="T8" s="1231"/>
      <c r="U8" s="1231"/>
    </row>
    <row r="9" spans="1:21" s="542" customFormat="1" ht="17.45" customHeight="1" thickBot="1">
      <c r="A9" s="558" t="s">
        <v>247</v>
      </c>
      <c r="B9" s="98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15792.674302157808</v>
      </c>
      <c r="C10" s="566">
        <f t="shared" ref="C10:L10" si="0">SUM(C8:C9)</f>
        <v>15273.529411764706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3085.2529411764708</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18546.428571428572</v>
      </c>
      <c r="C17" s="578">
        <f>B50</f>
        <v>21819.327731092439</v>
      </c>
      <c r="D17" s="579"/>
      <c r="E17" s="579">
        <f>E50</f>
        <v>0</v>
      </c>
      <c r="F17" s="580"/>
      <c r="G17" s="581"/>
      <c r="H17" s="578">
        <f>I50</f>
        <v>0</v>
      </c>
      <c r="I17" s="579">
        <f>G50+F50</f>
        <v>0</v>
      </c>
      <c r="J17" s="579">
        <f>H50+D50+C50</f>
        <v>0</v>
      </c>
      <c r="K17" s="579"/>
      <c r="L17" s="579"/>
      <c r="M17" s="579"/>
      <c r="N17" s="987"/>
      <c r="O17" s="582">
        <f>C17*$C$22+E17*$E$22+H17*$H$22+I17*$I$22+J17*$J$22+D17*$D$22+F17*$F$22+G17*$G$22+K17*$K$22+L17*$L$22</f>
        <v>4407.5042016806728</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18546.428571428572</v>
      </c>
      <c r="C20" s="565">
        <f>SUM(C17:C19)</f>
        <v>21819.327731092439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4407.5042016806728</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36007</v>
      </c>
      <c r="C28" s="785">
        <v>8770</v>
      </c>
      <c r="D28" s="638" t="s">
        <v>954</v>
      </c>
      <c r="E28" s="637" t="s">
        <v>955</v>
      </c>
      <c r="F28" s="637" t="s">
        <v>956</v>
      </c>
      <c r="G28" s="637" t="s">
        <v>957</v>
      </c>
      <c r="H28" s="637" t="s">
        <v>958</v>
      </c>
      <c r="I28" s="637" t="s">
        <v>955</v>
      </c>
      <c r="J28" s="784">
        <v>40550</v>
      </c>
      <c r="K28" s="784">
        <v>40550</v>
      </c>
      <c r="L28" s="637" t="s">
        <v>959</v>
      </c>
      <c r="M28" s="637">
        <v>1485</v>
      </c>
      <c r="N28" s="637">
        <v>6682.5</v>
      </c>
      <c r="O28" s="637">
        <v>9546.4285714285725</v>
      </c>
      <c r="P28" s="637">
        <v>19092.857142857145</v>
      </c>
      <c r="Q28" s="637">
        <v>0</v>
      </c>
      <c r="R28" s="637">
        <v>0</v>
      </c>
      <c r="S28" s="637">
        <v>0</v>
      </c>
      <c r="T28" s="637">
        <v>0</v>
      </c>
      <c r="U28" s="637">
        <v>0</v>
      </c>
      <c r="V28" s="637">
        <v>0</v>
      </c>
      <c r="W28" s="637"/>
      <c r="X28" s="637">
        <v>10</v>
      </c>
      <c r="Y28" s="637" t="s">
        <v>111</v>
      </c>
      <c r="Z28" s="639" t="s">
        <v>111</v>
      </c>
    </row>
    <row r="29" spans="1:26" s="591" customFormat="1" ht="25.5">
      <c r="A29" s="590"/>
      <c r="B29" s="785">
        <v>36007</v>
      </c>
      <c r="C29" s="785">
        <v>8770</v>
      </c>
      <c r="D29" s="638" t="s">
        <v>960</v>
      </c>
      <c r="E29" s="637" t="s">
        <v>961</v>
      </c>
      <c r="F29" s="637" t="s">
        <v>962</v>
      </c>
      <c r="G29" s="637" t="s">
        <v>957</v>
      </c>
      <c r="H29" s="637" t="s">
        <v>958</v>
      </c>
      <c r="I29" s="637" t="s">
        <v>961</v>
      </c>
      <c r="J29" s="784">
        <v>40681</v>
      </c>
      <c r="K29" s="784">
        <v>40681</v>
      </c>
      <c r="L29" s="637" t="s">
        <v>959</v>
      </c>
      <c r="M29" s="637">
        <v>1400</v>
      </c>
      <c r="N29" s="637">
        <v>6300</v>
      </c>
      <c r="O29" s="637">
        <v>9000</v>
      </c>
      <c r="P29" s="637">
        <v>18000</v>
      </c>
      <c r="Q29" s="637">
        <v>0</v>
      </c>
      <c r="R29" s="637">
        <v>0</v>
      </c>
      <c r="S29" s="637">
        <v>0</v>
      </c>
      <c r="T29" s="637">
        <v>0</v>
      </c>
      <c r="U29" s="637">
        <v>0</v>
      </c>
      <c r="V29" s="637">
        <v>0</v>
      </c>
      <c r="W29" s="637"/>
      <c r="X29" s="637">
        <v>10</v>
      </c>
      <c r="Y29" s="637" t="s">
        <v>111</v>
      </c>
      <c r="Z29" s="639" t="s">
        <v>111</v>
      </c>
    </row>
    <row r="30" spans="1:26" s="573" customFormat="1">
      <c r="A30" s="593" t="s">
        <v>279</v>
      </c>
      <c r="B30" s="594"/>
      <c r="C30" s="594"/>
      <c r="D30" s="594"/>
      <c r="E30" s="594"/>
      <c r="F30" s="594"/>
      <c r="G30" s="594"/>
      <c r="H30" s="594"/>
      <c r="I30" s="594"/>
      <c r="J30" s="594"/>
      <c r="K30" s="594"/>
      <c r="L30" s="595"/>
      <c r="M30" s="595">
        <f>SUM(M28:M29)</f>
        <v>2885</v>
      </c>
      <c r="N30" s="595">
        <f>SUM(N28:N29)</f>
        <v>12982.5</v>
      </c>
      <c r="O30" s="595">
        <f>SUM(O28:O29)</f>
        <v>18546.428571428572</v>
      </c>
      <c r="P30" s="595">
        <f>SUM(P28:P29)</f>
        <v>37092.857142857145</v>
      </c>
      <c r="Q30" s="595">
        <f>SUM(Q28:Q29)</f>
        <v>0</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0</v>
      </c>
      <c r="N32" s="595">
        <f ca="1">SUMIF($Z$28:AD29,"tertiair",N28:N29)</f>
        <v>0</v>
      </c>
      <c r="O32" s="595">
        <f ca="1">SUMIF($Z$28:AE29,"tertiair",O28:O29)</f>
        <v>0</v>
      </c>
      <c r="P32" s="595">
        <f ca="1">SUMIF($Z$28:AF29,"tertiair",P28:P29)</f>
        <v>0</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2885</v>
      </c>
      <c r="N33" s="600">
        <f>SUMIF($Z$28:$Z$29,"landbouw",N28:N29)</f>
        <v>12982.5</v>
      </c>
      <c r="O33" s="600">
        <f>SUMIF($Z$28:$Z$29,"landbouw",O28:O29)</f>
        <v>18546.428571428572</v>
      </c>
      <c r="P33" s="600">
        <f>SUMIF($Z$28:$Z$29,"landbouw",P28:P29)</f>
        <v>37092.857142857145</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0.58823529411764708</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15273.529411764706</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21819.327731092439</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2020-06-20T16:30:44Z</dcterms:modified>
</cp:coreProperties>
</file>