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B17" i="18"/>
  <c r="G12" i="18"/>
  <c r="F12" i="18"/>
  <c r="E12" i="18"/>
  <c r="D12" i="18"/>
  <c r="C12" i="18"/>
  <c r="L10" i="18"/>
  <c r="K10" i="18"/>
  <c r="G10" i="18"/>
  <c r="D10" i="18"/>
  <c r="B8" i="18"/>
  <c r="B6" i="18"/>
  <c r="B5" i="18"/>
  <c r="B4" i="18"/>
  <c r="F20" i="18" l="1"/>
  <c r="C45" i="18"/>
  <c r="B48" i="18" s="1"/>
  <c r="C8" i="18" s="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38" i="13" s="1"/>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P11" i="14"/>
  <c r="O4" i="48"/>
  <c r="O22" i="48" s="1"/>
  <c r="E11" i="14"/>
  <c r="D4" i="48"/>
  <c r="D22" i="48" s="1"/>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F24" i="14" l="1"/>
  <c r="F26" i="14" s="1"/>
  <c r="E7" i="48"/>
  <c r="E25" i="48" s="1"/>
  <c r="Q63" i="14"/>
  <c r="D16" i="14"/>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R10" i="14" s="1"/>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J8" i="48"/>
  <c r="K13" i="14"/>
  <c r="K16" i="14" s="1"/>
  <c r="K27" i="14" s="1"/>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J26" i="48"/>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<sst xmlns="http://schemas.openxmlformats.org/spreadsheetml/2006/main" count="2498" uniqueCount="954">
  <si>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</si>
  <si>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</si>
  <si>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</si>
  <si>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</si>
  <si>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</si>
  <si>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</si>
  <si>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</si>
  <si>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</si>
  <si>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</si>
  <si>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</si>
  <si>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</si>
  <si>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</si>
  <si>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</si>
  <si>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</si>
  <si>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</si>
  <si>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</si>
  <si>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</si>
  <si>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</si>
  <si>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</si>
  <si>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</si>
  <si>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</si>
  <si>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</si>
  <si>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</si>
  <si>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</si>
  <si>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</si>
  <si>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</si>
  <si>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</si>
  <si>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</si>
  <si>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</si>
  <si>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</si>
  <si>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</si>
  <si>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</si>
  <si>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</si>
  <si>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</si>
  <si>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</si>
  <si>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</si>
  <si>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</si>
  <si>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</si>
  <si>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</si>
  <si>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</si>
  <si>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</si>
  <si>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</si>
  <si>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</si>
  <si>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</si>
  <si>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</si>
  <si>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</si>
  <si>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</si>
  <si>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</si>
  <si>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</si>
  <si>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</si>
  <si>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</si>
  <si>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</si>
  <si>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</si>
  <si>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</si>
  <si>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</si>
  <si>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</si>
  <si>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</si>
  <si>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</si>
  <si>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</si>
  <si>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</si>
  <si>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</si>
  <si>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</si>
  <si>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</si>
  <si>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</si>
  <si>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</si>
  <si>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</si>
  <si>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</si>
  <si>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</si>
  <si>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</si>
  <si>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</si>
  <si>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</si>
  <si>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</si>
  <si>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</si>
  <si>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</si>
  <si>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</si>
  <si>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</si>
  <si>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</si>
  <si>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</si>
  <si>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</si>
  <si>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</si>
  <si>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</si>
  <si>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</si>
  <si>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</si>
  <si>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</si>
  <si>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</si>
  <si>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</si>
  <si>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</si>
  <si>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</si>
  <si>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</si>
  <si>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</si>
  <si>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</si>
  <si>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</si>
  <si>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</si>
  <si>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</si>
  <si>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</si>
  <si>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</si>
  <si>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</si>
  <si>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</si>
  <si>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</si>
  <si>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</si>
  <si>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</si>
  <si>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</si>
  <si>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</si>
  <si>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</si>
  <si>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</si>
  <si>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</si>
  <si>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</si>
  <si>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</si>
  <si>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</si>
  <si>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</si>
  <si>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</si>
  <si>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</si>
  <si>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</si>
  <si>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</si>
  <si>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</si>
  <si>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</si>
  <si>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</si>
  <si>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</si>
  <si>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</si>
  <si>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</si>
  <si>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</si>
  <si>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</si>
  <si>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</si>
  <si>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</si>
  <si>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</si>
  <si>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</si>
  <si>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</si>
  <si>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</si>
  <si>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</si>
  <si>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</si>
  <si>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</si>
  <si>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</si>
  <si>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</si>
  <si>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</si>
  <si>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</si>
  <si>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</si>
  <si>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</si>
  <si>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</si>
  <si>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</si>
  <si>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</si>
  <si>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</si>
  <si>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</si>
  <si>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</si>
  <si>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</si>
  <si>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</si>
  <si>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</si>
  <si>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</si>
  <si>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</si>
  <si>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</si>
  <si>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</si>
  <si>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</si>
  <si>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</si>
  <si>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</si>
  <si>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</si>
  <si>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</si>
  <si>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</si>
  <si>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</si>
  <si>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</si>
  <si>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</si>
  <si>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</si>
  <si>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</si>
  <si>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</si>
  <si>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</si>
  <si>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</si>
  <si>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</si>
  <si>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</si>
  <si>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</si>
  <si>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</si>
  <si>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</si>
  <si>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</si>
  <si>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</si>
  <si>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</si>
  <si>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</si>
  <si>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</si>
  <si>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</si>
  <si>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</si>
  <si>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</si>
  <si>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</si>
  <si>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</si>
  <si>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</si>
  <si>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</si>
  <si>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</si>
  <si>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</si>
  <si>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</si>
  <si>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</si>
  <si>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</si>
  <si>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</si>
  <si>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</si>
  <si>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</si>
  <si>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</si>
  <si>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</si>
  <si>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</si>
  <si>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</si>
  <si>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</si>
  <si>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</si>
  <si>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</si>
  <si>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</si>
  <si>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</si>
  <si>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</si>
  <si>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</si>
  <si>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</si>
  <si>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</si>
  <si>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</si>
  <si>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</si>
  <si>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</si>
  <si>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</si>
  <si>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</si>
  <si>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</si>
  <si>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</si>
  <si>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</si>
  <si>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</si>
  <si>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</si>
  <si>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</si>
  <si>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</si>
  <si>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</si>
  <si>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</si>
  <si>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</si>
  <si>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</si>
  <si>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</si>
  <si>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</si>
  <si>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</si>
  <si>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</si>
  <si>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</si>
  <si>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</si>
  <si>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</si>
  <si>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</si>
  <si>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</si>
  <si>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</si>
  <si>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</si>
  <si>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</si>
  <si>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</si>
  <si>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</si>
  <si>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</si>
  <si>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</si>
  <si>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</si>
  <si>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</si>
  <si>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</si>
  <si>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</si>
  <si>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</si>
  <si>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</si>
  <si>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</si>
  <si>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</si>
  <si>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</si>
  <si>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</si>
  <si>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</si>
  <si>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</si>
  <si>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</si>
  <si>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</si>
  <si>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</si>
  <si>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</si>
  <si>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</si>
  <si>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</si>
  <si>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</si>
  <si>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</si>
  <si>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</si>
  <si>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</si>
  <si>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</si>
  <si>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</si>
  <si>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</si>
  <si>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</si>
  <si>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</si>
  <si>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</si>
  <si>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</si>
  <si>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</si>
  <si>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</si>
  <si>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</si>
  <si>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</si>
  <si>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</si>
  <si>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</si>
  <si>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</si>
  <si>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</si>
  <si>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</si>
  <si>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</si>
  <si>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</si>
  <si>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</si>
  <si>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</si>
  <si>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</si>
  <si>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</si>
  <si>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</si>
  <si>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</si>
  <si>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</si>
  <si>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</si>
  <si>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</si>
  <si>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</si>
  <si>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</si>
  <si>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</si>
  <si>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</si>
  <si>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</si>
  <si>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</si>
  <si>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</si>
  <si>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</si>
  <si>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</si>
  <si>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</si>
  <si>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</si>
  <si>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</si>
  <si>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</si>
  <si>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</si>
  <si>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</si>
  <si>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</si>
  <si>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</si>
  <si>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</si>
  <si>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</si>
  <si>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</si>
  <si>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</si>
  <si>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</si>
  <si>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</si>
  <si>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</si>
  <si>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</si>
  <si>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</si>
  <si>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</si>
  <si>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</si>
  <si>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</si>
  <si>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</si>
  <si>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</si>
  <si>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</si>
  <si>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</si>
  <si>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</si>
  <si>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</si>
  <si>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</si>
  <si>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</si>
  <si>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</si>
  <si>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</si>
  <si>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</si>
  <si>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</si>
  <si>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</si>
  <si>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</si>
  <si>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</si>
  <si>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</si>
  <si>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</si>
  <si>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</si>
  <si>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</si>
  <si>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</si>
  <si>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</si>
  <si>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</si>
  <si>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</si>
  <si>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</si>
  <si>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</si>
  <si>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</si>
  <si>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</si>
  <si>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</si>
  <si>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</si>
  <si>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</si>
  <si>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</si>
  <si>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</si>
  <si>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</si>
  <si>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</si>
  <si>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</si>
  <si>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</si>
  <si>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</si>
  <si>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</si>
  <si>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</si>
  <si>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</si>
  <si>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</si>
  <si>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</si>
  <si>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</si>
  <si>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</si>
  <si>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</si>
  <si>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</si>
  <si>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</si>
  <si>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</si>
  <si>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</si>
  <si>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</si>
  <si>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</si>
  <si>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</si>
  <si>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</si>
  <si>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</si>
  <si>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</si>
  <si>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</si>
  <si>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</si>
  <si>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</si>
  <si>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</si>
  <si>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</si>
  <si>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</si>
  <si>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</si>
  <si>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</si>
  <si>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</si>
  <si>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</si>
  <si>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</si>
  <si>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</si>
  <si>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</si>
  <si>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</si>
  <si>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</si>
  <si>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</si>
  <si>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</si>
  <si>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</si>
  <si>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</si>
  <si>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</si>
  <si>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</si>
  <si>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</si>
  <si>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</si>
  <si>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</si>
  <si>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</si>
  <si>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</si>
  <si>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</si>
  <si>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</si>
  <si>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</si>
  <si>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</si>
  <si>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</si>
  <si>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</si>
  <si>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</si>
  <si>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</si>
  <si>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</si>
  <si>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</si>
  <si>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</si>
  <si>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</si>
  <si>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</si>
  <si>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</si>
  <si>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</si>
  <si>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</si>
  <si>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</si>
  <si>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</si>
  <si>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</si>
  <si>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</si>
  <si>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</si>
  <si>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</si>
  <si>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</si>
  <si>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</si>
  <si>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</si>
  <si>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</si>
  <si>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</si>
  <si>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</si>
  <si>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</si>
  <si>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</si>
  <si>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</si>
  <si>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</si>
  <si>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</si>
  <si>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</si>
  <si>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</si>
  <si>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</si>
  <si>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</si>
  <si>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</si>
  <si>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</si>
  <si>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</si>
  <si>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</si>
  <si>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</si>
  <si>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</si>
  <si>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</si>
  <si>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</si>
  <si>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</si>
  <si>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</si>
  <si>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</si>
  <si>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</si>
  <si>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</si>
  <si>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</si>
  <si>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</si>
  <si>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</si>
  <si>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</si>
  <si>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</si>
  <si>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</si>
  <si>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</si>
  <si>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</si>
  <si>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</si>
  <si>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</si>
  <si>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</si>
  <si>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</si>
  <si>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</si>
  <si>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</si>
  <si>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</si>
  <si>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</si>
  <si>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</si>
  <si>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</si>
  <si>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</si>
  <si>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</si>
  <si>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</si>
  <si>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</si>
  <si>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</si>
  <si>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</si>
  <si>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</si>
  <si>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</si>
  <si>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</si>
  <si>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</si>
  <si>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</si>
  <si>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</si>
  <si>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</si>
  <si>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</si>
  <si>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</si>
  <si>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</si>
  <si>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</si>
  <si>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</si>
  <si>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</si>
  <si>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</si>
  <si>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</si>
  <si>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</si>
  <si>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</si>
  <si>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</si>
  <si>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</si>
  <si>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</si>
  <si>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</si>
  <si>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</si>
  <si>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</si>
  <si>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</si>
  <si>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</si>
  <si>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</si>
  <si>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</si>
  <si>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</si>
  <si>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</si>
  <si>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</si>
  <si>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</si>
  <si>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</si>
  <si>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</si>
  <si>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</si>
  <si>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</si>
  <si>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</si>
  <si>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</si>
  <si>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</si>
  <si>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</si>
  <si>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</si>
  <si>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</si>
  <si>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</si>
  <si>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</si>
  <si>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</si>
  <si>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</si>
  <si>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</si>
  <si>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</si>
  <si>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</si>
  <si>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</si>
  <si>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</si>
  <si>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</si>
  <si>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</si>
  <si>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</si>
  <si>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</si>
  <si>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</si>
  <si>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</si>
  <si>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</si>
  <si>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</si>
  <si>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</si>
  <si>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</si>
  <si>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</si>
  <si>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</si>
  <si>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</si>
  <si>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</si>
  <si>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</si>
  <si>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</si>
  <si>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</si>
  <si>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</si>
  <si>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</si>
  <si>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</si>
  <si>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</si>
  <si>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</si>
  <si>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</si>
  <si>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</si>
  <si>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</si>
  <si>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</si>
  <si>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</si>
  <si>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</si>
  <si>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</si>
  <si>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</si>
  <si>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</si>
  <si>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</si>
  <si>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</si>
  <si>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</si>
  <si>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</si>
  <si>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</si>
  <si>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</si>
  <si>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</si>
  <si>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</si>
  <si>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</si>
  <si>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</si>
  <si>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</si>
  <si>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</si>
  <si>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</si>
  <si>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</si>
  <si>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</si>
  <si>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</si>
  <si>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</si>
  <si>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</si>
  <si>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</si>
  <si>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</si>
  <si>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</si>
  <si>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</si>
  <si>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</si>
  <si>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</si>
  <si>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</si>
  <si>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</si>
  <si>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</si>
  <si>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</si>
  <si>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</si>
  <si>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</si>
  <si>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</si>
  <si>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</si>
  <si>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</si>
  <si>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</si>
  <si>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</si>
  <si>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</si>
  <si>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</si>
  <si>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</si>
  <si>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</si>
  <si>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</si>
  <si>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</si>
  <si>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</si>
  <si>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</si>
  <si>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</si>
  <si>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</si>
  <si>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</si>
  <si>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</si>
  <si>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</si>
  <si>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</si>
  <si>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</si>
  <si>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</si>
  <si>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</si>
  <si>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</si>
  <si>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</si>
  <si>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</si>
  <si>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</si>
  <si>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</si>
  <si>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</si>
  <si>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</si>
  <si>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</si>
  <si>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</si>
  <si>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</si>
  <si>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</si>
  <si>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</si>
  <si>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</si>
  <si>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</si>
  <si>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</si>
  <si>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</si>
  <si>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</si>
  <si>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</si>
  <si>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</si>
  <si>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</si>
  <si>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</si>
  <si>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</si>
  <si>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</si>
  <si>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</si>
  <si>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</si>
  <si>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</si>
  <si>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</si>
  <si>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</si>
  <si>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</si>
  <si>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</si>
  <si>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</si>
  <si>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</si>
  <si>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</si>
  <si>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</si>
  <si>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</si>
  <si>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</si>
  <si>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</si>
  <si>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</si>
  <si>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</si>
  <si>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</si>
  <si>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</si>
  <si>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</si>
  <si>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</si>
  <si>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</si>
  <si>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</si>
  <si>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</si>
  <si>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</si>
  <si>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</si>
  <si>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</si>
  <si>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</si>
  <si>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</si>
  <si>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</si>
  <si>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</si>
  <si>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</si>
  <si>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</si>
  <si>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</si>
  <si>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</si>
  <si>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</si>
  <si>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</si>
  <si>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</si>
  <si>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</si>
  <si>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</si>
  <si>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</si>
  <si>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</si>
  <si>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</si>
  <si>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</si>
  <si>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</si>
  <si>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</si>
  <si>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</si>
  <si>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</si>
  <si>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</si>
  <si>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</si>
  <si>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</si>
  <si>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</si>
  <si>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</si>
  <si>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</si>
  <si>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</si>
  <si>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</si>
  <si>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</si>
  <si>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</si>
  <si>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</si>
  <si>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</si>
  <si>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</si>
  <si>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</si>
  <si>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</si>
  <si>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</si>
  <si>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</si>
  <si>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</si>
  <si>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</si>
  <si>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</si>
  <si>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</si>
  <si>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</si>
  <si>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</si>
  <si>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</si>
  <si>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</si>
  <si>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</si>
  <si>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</si>
  <si>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</si>
  <si>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</si>
  <si>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</si>
  <si>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</si>
  <si>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</si>
  <si>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</si>
  <si>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</si>
  <si>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</si>
  <si>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</si>
  <si>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</si>
  <si>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</si>
  <si>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</si>
  <si>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</si>
  <si>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</si>
  <si>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</si>
  <si>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</si>
  <si>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</si>
  <si>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</si>
  <si>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</si>
  <si>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</si>
  <si>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</si>
  <si>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</si>
  <si>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</si>
  <si>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</si>
  <si>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</si>
  <si>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</si>
  <si>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</si>
  <si>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</si>
  <si>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</si>
  <si>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</si>
  <si>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</si>
  <si>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</si>
  <si>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</si>
  <si>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</si>
  <si>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</si>
  <si>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</si>
  <si>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</si>
  <si>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</si>
  <si>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</si>
  <si>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</si>
  <si>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</si>
  <si>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</si>
  <si>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</si>
  <si>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</si>
  <si>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</si>
  <si>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</si>
  <si>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</si>
  <si>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</si>
  <si>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</si>
  <si>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</si>
  <si>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</si>
  <si>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</si>
  <si>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</si>
  <si>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</si>
  <si>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</si>
  <si>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</si>
  <si>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</si>
  <si>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</si>
  <si>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</si>
  <si>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</si>
  <si>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</si>
  <si>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</si>
  <si>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</si>
  <si>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</si>
  <si>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</si>
  <si>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</si>
  <si>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</si>
  <si>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</si>
  <si>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</si>
  <si>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</si>
  <si>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</si>
  <si>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</si>
  <si>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</si>
  <si>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</si>
  <si>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</si>
  <si>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</si>
  <si>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</si>
  <si>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</si>
  <si>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</si>
  <si>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</si>
  <si>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</si>
  <si>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</si>
  <si>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</si>
  <si>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</si>
  <si>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</si>
  <si>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</si>
  <si>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</si>
  <si>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</si>
  <si>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</si>
  <si>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</si>
  <si>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</si>
  <si>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</si>
  <si>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</si>
  <si>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</si>
  <si>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</si>
  <si>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</si>
  <si>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</si>
  <si>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</si>
  <si>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</si>
  <si>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</si>
  <si>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</si>
  <si>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</si>
  <si>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</si>
  <si>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</si>
  <si>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</si>
  <si>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</si>
  <si>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</si>
  <si>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</si>
  <si>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</si>
  <si>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</si>
  <si>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</si>
  <si>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</si>
  <si>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</si>
  <si>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</si>
  <si>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</si>
  <si>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</si>
  <si>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</si>
  <si>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</si>
  <si>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</si>
  <si>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</si>
  <si>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</si>
  <si>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</si>
  <si>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</si>
  <si>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</si>
  <si>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</si>
  <si>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</si>
  <si>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</si>
  <si>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</si>
  <si>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</si>
  <si>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</si>
  <si>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</si>
  <si>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</si>
  <si>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</si>
  <si>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</si>
  <si>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</si>
  <si>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</si>
  <si>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</si>
  <si>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</si>
  <si>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</si>
  <si>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</si>
  <si>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</si>
  <si>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</si>
  <si>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</si>
  <si>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</si>
  <si>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</si>
  <si>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</si>
  <si>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</si>
  <si>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</si>
  <si>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</si>
  <si>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</si>
  <si>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</si>
  <si>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</si>
  <si>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</si>
  <si>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</si>
  <si>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</si>
  <si>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</si>
  <si>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</si>
  <si>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</si>
  <si>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</si>
  <si>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</si>
  <si>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</si>
  <si>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</si>
  <si>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</si>
  <si>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</si>
  <si>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</si>
  <si>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</si>
  <si>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</si>
  <si>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</si>
  <si>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</si>
  <si>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</si>
  <si>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</si>
  <si>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</si>
  <si>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</si>
  <si>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</si>
  <si>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</si>
  <si>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</si>
  <si>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</si>
  <si>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</si>
  <si>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</si>
  <si>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</si>
  <si>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</si>
  <si>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</si>
  <si>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</si>
  <si>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</si>
  <si>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</si>
  <si>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</si>
  <si>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</si>
  <si>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</si>
  <si>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</si>
  <si>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</si>
  <si>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</si>
  <si>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</si>
  <si>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</si>
  <si>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</si>
  <si>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</si>
  <si>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</si>
  <si>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</si>
  <si>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</si>
  <si>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</si>
  <si>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</si>
  <si>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</si>
  <si>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</si>
  <si>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</si>
  <si>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</si>
  <si>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</si>
  <si>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</si>
  <si>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</si>
  <si>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</si>
  <si>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</si>
  <si>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</si>
  <si>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</si>
  <si>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</si>
  <si>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</si>
  <si>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</si>
  <si>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</si>
  <si>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</si>
  <si>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</si>
  <si>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</si>
  <si>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</si>
  <si>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</si>
  <si>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</si>
  <si>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</si>
  <si>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</si>
  <si>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</si>
  <si>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</si>
  <si>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</si>
  <si>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</si>
  <si>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</si>
  <si>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</si>
  <si>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</si>
  <si>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</si>
  <si>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</si>
  <si>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</si>
  <si>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</si>
  <si>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</si>
  <si>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</si>
  <si>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</si>
  <si>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</si>
  <si>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</si>
  <si>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</si>
  <si>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</si>
  <si>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</si>
  <si>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</si>
  <si>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</si>
  <si>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</si>
  <si>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</si>
  <si>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</si>
  <si>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</si>
  <si>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</si>
  <si>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</si>
  <si>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</si>
  <si>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31043</t>
  </si>
  <si>
    <t>KNOKKE-HEIST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</si>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</sst>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31043</v>
      </c>
      <c r="B6" s="394"/>
      <c r="C6" s="395"/>
    </row>
    <row r="7" spans="1:7" s="392" customFormat="1" ht="15.75" customHeight="1">
      <c r="A7" s="396" t="str">
        <f>txtMunicipality</f>
        <v>KNOKKE-HEIST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0.21812455176496315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0.21812455176496315</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16818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3395</v>
      </c>
      <c r="C14" s="332"/>
      <c r="D14" s="332"/>
      <c r="E14" s="332"/>
      <c r="F14" s="332"/>
    </row>
    <row r="15" spans="1:6">
      <c r="A15" s="1299" t="s">
        <v>183</v>
      </c>
      <c r="B15" s="1300">
        <v>16</v>
      </c>
      <c r="C15" s="332"/>
      <c r="D15" s="332"/>
      <c r="E15" s="332"/>
      <c r="F15" s="332"/>
    </row>
    <row r="16" spans="1:6">
      <c r="A16" s="1299" t="s">
        <v>6</v>
      </c>
      <c r="B16" s="1300">
        <v>495</v>
      </c>
      <c r="C16" s="332"/>
      <c r="D16" s="332"/>
      <c r="E16" s="332"/>
      <c r="F16" s="332"/>
    </row>
    <row r="17" spans="1:6">
      <c r="A17" s="1299" t="s">
        <v>7</v>
      </c>
      <c r="B17" s="1300">
        <v>1106</v>
      </c>
      <c r="C17" s="332"/>
      <c r="D17" s="332"/>
      <c r="E17" s="332"/>
      <c r="F17" s="332"/>
    </row>
    <row r="18" spans="1:6">
      <c r="A18" s="1299" t="s">
        <v>8</v>
      </c>
      <c r="B18" s="1300">
        <v>1476</v>
      </c>
      <c r="C18" s="332"/>
      <c r="D18" s="332"/>
      <c r="E18" s="332"/>
      <c r="F18" s="332"/>
    </row>
    <row r="19" spans="1:6">
      <c r="A19" s="1299" t="s">
        <v>9</v>
      </c>
      <c r="B19" s="1300">
        <v>1424</v>
      </c>
      <c r="C19" s="332"/>
      <c r="D19" s="332"/>
      <c r="E19" s="332"/>
      <c r="F19" s="332"/>
    </row>
    <row r="20" spans="1:6">
      <c r="A20" s="1299" t="s">
        <v>10</v>
      </c>
      <c r="B20" s="1300">
        <v>917</v>
      </c>
      <c r="C20" s="332"/>
      <c r="D20" s="332"/>
      <c r="E20" s="332"/>
      <c r="F20" s="332"/>
    </row>
    <row r="21" spans="1:6">
      <c r="A21" s="1299" t="s">
        <v>11</v>
      </c>
      <c r="B21" s="1300">
        <v>1574</v>
      </c>
      <c r="C21" s="332"/>
      <c r="D21" s="332"/>
      <c r="E21" s="332"/>
      <c r="F21" s="332"/>
    </row>
    <row r="22" spans="1:6">
      <c r="A22" s="1299" t="s">
        <v>12</v>
      </c>
      <c r="B22" s="1300">
        <v>4704</v>
      </c>
      <c r="C22" s="332"/>
      <c r="D22" s="332"/>
      <c r="E22" s="332"/>
      <c r="F22" s="332"/>
    </row>
    <row r="23" spans="1:6">
      <c r="A23" s="1299" t="s">
        <v>13</v>
      </c>
      <c r="B23" s="1300">
        <v>59</v>
      </c>
      <c r="C23" s="332"/>
      <c r="D23" s="332"/>
      <c r="E23" s="332"/>
      <c r="F23" s="332"/>
    </row>
    <row r="24" spans="1:6">
      <c r="A24" s="1299" t="s">
        <v>14</v>
      </c>
      <c r="B24" s="1300">
        <v>7</v>
      </c>
      <c r="C24" s="332"/>
      <c r="D24" s="332"/>
      <c r="E24" s="332"/>
      <c r="F24" s="332"/>
    </row>
    <row r="25" spans="1:6">
      <c r="A25" s="1299" t="s">
        <v>15</v>
      </c>
      <c r="B25" s="1300">
        <v>434</v>
      </c>
      <c r="C25" s="332"/>
      <c r="D25" s="332"/>
      <c r="E25" s="332"/>
      <c r="F25" s="332"/>
    </row>
    <row r="26" spans="1:6">
      <c r="A26" s="1299" t="s">
        <v>16</v>
      </c>
      <c r="B26" s="1300">
        <v>295</v>
      </c>
      <c r="C26" s="332"/>
      <c r="D26" s="332"/>
      <c r="E26" s="332"/>
      <c r="F26" s="332"/>
    </row>
    <row r="27" spans="1:6">
      <c r="A27" s="1299" t="s">
        <v>17</v>
      </c>
      <c r="B27" s="1300">
        <v>0</v>
      </c>
      <c r="C27" s="332"/>
      <c r="D27" s="332"/>
      <c r="E27" s="332"/>
      <c r="F27" s="332"/>
    </row>
    <row r="28" spans="1:6" s="44" customFormat="1">
      <c r="A28" s="1301" t="s">
        <v>18</v>
      </c>
      <c r="B28" s="1302">
        <v>39708</v>
      </c>
      <c r="C28" s="338"/>
      <c r="D28" s="338"/>
      <c r="E28" s="338"/>
      <c r="F28" s="338"/>
    </row>
    <row r="29" spans="1:6">
      <c r="A29" s="1301" t="s">
        <v>950</v>
      </c>
      <c r="B29" s="1302">
        <v>340</v>
      </c>
      <c r="C29" s="338"/>
      <c r="D29" s="338"/>
      <c r="E29" s="338"/>
      <c r="F29" s="338"/>
    </row>
    <row r="30" spans="1:6">
      <c r="A30" s="1294" t="s">
        <v>951</v>
      </c>
      <c r="B30" s="1303">
        <v>72</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6</v>
      </c>
      <c r="D36" s="1300">
        <v>1020647.16142327</v>
      </c>
      <c r="E36" s="1300">
        <v>8</v>
      </c>
      <c r="F36" s="1300">
        <v>28920.7737610404</v>
      </c>
    </row>
    <row r="37" spans="1:6">
      <c r="A37" s="1299" t="s">
        <v>24</v>
      </c>
      <c r="B37" s="1299" t="s">
        <v>27</v>
      </c>
      <c r="C37" s="1300">
        <v>0</v>
      </c>
      <c r="D37" s="1300">
        <v>0</v>
      </c>
      <c r="E37" s="1300">
        <v>0</v>
      </c>
      <c r="F37" s="1300">
        <v>0</v>
      </c>
    </row>
    <row r="38" spans="1:6">
      <c r="A38" s="1299" t="s">
        <v>24</v>
      </c>
      <c r="B38" s="1299" t="s">
        <v>28</v>
      </c>
      <c r="C38" s="1300">
        <v>2</v>
      </c>
      <c r="D38" s="1300">
        <v>16540.238598689499</v>
      </c>
      <c r="E38" s="1300">
        <v>1</v>
      </c>
      <c r="F38" s="1300">
        <v>110.8423288876</v>
      </c>
    </row>
    <row r="39" spans="1:6">
      <c r="A39" s="1299" t="s">
        <v>29</v>
      </c>
      <c r="B39" s="1299" t="s">
        <v>30</v>
      </c>
      <c r="C39" s="1300">
        <v>22827</v>
      </c>
      <c r="D39" s="1300">
        <v>285825327.62921602</v>
      </c>
      <c r="E39" s="1300">
        <v>32279</v>
      </c>
      <c r="F39" s="1300">
        <v>81730766.035028994</v>
      </c>
    </row>
    <row r="40" spans="1:6">
      <c r="A40" s="1299" t="s">
        <v>29</v>
      </c>
      <c r="B40" s="1299" t="s">
        <v>28</v>
      </c>
      <c r="C40" s="1300">
        <v>1</v>
      </c>
      <c r="D40" s="1300">
        <v>7443.2684517578</v>
      </c>
      <c r="E40" s="1300">
        <v>1</v>
      </c>
      <c r="F40" s="1300">
        <v>835.20317119490005</v>
      </c>
    </row>
    <row r="41" spans="1:6">
      <c r="A41" s="1299" t="s">
        <v>31</v>
      </c>
      <c r="B41" s="1299" t="s">
        <v>32</v>
      </c>
      <c r="C41" s="1300">
        <v>387</v>
      </c>
      <c r="D41" s="1300">
        <v>6388233.2698122999</v>
      </c>
      <c r="E41" s="1300">
        <v>839</v>
      </c>
      <c r="F41" s="1300">
        <v>4518341.5218891697</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8</v>
      </c>
      <c r="D44" s="1300">
        <v>99800.281312520106</v>
      </c>
      <c r="E44" s="1300">
        <v>21</v>
      </c>
      <c r="F44" s="1300">
        <v>195070.93855357301</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6</v>
      </c>
      <c r="D47" s="1300">
        <v>194703.722114826</v>
      </c>
      <c r="E47" s="1300">
        <v>8</v>
      </c>
      <c r="F47" s="1300">
        <v>49930.092370906597</v>
      </c>
    </row>
    <row r="48" spans="1:6">
      <c r="A48" s="1299" t="s">
        <v>31</v>
      </c>
      <c r="B48" s="1299" t="s">
        <v>28</v>
      </c>
      <c r="C48" s="1300">
        <v>64</v>
      </c>
      <c r="D48" s="1300">
        <v>1762373.88558876</v>
      </c>
      <c r="E48" s="1300">
        <v>71</v>
      </c>
      <c r="F48" s="1300">
        <v>3857059.80956956</v>
      </c>
    </row>
    <row r="49" spans="1:6">
      <c r="A49" s="1299" t="s">
        <v>31</v>
      </c>
      <c r="B49" s="1299" t="s">
        <v>39</v>
      </c>
      <c r="C49" s="1300">
        <v>5</v>
      </c>
      <c r="D49" s="1300">
        <v>92154.778994760796</v>
      </c>
      <c r="E49" s="1300">
        <v>10</v>
      </c>
      <c r="F49" s="1300">
        <v>145395.52734889201</v>
      </c>
    </row>
    <row r="50" spans="1:6">
      <c r="A50" s="1299" t="s">
        <v>31</v>
      </c>
      <c r="B50" s="1299" t="s">
        <v>40</v>
      </c>
      <c r="C50" s="1300">
        <v>37</v>
      </c>
      <c r="D50" s="1300">
        <v>2483859.9790195501</v>
      </c>
      <c r="E50" s="1300">
        <v>60</v>
      </c>
      <c r="F50" s="1300">
        <v>1935878.5600884701</v>
      </c>
    </row>
    <row r="51" spans="1:6">
      <c r="A51" s="1299" t="s">
        <v>41</v>
      </c>
      <c r="B51" s="1299" t="s">
        <v>42</v>
      </c>
      <c r="C51" s="1300">
        <v>12</v>
      </c>
      <c r="D51" s="1300">
        <v>249838.115871961</v>
      </c>
      <c r="E51" s="1300">
        <v>101</v>
      </c>
      <c r="F51" s="1300">
        <v>1552249.9716679801</v>
      </c>
    </row>
    <row r="52" spans="1:6">
      <c r="A52" s="1299" t="s">
        <v>41</v>
      </c>
      <c r="B52" s="1299" t="s">
        <v>28</v>
      </c>
      <c r="C52" s="1300">
        <v>19</v>
      </c>
      <c r="D52" s="1300">
        <v>309395.41776519502</v>
      </c>
      <c r="E52" s="1300">
        <v>16</v>
      </c>
      <c r="F52" s="1300">
        <v>72553.592140704393</v>
      </c>
    </row>
    <row r="53" spans="1:6">
      <c r="A53" s="1299" t="s">
        <v>43</v>
      </c>
      <c r="B53" s="1299" t="s">
        <v>44</v>
      </c>
      <c r="C53" s="1300">
        <v>808</v>
      </c>
      <c r="D53" s="1300">
        <v>17003396.990545001</v>
      </c>
      <c r="E53" s="1300">
        <v>2066</v>
      </c>
      <c r="F53" s="1300">
        <v>9961140.2643451504</v>
      </c>
    </row>
    <row r="54" spans="1:6">
      <c r="A54" s="1299" t="s">
        <v>45</v>
      </c>
      <c r="B54" s="1299" t="s">
        <v>46</v>
      </c>
      <c r="C54" s="1300">
        <v>0</v>
      </c>
      <c r="D54" s="1300">
        <v>0</v>
      </c>
      <c r="E54" s="1300">
        <v>1</v>
      </c>
      <c r="F54" s="1300">
        <v>3148507</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148</v>
      </c>
      <c r="D57" s="1300">
        <v>4774465.7559422199</v>
      </c>
      <c r="E57" s="1300">
        <v>298</v>
      </c>
      <c r="F57" s="1300">
        <v>5303201.1535419598</v>
      </c>
    </row>
    <row r="58" spans="1:6">
      <c r="A58" s="1299" t="s">
        <v>48</v>
      </c>
      <c r="B58" s="1299" t="s">
        <v>50</v>
      </c>
      <c r="C58" s="1300">
        <v>140</v>
      </c>
      <c r="D58" s="1300">
        <v>4842692.8603670904</v>
      </c>
      <c r="E58" s="1300">
        <v>205</v>
      </c>
      <c r="F58" s="1300">
        <v>2438620.49620781</v>
      </c>
    </row>
    <row r="59" spans="1:6">
      <c r="A59" s="1299" t="s">
        <v>48</v>
      </c>
      <c r="B59" s="1299" t="s">
        <v>51</v>
      </c>
      <c r="C59" s="1300">
        <v>796</v>
      </c>
      <c r="D59" s="1300">
        <v>16937380.902625199</v>
      </c>
      <c r="E59" s="1300">
        <v>1480</v>
      </c>
      <c r="F59" s="1300">
        <v>31717377.546394099</v>
      </c>
    </row>
    <row r="60" spans="1:6">
      <c r="A60" s="1299" t="s">
        <v>48</v>
      </c>
      <c r="B60" s="1299" t="s">
        <v>52</v>
      </c>
      <c r="C60" s="1300">
        <v>382</v>
      </c>
      <c r="D60" s="1300">
        <v>22204255.340732101</v>
      </c>
      <c r="E60" s="1300">
        <v>539</v>
      </c>
      <c r="F60" s="1300">
        <v>18367039.794636499</v>
      </c>
    </row>
    <row r="61" spans="1:6">
      <c r="A61" s="1299" t="s">
        <v>48</v>
      </c>
      <c r="B61" s="1299" t="s">
        <v>53</v>
      </c>
      <c r="C61" s="1300">
        <v>1844</v>
      </c>
      <c r="D61" s="1300">
        <v>72448633.578931496</v>
      </c>
      <c r="E61" s="1300">
        <v>4650</v>
      </c>
      <c r="F61" s="1300">
        <v>28943788.4549498</v>
      </c>
    </row>
    <row r="62" spans="1:6">
      <c r="A62" s="1299" t="s">
        <v>48</v>
      </c>
      <c r="B62" s="1299" t="s">
        <v>54</v>
      </c>
      <c r="C62" s="1300">
        <v>23</v>
      </c>
      <c r="D62" s="1300">
        <v>2853220.38248942</v>
      </c>
      <c r="E62" s="1300">
        <v>26</v>
      </c>
      <c r="F62" s="1300">
        <v>493612.79545856098</v>
      </c>
    </row>
    <row r="63" spans="1:6">
      <c r="A63" s="1299" t="s">
        <v>48</v>
      </c>
      <c r="B63" s="1299" t="s">
        <v>28</v>
      </c>
      <c r="C63" s="1300">
        <v>182</v>
      </c>
      <c r="D63" s="1300">
        <v>8447688.1894811299</v>
      </c>
      <c r="E63" s="1300">
        <v>187</v>
      </c>
      <c r="F63" s="1300">
        <v>8208988.50879471</v>
      </c>
    </row>
    <row r="64" spans="1:6">
      <c r="A64" s="1299" t="s">
        <v>55</v>
      </c>
      <c r="B64" s="1299" t="s">
        <v>56</v>
      </c>
      <c r="C64" s="1300">
        <v>3</v>
      </c>
      <c r="D64" s="1300">
        <v>65408.306941548602</v>
      </c>
      <c r="E64" s="1300">
        <v>4</v>
      </c>
      <c r="F64" s="1300">
        <v>11645.7796149884</v>
      </c>
    </row>
    <row r="65" spans="1:6">
      <c r="A65" s="1299" t="s">
        <v>55</v>
      </c>
      <c r="B65" s="1299" t="s">
        <v>28</v>
      </c>
      <c r="C65" s="1300">
        <v>3</v>
      </c>
      <c r="D65" s="1300">
        <v>86089.452138923705</v>
      </c>
      <c r="E65" s="1300">
        <v>2</v>
      </c>
      <c r="F65" s="1300">
        <v>12065.2240861872</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20</v>
      </c>
      <c r="D68" s="1303">
        <v>421661.50965620001</v>
      </c>
      <c r="E68" s="1303">
        <v>37</v>
      </c>
      <c r="F68" s="1303">
        <v>1070812.4344509901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124113066</v>
      </c>
      <c r="E73" s="455"/>
      <c r="F73" s="332"/>
    </row>
    <row r="74" spans="1:6">
      <c r="A74" s="1299" t="s">
        <v>63</v>
      </c>
      <c r="B74" s="1299" t="s">
        <v>768</v>
      </c>
      <c r="C74" s="1313" t="s">
        <v>762</v>
      </c>
      <c r="D74" s="1314">
        <v>12417825.411094384</v>
      </c>
      <c r="E74" s="455"/>
      <c r="F74" s="332"/>
    </row>
    <row r="75" spans="1:6">
      <c r="A75" s="1299" t="s">
        <v>64</v>
      </c>
      <c r="B75" s="1299" t="s">
        <v>767</v>
      </c>
      <c r="C75" s="1313" t="s">
        <v>763</v>
      </c>
      <c r="D75" s="1314">
        <v>32492815</v>
      </c>
      <c r="E75" s="455"/>
      <c r="F75" s="332"/>
    </row>
    <row r="76" spans="1:6">
      <c r="A76" s="1299" t="s">
        <v>64</v>
      </c>
      <c r="B76" s="1299" t="s">
        <v>768</v>
      </c>
      <c r="C76" s="1313" t="s">
        <v>764</v>
      </c>
      <c r="D76" s="1314">
        <v>1260404.4110943833</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465167.17781123321</v>
      </c>
      <c r="C83" s="455"/>
      <c r="D83" s="332"/>
      <c r="E83" s="332"/>
      <c r="F83" s="332"/>
    </row>
    <row r="84" spans="1:6">
      <c r="A84" s="1294" t="s">
        <v>336</v>
      </c>
      <c r="B84" s="1315">
        <v>176586.79121969943</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1798.3159380960906</v>
      </c>
      <c r="C91" s="332"/>
      <c r="D91" s="332"/>
      <c r="E91" s="332"/>
      <c r="F91" s="332"/>
    </row>
    <row r="92" spans="1:6">
      <c r="A92" s="1294" t="s">
        <v>68</v>
      </c>
      <c r="B92" s="1295">
        <v>869.79593842476288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9792</v>
      </c>
      <c r="C97" s="332"/>
      <c r="D97" s="332"/>
      <c r="E97" s="332"/>
      <c r="F97" s="332"/>
    </row>
    <row r="98" spans="1:6">
      <c r="A98" s="1299" t="s">
        <v>71</v>
      </c>
      <c r="B98" s="1300">
        <v>3</v>
      </c>
      <c r="C98" s="332"/>
      <c r="D98" s="332"/>
      <c r="E98" s="332"/>
      <c r="F98" s="332"/>
    </row>
    <row r="99" spans="1:6">
      <c r="A99" s="1299" t="s">
        <v>72</v>
      </c>
      <c r="B99" s="1300">
        <v>58</v>
      </c>
      <c r="C99" s="332"/>
      <c r="D99" s="332"/>
      <c r="E99" s="332"/>
      <c r="F99" s="332"/>
    </row>
    <row r="100" spans="1:6">
      <c r="A100" s="1299" t="s">
        <v>73</v>
      </c>
      <c r="B100" s="1300">
        <v>1420</v>
      </c>
      <c r="C100" s="332"/>
      <c r="D100" s="332"/>
      <c r="E100" s="332"/>
      <c r="F100" s="332"/>
    </row>
    <row r="101" spans="1:6">
      <c r="A101" s="1299" t="s">
        <v>74</v>
      </c>
      <c r="B101" s="1300">
        <v>56</v>
      </c>
      <c r="C101" s="332"/>
      <c r="D101" s="332"/>
      <c r="E101" s="332"/>
      <c r="F101" s="332"/>
    </row>
    <row r="102" spans="1:6">
      <c r="A102" s="1299" t="s">
        <v>75</v>
      </c>
      <c r="B102" s="1300">
        <v>435</v>
      </c>
      <c r="C102" s="332"/>
      <c r="D102" s="332"/>
      <c r="E102" s="332"/>
      <c r="F102" s="332"/>
    </row>
    <row r="103" spans="1:6">
      <c r="A103" s="1299" t="s">
        <v>76</v>
      </c>
      <c r="B103" s="1300">
        <v>92</v>
      </c>
      <c r="C103" s="332"/>
      <c r="D103" s="332"/>
      <c r="E103" s="332"/>
      <c r="F103" s="332"/>
    </row>
    <row r="104" spans="1:6">
      <c r="A104" s="1299" t="s">
        <v>77</v>
      </c>
      <c r="B104" s="1300">
        <v>3205</v>
      </c>
      <c r="C104" s="332"/>
      <c r="D104" s="332"/>
      <c r="E104" s="332"/>
      <c r="F104" s="332"/>
    </row>
    <row r="105" spans="1:6">
      <c r="A105" s="1294" t="s">
        <v>78</v>
      </c>
      <c r="B105" s="1303">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3</v>
      </c>
      <c r="C123" s="1300">
        <v>7</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42</v>
      </c>
      <c r="C129" s="332"/>
      <c r="D129" s="332"/>
      <c r="E129" s="332"/>
      <c r="F129" s="332"/>
    </row>
    <row r="130" spans="1:6">
      <c r="A130" s="1299" t="s">
        <v>294</v>
      </c>
      <c r="B130" s="1300">
        <v>0</v>
      </c>
      <c r="C130" s="332"/>
      <c r="D130" s="332"/>
      <c r="E130" s="332"/>
      <c r="F130" s="332"/>
    </row>
    <row r="131" spans="1:6">
      <c r="A131" s="1299" t="s">
        <v>295</v>
      </c>
      <c r="B131" s="1300">
        <v>4</v>
      </c>
      <c r="C131" s="332"/>
      <c r="D131" s="332"/>
      <c r="E131" s="332"/>
      <c r="F131" s="332"/>
    </row>
    <row r="132" spans="1:6">
      <c r="A132" s="1294" t="s">
        <v>296</v>
      </c>
      <c r="B132" s="1295">
        <v>5</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205064.62871641817</v>
      </c>
      <c r="C3" s="44" t="s">
        <v>169</v>
      </c>
      <c r="D3" s="44"/>
      <c r="E3" s="157"/>
      <c r="F3" s="44"/>
      <c r="G3" s="44"/>
      <c r="H3" s="44"/>
      <c r="I3" s="44"/>
      <c r="J3" s="44"/>
      <c r="K3" s="97"/>
    </row>
    <row r="4" spans="1:11">
      <c r="A4" s="362" t="s">
        <v>170</v>
      </c>
      <c r="B4" s="50">
        <f>IF(ISERROR('SEAP template'!B78+'SEAP template'!C78),0,'SEAP template'!B78+'SEAP template'!C78)</f>
        <v>2668.1118765208535</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0.21812455176496315</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3148.5070000000001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3148.5070000000001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0.21812455176496315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686.76667810384879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81731.601238200194</v>
      </c>
      <c r="C5" s="18">
        <f>IF(ISERROR('Eigen informatie GS &amp; warmtenet'!B57),0,'Eigen informatie GS &amp; warmtenet'!B57)</f>
        <v>0</v>
      </c>
      <c r="D5" s="31">
        <f>(SUM(HH_hh_gas_kWh,HH_rest_gas_kWh)/1000)*0.902</f>
        <v>257821.1593496963</v>
      </c>
      <c r="E5" s="18">
        <f>B46*B57</f>
        <v>0</v>
      </c>
      <c r="F5" s="18">
        <f>B51*B62</f>
        <v>0</v>
      </c>
      <c r="G5" s="19"/>
      <c r="H5" s="18"/>
      <c r="I5" s="18"/>
      <c r="J5" s="18">
        <f>B50*B61+C50*C61</f>
        <v>0</v>
      </c>
      <c r="K5" s="18"/>
      <c r="L5" s="18"/>
      <c r="M5" s="18"/>
      <c r="N5" s="18">
        <f>B48*B59+C48*C59</f>
        <v>0</v>
      </c>
      <c r="O5" s="18">
        <f>B69*B70*B71</f>
        <v>76.603333333333339</v>
      </c>
      <c r="P5" s="18">
        <f>B77*B78*B79/1000-B77*B78*B79/1000/B80</f>
        <v>152.53333333333333</v>
      </c>
    </row>
    <row r="6" spans="1:16">
      <c r="A6" s="17" t="s">
        <v>638</v>
      </c>
      <c r="B6" s="776">
        <f>kWh_PV_kleiner_dan_10kW</f>
        <v>1798.3159380960906</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83529.91717629628</v>
      </c>
      <c r="C8" s="22">
        <f>C5</f>
        <v>0</v>
      </c>
      <c r="D8" s="22">
        <f>D5</f>
        <v>257821.1593496963</v>
      </c>
      <c r="E8" s="22">
        <f>E5</f>
        <v>0</v>
      </c>
      <c r="F8" s="22">
        <f>F5</f>
        <v>0</v>
      </c>
      <c r="G8" s="22"/>
      <c r="H8" s="22"/>
      <c r="I8" s="22"/>
      <c r="J8" s="22">
        <f>J5</f>
        <v>0</v>
      </c>
      <c r="K8" s="22"/>
      <c r="L8" s="22">
        <f>L5</f>
        <v>0</v>
      </c>
      <c r="M8" s="22">
        <f>M5</f>
        <v>0</v>
      </c>
      <c r="N8" s="22">
        <f>N5</f>
        <v>0</v>
      </c>
      <c r="O8" s="22">
        <f>O5</f>
        <v>76.603333333333339</v>
      </c>
      <c r="P8" s="22">
        <f>P5</f>
        <v>152.53333333333333</v>
      </c>
    </row>
    <row r="9" spans="1:16">
      <c r="B9" s="20"/>
      <c r="C9" s="20"/>
      <c r="D9" s="262"/>
      <c r="E9" s="20"/>
      <c r="F9" s="20"/>
      <c r="G9" s="20"/>
      <c r="H9" s="20"/>
      <c r="I9" s="20"/>
      <c r="J9" s="20"/>
      <c r="K9" s="20"/>
      <c r="L9" s="20"/>
      <c r="M9" s="20"/>
      <c r="N9" s="20"/>
      <c r="O9" s="20"/>
      <c r="P9" s="20"/>
    </row>
    <row r="10" spans="1:16">
      <c r="A10" s="25" t="s">
        <v>213</v>
      </c>
      <c r="B10" s="26">
        <f ca="1">'EF ele_warmte'!B12</f>
        <v>0.21812455176496315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18219.925743044121</v>
      </c>
      <c r="C12" s="24">
        <f ca="1">C10*C8</f>
        <v>0</v>
      </c>
      <c r="D12" s="24">
        <f>D8*D10</f>
        <v>52079.874188638656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9792</v>
      </c>
      <c r="C18" s="169" t="s">
        <v>110</v>
      </c>
      <c r="D18" s="231"/>
      <c r="E18" s="16"/>
    </row>
    <row r="19" spans="1:7">
      <c r="A19" s="174" t="s">
        <v>71</v>
      </c>
      <c r="B19" s="38">
        <f>aantalw2001_ander</f>
        <v>3</v>
      </c>
      <c r="C19" s="169" t="s">
        <v>110</v>
      </c>
      <c r="D19" s="232"/>
      <c r="E19" s="16"/>
    </row>
    <row r="20" spans="1:7">
      <c r="A20" s="174" t="s">
        <v>72</v>
      </c>
      <c r="B20" s="38">
        <f>aantalw2001_propaan</f>
        <v>58</v>
      </c>
      <c r="C20" s="170">
        <f>IF(ISERROR(B20/SUM($B$20,$B$21,$B$22)*100),0,B20/SUM($B$20,$B$21,$B$22)*100)</f>
        <v>3.7809647979139509</v>
      </c>
      <c r="D20" s="232"/>
      <c r="E20" s="16"/>
    </row>
    <row r="21" spans="1:7">
      <c r="A21" s="174" t="s">
        <v>73</v>
      </c>
      <c r="B21" s="38">
        <f>aantalw2001_elektriciteit</f>
        <v>1420</v>
      </c>
      <c r="C21" s="170">
        <f>IF(ISERROR(B21/SUM($B$20,$B$21,$B$22)*100),0,B21/SUM($B$20,$B$21,$B$22)*100)</f>
        <v>92.568448500651897</v>
      </c>
      <c r="D21" s="232"/>
      <c r="E21" s="16"/>
    </row>
    <row r="22" spans="1:7">
      <c r="A22" s="174" t="s">
        <v>74</v>
      </c>
      <c r="B22" s="38">
        <f>aantalw2001_hout</f>
        <v>56</v>
      </c>
      <c r="C22" s="170">
        <f>IF(ISERROR(B22/SUM($B$20,$B$21,$B$22)*100),0,B22/SUM($B$20,$B$21,$B$22)*100)</f>
        <v>3.6505867014341589</v>
      </c>
      <c r="D22" s="232"/>
      <c r="E22" s="16"/>
    </row>
    <row r="23" spans="1:7">
      <c r="A23" s="174" t="s">
        <v>75</v>
      </c>
      <c r="B23" s="38">
        <f>aantalw2001_niet_gespec</f>
        <v>435</v>
      </c>
      <c r="C23" s="169" t="s">
        <v>110</v>
      </c>
      <c r="D23" s="231"/>
      <c r="E23" s="16"/>
    </row>
    <row r="24" spans="1:7">
      <c r="A24" s="174" t="s">
        <v>76</v>
      </c>
      <c r="B24" s="38">
        <f>aantalw2001_steenkool</f>
        <v>92</v>
      </c>
      <c r="C24" s="169" t="s">
        <v>110</v>
      </c>
      <c r="D24" s="232"/>
      <c r="E24" s="16"/>
    </row>
    <row r="25" spans="1:7">
      <c r="A25" s="174" t="s">
        <v>77</v>
      </c>
      <c r="B25" s="38">
        <f>aantalw2001_stookolie</f>
        <v>3205</v>
      </c>
      <c r="C25" s="169" t="s">
        <v>110</v>
      </c>
      <c r="D25" s="231"/>
      <c r="E25" s="53"/>
    </row>
    <row r="26" spans="1:7">
      <c r="A26" s="174" t="s">
        <v>78</v>
      </c>
      <c r="B26" s="38">
        <f>aantalw2001_WP</f>
        <v>2</v>
      </c>
      <c r="C26" s="169" t="s">
        <v>110</v>
      </c>
      <c r="D26" s="231"/>
      <c r="E26" s="16"/>
    </row>
    <row r="27" spans="1:7" s="16" customFormat="1">
      <c r="A27" s="174"/>
      <c r="B27" s="30"/>
      <c r="C27" s="37"/>
      <c r="D27" s="231"/>
    </row>
    <row r="28" spans="1:7" s="16" customFormat="1">
      <c r="A28" s="233" t="s">
        <v>663</v>
      </c>
      <c r="B28" s="38">
        <f>aantalHuishoudens</f>
        <v>16818</v>
      </c>
      <c r="C28" s="37"/>
      <c r="D28" s="231"/>
    </row>
    <row r="29" spans="1:7" s="16" customFormat="1">
      <c r="A29" s="233" t="s">
        <v>664</v>
      </c>
      <c r="B29" s="38">
        <f>SUM(HH_hh_gas_aantal,HH_rest_gas_aantal)</f>
        <v>22828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22828</v>
      </c>
      <c r="C32" s="170">
        <f>IF(ISERROR(B32/SUM($B$32,$B$34,$B$35,$B$36,$B$38,$B$39)*100),0,B32/SUM($B$32,$B$34,$B$35,$B$36,$B$38,$B$39)*100)</f>
        <v>100</v>
      </c>
      <c r="D32" s="236"/>
      <c r="G32" s="16"/>
    </row>
    <row r="33" spans="1:7">
      <c r="A33" s="174" t="s">
        <v>71</v>
      </c>
      <c r="B33" s="35" t="s">
        <v>110</v>
      </c>
      <c r="C33" s="170"/>
      <c r="D33" s="236"/>
      <c r="G33" s="16"/>
    </row>
    <row r="34" spans="1:7">
      <c r="A34" s="174" t="s">
        <v>72</v>
      </c>
      <c r="B34" s="34">
        <f>IF((($B$28-$B$32-$B$39-$B$77-$B$38)*C20/100)&lt;0,0,($B$28-$B$32-$B$39-$B$77-$B$38)*C20/100)</f>
        <v>0</v>
      </c>
      <c r="C34" s="170">
        <f>IF(ISERROR(B34/SUM($B$32,$B$34,$B$35,$B$36,$B$38,$B$39)*100),0,B34/SUM($B$32,$B$34,$B$35,$B$36,$B$38,$B$39)*100)</f>
        <v>0</v>
      </c>
      <c r="D34" s="236"/>
      <c r="G34" s="16"/>
    </row>
    <row r="35" spans="1:7">
      <c r="A35" s="174" t="s">
        <v>73</v>
      </c>
      <c r="B35" s="34">
        <f>IF((($B$28-$B$32-$B$39-$B$77-$B$38)*C21/100)&lt;0,0,($B$28-$B$32-$B$39-$B$77-$B$38)*C21/100)</f>
        <v>0</v>
      </c>
      <c r="C35" s="170">
        <f>IF(ISERROR(B35/SUM($B$32,$B$34,$B$35,$B$36,$B$38,$B$39)*100),0,B35/SUM($B$32,$B$34,$B$35,$B$36,$B$38,$B$39)*100)</f>
        <v>0</v>
      </c>
      <c r="D35" s="236"/>
      <c r="G35" s="16"/>
    </row>
    <row r="36" spans="1:7">
      <c r="A36" s="174" t="s">
        <v>74</v>
      </c>
      <c r="B36" s="34">
        <f>IF((($B$28-$B$32-$B$39-$B$77-$B$38)*C22/100)&lt;0,0,($B$28-$B$32-$B$39-$B$77-$B$38)*C22/100)</f>
        <v>0</v>
      </c>
      <c r="C36" s="170">
        <f>IF(ISERROR(B36/SUM($B$32,$B$34,$B$35,$B$36,$B$38,$B$39)*100),0,B36/SUM($B$32,$B$34,$B$35,$B$36,$B$38,$B$39)*100)</f>
        <v>0</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22828</v>
      </c>
      <c r="C44" s="35" t="s">
        <v>110</v>
      </c>
      <c r="D44" s="177"/>
    </row>
    <row r="45" spans="1:7">
      <c r="A45" s="174" t="s">
        <v>71</v>
      </c>
      <c r="B45" s="34" t="str">
        <f t="shared" si="0"/>
        <v>-</v>
      </c>
      <c r="C45" s="35" t="s">
        <v>110</v>
      </c>
      <c r="D45" s="177"/>
    </row>
    <row r="46" spans="1:7">
      <c r="A46" s="174" t="s">
        <v>72</v>
      </c>
      <c r="B46" s="34">
        <f t="shared" si="0"/>
        <v>0</v>
      </c>
      <c r="C46" s="35" t="s">
        <v>110</v>
      </c>
      <c r="D46" s="177"/>
    </row>
    <row r="47" spans="1:7">
      <c r="A47" s="174" t="s">
        <v>73</v>
      </c>
      <c r="B47" s="34">
        <f t="shared" si="0"/>
        <v>0</v>
      </c>
      <c r="C47" s="35" t="s">
        <v>110</v>
      </c>
      <c r="D47" s="177"/>
    </row>
    <row r="48" spans="1:7">
      <c r="A48" s="174" t="s">
        <v>74</v>
      </c>
      <c r="B48" s="34">
        <f t="shared" si="0"/>
        <v>0</v>
      </c>
      <c r="C48" s="34">
        <f>B48*10</f>
        <v>0</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49</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8</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95472.628749983429</v>
      </c>
      <c r="C5" s="18">
        <f>IF(ISERROR('Eigen informatie GS &amp; warmtenet'!B58),0,'Eigen informatie GS &amp; warmtenet'!B58)</f>
        <v>0</v>
      </c>
      <c r="D5" s="31">
        <f>SUM(D6:D12)</f>
        <v>119522.51998353295</v>
      </c>
      <c r="E5" s="18">
        <f>SUM(E6:E12)</f>
        <v>1288.4559430953464</v>
      </c>
      <c r="F5" s="18">
        <f>SUM(F6:F12)</f>
        <v>18293.815926531981</v>
      </c>
      <c r="G5" s="19"/>
      <c r="H5" s="18"/>
      <c r="I5" s="18"/>
      <c r="J5" s="18">
        <f>SUM(J6:J12)</f>
        <v>0</v>
      </c>
      <c r="K5" s="18"/>
      <c r="L5" s="18"/>
      <c r="M5" s="18"/>
      <c r="N5" s="18">
        <f>SUM(N6:N12)</f>
        <v>3787.3004468531353</v>
      </c>
      <c r="O5" s="18">
        <f>B38*B39*B40</f>
        <v>0</v>
      </c>
      <c r="P5" s="18">
        <f>B46*B47*B48/1000-B46*B47*B48/1000/B49</f>
        <v>76.266666666666666</v>
      </c>
      <c r="R5" s="33"/>
    </row>
    <row r="6" spans="1:18">
      <c r="A6" s="33" t="s">
        <v>53</v>
      </c>
      <c r="B6" s="38">
        <f>B26</f>
        <v>28943.788454949801</v>
      </c>
      <c r="C6" s="34"/>
      <c r="D6" s="38">
        <f>IF(ISERROR(TER_kantoor_gas_kWh/1000),0,TER_kantoor_gas_kWh/1000)*0.902</f>
        <v>65348.66748819621</v>
      </c>
      <c r="E6" s="34">
        <f>$C$26*'E Balans VL '!I12/100/3.6*1000000</f>
        <v>47.502623061470409</v>
      </c>
      <c r="F6" s="34">
        <f>$C$26*('E Balans VL '!L12+'E Balans VL '!N12)/100/3.6*1000000</f>
        <v>3411.791648478194</v>
      </c>
      <c r="G6" s="35"/>
      <c r="H6" s="34"/>
      <c r="I6" s="34"/>
      <c r="J6" s="34">
        <f>$C$26*('E Balans VL '!D12+'E Balans VL '!E12)/100/3.6*1000000</f>
        <v>0</v>
      </c>
      <c r="K6" s="34"/>
      <c r="L6" s="34"/>
      <c r="M6" s="34"/>
      <c r="N6" s="34">
        <f>$C$26*'E Balans VL '!Y12/100/3.6*1000000</f>
        <v>5.8479553972635223</v>
      </c>
      <c r="O6" s="34"/>
      <c r="P6" s="34"/>
      <c r="R6" s="33"/>
    </row>
    <row r="7" spans="1:18">
      <c r="A7" s="33" t="s">
        <v>52</v>
      </c>
      <c r="B7" s="38">
        <f t="shared" ref="B7:B12" si="0">B27</f>
        <v>18367.039794636497</v>
      </c>
      <c r="C7" s="34"/>
      <c r="D7" s="38">
        <f>IF(ISERROR(TER_horeca_gas_kWh/1000),0,TER_horeca_gas_kWh/1000)*0.902</f>
        <v>20028.238317340358</v>
      </c>
      <c r="E7" s="34">
        <f>$C$27*'E Balans VL '!I9/100/3.6*1000000</f>
        <v>953.1164585975821</v>
      </c>
      <c r="F7" s="34">
        <f>$C$27*('E Balans VL '!L9+'E Balans VL '!N9)/100/3.6*1000000</f>
        <v>4191.3718083261774</v>
      </c>
      <c r="G7" s="35"/>
      <c r="H7" s="34"/>
      <c r="I7" s="34"/>
      <c r="J7" s="34">
        <f>$C$27*('E Balans VL '!D9+'E Balans VL '!E9)/100/3.6*1000000</f>
        <v>0</v>
      </c>
      <c r="K7" s="34"/>
      <c r="L7" s="34"/>
      <c r="M7" s="34"/>
      <c r="N7" s="34">
        <f>$C$27*'E Balans VL '!Y9/100/3.6*1000000</f>
        <v>1.9395509852504143</v>
      </c>
      <c r="O7" s="34"/>
      <c r="P7" s="34"/>
      <c r="R7" s="33"/>
    </row>
    <row r="8" spans="1:18">
      <c r="A8" s="6" t="s">
        <v>51</v>
      </c>
      <c r="B8" s="38">
        <f t="shared" si="0"/>
        <v>31717.377546394098</v>
      </c>
      <c r="C8" s="34"/>
      <c r="D8" s="38">
        <f>IF(ISERROR(TER_handel_gas_kWh/1000),0,TER_handel_gas_kWh/1000)*0.902</f>
        <v>15277.517574167929</v>
      </c>
      <c r="E8" s="34">
        <f>$C$28*'E Balans VL '!I13/100/3.6*1000000</f>
        <v>170.80197563500673</v>
      </c>
      <c r="F8" s="34">
        <f>$C$28*('E Balans VL '!L13+'E Balans VL '!N13)/100/3.6*1000000</f>
        <v>6468.1158372775071</v>
      </c>
      <c r="G8" s="35"/>
      <c r="H8" s="34"/>
      <c r="I8" s="34"/>
      <c r="J8" s="34">
        <f>$C$28*('E Balans VL '!D13+'E Balans VL '!E13)/100/3.6*1000000</f>
        <v>0</v>
      </c>
      <c r="K8" s="34"/>
      <c r="L8" s="34"/>
      <c r="M8" s="34"/>
      <c r="N8" s="34">
        <f>$C$28*'E Balans VL '!Y13/100/3.6*1000000</f>
        <v>157.71376907101757</v>
      </c>
      <c r="O8" s="34"/>
      <c r="P8" s="34"/>
      <c r="R8" s="33"/>
    </row>
    <row r="9" spans="1:18">
      <c r="A9" s="33" t="s">
        <v>50</v>
      </c>
      <c r="B9" s="38">
        <f t="shared" si="0"/>
        <v>2438.62049620781</v>
      </c>
      <c r="C9" s="34"/>
      <c r="D9" s="38">
        <f>IF(ISERROR(TER_gezond_gas_kWh/1000),0,TER_gezond_gas_kWh/1000)*0.902</f>
        <v>4368.1089600511159</v>
      </c>
      <c r="E9" s="34">
        <f>$C$29*'E Balans VL '!I10/100/3.6*1000000</f>
        <v>2.4167006436194511</v>
      </c>
      <c r="F9" s="34">
        <f>$C$29*('E Balans VL '!L10+'E Balans VL '!N10)/100/3.6*1000000</f>
        <v>846.1310216449582</v>
      </c>
      <c r="G9" s="35"/>
      <c r="H9" s="34"/>
      <c r="I9" s="34"/>
      <c r="J9" s="34">
        <f>$C$29*('E Balans VL '!D10+'E Balans VL '!E10)/100/3.6*1000000</f>
        <v>0</v>
      </c>
      <c r="K9" s="34"/>
      <c r="L9" s="34"/>
      <c r="M9" s="34"/>
      <c r="N9" s="34">
        <f>$C$29*'E Balans VL '!Y10/100/3.6*1000000</f>
        <v>21.013381559141941</v>
      </c>
      <c r="O9" s="34"/>
      <c r="P9" s="34"/>
      <c r="R9" s="33"/>
    </row>
    <row r="10" spans="1:18">
      <c r="A10" s="33" t="s">
        <v>49</v>
      </c>
      <c r="B10" s="38">
        <f t="shared" si="0"/>
        <v>5303.2011535419597</v>
      </c>
      <c r="C10" s="34"/>
      <c r="D10" s="38">
        <f>IF(ISERROR(TER_ander_gas_kWh/1000),0,TER_ander_gas_kWh/1000)*0.902</f>
        <v>4306.5681118598832</v>
      </c>
      <c r="E10" s="34">
        <f>$C$30*'E Balans VL '!I14/100/3.6*1000000</f>
        <v>43.385485608059405</v>
      </c>
      <c r="F10" s="34">
        <f>$C$30*('E Balans VL '!L14+'E Balans VL '!N14)/100/3.6*1000000</f>
        <v>1550.4401150347926</v>
      </c>
      <c r="G10" s="35"/>
      <c r="H10" s="34"/>
      <c r="I10" s="34"/>
      <c r="J10" s="34">
        <f>$C$30*('E Balans VL '!D14+'E Balans VL '!E14)/100/3.6*1000000</f>
        <v>0</v>
      </c>
      <c r="K10" s="34"/>
      <c r="L10" s="34"/>
      <c r="M10" s="34"/>
      <c r="N10" s="34">
        <f>$C$30*'E Balans VL '!Y14/100/3.6*1000000</f>
        <v>3059.2512268078654</v>
      </c>
      <c r="O10" s="34"/>
      <c r="P10" s="34"/>
      <c r="R10" s="33"/>
    </row>
    <row r="11" spans="1:18">
      <c r="A11" s="33" t="s">
        <v>54</v>
      </c>
      <c r="B11" s="38">
        <f t="shared" si="0"/>
        <v>493.61279545856098</v>
      </c>
      <c r="C11" s="34"/>
      <c r="D11" s="38">
        <f>IF(ISERROR(TER_onderwijs_gas_kWh/1000),0,TER_onderwijs_gas_kWh/1000)*0.902</f>
        <v>2573.604785005457</v>
      </c>
      <c r="E11" s="34">
        <f>$C$31*'E Balans VL '!I11/100/3.6*1000000</f>
        <v>0.30424209952901543</v>
      </c>
      <c r="F11" s="34">
        <f>$C$31*('E Balans VL '!L11+'E Balans VL '!N11)/100/3.6*1000000</f>
        <v>190.83870062027165</v>
      </c>
      <c r="G11" s="35"/>
      <c r="H11" s="34"/>
      <c r="I11" s="34"/>
      <c r="J11" s="34">
        <f>$C$31*('E Balans VL '!D11+'E Balans VL '!E11)/100/3.6*1000000</f>
        <v>0</v>
      </c>
      <c r="K11" s="34"/>
      <c r="L11" s="34"/>
      <c r="M11" s="34"/>
      <c r="N11" s="34">
        <f>$C$31*'E Balans VL '!Y11/100/3.6*1000000</f>
        <v>1.6056166446631654</v>
      </c>
      <c r="O11" s="34"/>
      <c r="P11" s="34"/>
      <c r="R11" s="33"/>
    </row>
    <row r="12" spans="1:18">
      <c r="A12" s="33" t="s">
        <v>259</v>
      </c>
      <c r="B12" s="38">
        <f t="shared" si="0"/>
        <v>8208.9885087947096</v>
      </c>
      <c r="C12" s="34"/>
      <c r="D12" s="38">
        <f>IF(ISERROR(TER_rest_gas_kWh/1000),0,TER_rest_gas_kWh/1000)*0.902</f>
        <v>7619.8147469119795</v>
      </c>
      <c r="E12" s="34">
        <f>$C$32*'E Balans VL '!I8/100/3.6*1000000</f>
        <v>70.928457450079463</v>
      </c>
      <c r="F12" s="34">
        <f>$C$32*('E Balans VL '!L8+'E Balans VL '!N8)/100/3.6*1000000</f>
        <v>1635.126795150079</v>
      </c>
      <c r="G12" s="35"/>
      <c r="H12" s="34"/>
      <c r="I12" s="34"/>
      <c r="J12" s="34">
        <f>$C$32*('E Balans VL '!D8+'E Balans VL '!E8)/100/3.6*1000000</f>
        <v>0</v>
      </c>
      <c r="K12" s="34"/>
      <c r="L12" s="34"/>
      <c r="M12" s="34"/>
      <c r="N12" s="34">
        <f>$C$32*'E Balans VL '!Y8/100/3.6*1000000</f>
        <v>539.92894638793302</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95472.628749983429</v>
      </c>
      <c r="C16" s="22">
        <f t="shared" ca="1" si="1"/>
        <v>0</v>
      </c>
      <c r="D16" s="22">
        <f t="shared" ca="1" si="1"/>
        <v>119522.51998353295</v>
      </c>
      <c r="E16" s="22">
        <f t="shared" si="1"/>
        <v>1288.4559430953464</v>
      </c>
      <c r="F16" s="22">
        <f t="shared" ca="1" si="1"/>
        <v>18293.815926531981</v>
      </c>
      <c r="G16" s="22">
        <f t="shared" si="1"/>
        <v>0</v>
      </c>
      <c r="H16" s="22">
        <f t="shared" si="1"/>
        <v>0</v>
      </c>
      <c r="I16" s="22">
        <f t="shared" si="1"/>
        <v>0</v>
      </c>
      <c r="J16" s="22">
        <f t="shared" si="1"/>
        <v>0</v>
      </c>
      <c r="K16" s="22">
        <f t="shared" si="1"/>
        <v>0</v>
      </c>
      <c r="L16" s="22">
        <f t="shared" ca="1" si="1"/>
        <v>0</v>
      </c>
      <c r="M16" s="22">
        <f t="shared" si="1"/>
        <v>0</v>
      </c>
      <c r="N16" s="22">
        <f t="shared" ca="1" si="1"/>
        <v>3787.3004468531353</v>
      </c>
      <c r="O16" s="22">
        <f>O5</f>
        <v>0</v>
      </c>
      <c r="P16" s="22">
        <f>P5</f>
        <v>76.266666666666666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0.21812455176496315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20824.924351912869</v>
      </c>
      <c r="C20" s="24">
        <f t="shared" ref="C20:P20" ca="1" si="2">C16*C18</f>
        <v>0</v>
      </c>
      <c r="D20" s="24">
        <f t="shared" ca="1" si="2"/>
        <v>24143.549036673659</v>
      </c>
      <c r="E20" s="24">
        <f t="shared" si="2"/>
        <v>292.47949908264366</v>
      </c>
      <c r="F20" s="24">
        <f t="shared" ca="1" si="2"/>
        <v>4884.4488523840391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28943.788454949801</v>
      </c>
      <c r="C26" s="40">
        <f>IF(ISERROR(B26*3.6/1000000/'E Balans VL '!Z12*100),0,B26*3.6/1000000/'E Balans VL '!Z12*100)</f>
        <v>0.61503474817845993</v>
      </c>
      <c r="D26" s="240" t="s">
        <v>703</v>
      </c>
      <c r="F26" s="6"/>
    </row>
    <row r="27" spans="1:18">
      <c r="A27" s="234" t="s">
        <v>52</v>
      </c>
      <c r="B27" s="34">
        <f>IF(ISERROR(TER_horeca_ele_kWh/1000),0,TER_horeca_ele_kWh/1000)</f>
        <v>18367.039794636497</v>
      </c>
      <c r="C27" s="40">
        <f>IF(ISERROR(B27*3.6/1000000/'E Balans VL '!Z9*100),0,B27*3.6/1000000/'E Balans VL '!Z9*100)</f>
        <v>1.4456280635406815</v>
      </c>
      <c r="D27" s="240" t="s">
        <v>703</v>
      </c>
      <c r="F27" s="6"/>
    </row>
    <row r="28" spans="1:18">
      <c r="A28" s="174" t="s">
        <v>51</v>
      </c>
      <c r="B28" s="34">
        <f>IF(ISERROR(TER_handel_ele_kWh/1000),0,TER_handel_ele_kWh/1000)</f>
        <v>31717.377546394098</v>
      </c>
      <c r="C28" s="40">
        <f>IF(ISERROR(B28*3.6/1000000/'E Balans VL '!Z13*100),0,B28*3.6/1000000/'E Balans VL '!Z13*100)</f>
        <v>0.88842071954481439</v>
      </c>
      <c r="D28" s="240" t="s">
        <v>703</v>
      </c>
      <c r="F28" s="6"/>
    </row>
    <row r="29" spans="1:18">
      <c r="A29" s="234" t="s">
        <v>50</v>
      </c>
      <c r="B29" s="34">
        <f>IF(ISERROR(TER_gezond_ele_kWh/1000),0,TER_gezond_ele_kWh/1000)</f>
        <v>2438.62049620781</v>
      </c>
      <c r="C29" s="40">
        <f>IF(ISERROR(B29*3.6/1000000/'E Balans VL '!Z10*100),0,B29*3.6/1000000/'E Balans VL '!Z10*100)</f>
        <v>0.3119733023789138</v>
      </c>
      <c r="D29" s="240" t="s">
        <v>703</v>
      </c>
      <c r="F29" s="6"/>
    </row>
    <row r="30" spans="1:18">
      <c r="A30" s="234" t="s">
        <v>49</v>
      </c>
      <c r="B30" s="34">
        <f>IF(ISERROR(TER_ander_ele_kWh/1000),0,TER_ander_ele_kWh/1000)</f>
        <v>5303.2011535419597</v>
      </c>
      <c r="C30" s="40">
        <f>IF(ISERROR(B30*3.6/1000000/'E Balans VL '!Z14*100),0,B30*3.6/1000000/'E Balans VL '!Z14*100)</f>
        <v>0.39663476073141141</v>
      </c>
      <c r="D30" s="240" t="s">
        <v>703</v>
      </c>
      <c r="F30" s="6"/>
    </row>
    <row r="31" spans="1:18">
      <c r="A31" s="234" t="s">
        <v>54</v>
      </c>
      <c r="B31" s="34">
        <f>IF(ISERROR(TER_onderwijs_ele_kWh/1000),0,TER_onderwijs_ele_kWh/1000)</f>
        <v>493.61279545856098</v>
      </c>
      <c r="C31" s="40">
        <f>IF(ISERROR(B31*3.6/1000000/'E Balans VL '!Z11*100),0,B31*3.6/1000000/'E Balans VL '!Z11*100)</f>
        <v>0.10422698115307794</v>
      </c>
      <c r="D31" s="240" t="s">
        <v>703</v>
      </c>
    </row>
    <row r="32" spans="1:18">
      <c r="A32" s="234" t="s">
        <v>259</v>
      </c>
      <c r="B32" s="34">
        <f>IF(ISERROR(TER_rest_ele_kWh/1000),0,TER_rest_ele_kWh/1000)</f>
        <v>8208.9885087947096</v>
      </c>
      <c r="C32" s="40">
        <f>IF(ISERROR(B32*3.6/1000000/'E Balans VL '!Z8*100),0,B32*3.6/1000000/'E Balans VL '!Z8*100)</f>
        <v>6.7625089661425677E-2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4</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10701.676449820572</v>
      </c>
      <c r="C5" s="18">
        <f>IF(ISERROR('Eigen informatie GS &amp; warmtenet'!B59),0,'Eigen informatie GS &amp; warmtenet'!B59)</f>
        <v>0</v>
      </c>
      <c r="D5" s="31">
        <f>SUM(D6:D15)</f>
        <v>9941.055576992132</v>
      </c>
      <c r="E5" s="18">
        <f>SUM(E6:E15)</f>
        <v>83.570073488734891</v>
      </c>
      <c r="F5" s="18">
        <f>SUM(F6:F15)</f>
        <v>4607.867985738073</v>
      </c>
      <c r="G5" s="19"/>
      <c r="H5" s="18"/>
      <c r="I5" s="18"/>
      <c r="J5" s="18">
        <f>SUM(J6:J15)</f>
        <v>23.030163468746014</v>
      </c>
      <c r="K5" s="18"/>
      <c r="L5" s="18"/>
      <c r="M5" s="18"/>
      <c r="N5" s="18">
        <f>SUM(N6:N15)</f>
        <v>509.9515807493317</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195.070938553573</v>
      </c>
      <c r="C8" s="34"/>
      <c r="D8" s="38">
        <f>IF( ISERROR(IND_metaal_Gas_kWH/1000),0,IND_metaal_Gas_kWH/1000)*0.902</f>
        <v>90.019853743893151</v>
      </c>
      <c r="E8" s="34">
        <f>C30*'E Balans VL '!I18/100/3.6*1000000</f>
        <v>1.7764758832142711</v>
      </c>
      <c r="F8" s="34">
        <f>C30*'E Balans VL '!L18/100/3.6*1000000+C30*'E Balans VL '!N18/100/3.6*1000000</f>
        <v>25.728375401065161</v>
      </c>
      <c r="G8" s="35"/>
      <c r="H8" s="34"/>
      <c r="I8" s="34"/>
      <c r="J8" s="41">
        <f>C30*'E Balans VL '!D18/100/3.6*1000000+C30*'E Balans VL '!E18/100/3.6*1000000</f>
        <v>3.1988801594747258</v>
      </c>
      <c r="K8" s="34"/>
      <c r="L8" s="34"/>
      <c r="M8" s="34"/>
      <c r="N8" s="34">
        <f>C30*'E Balans VL '!Y18/100/3.6*1000000</f>
        <v>0.67038132407707141</v>
      </c>
      <c r="O8" s="34"/>
      <c r="P8" s="34"/>
      <c r="R8" s="33"/>
    </row>
    <row r="9" spans="1:18">
      <c r="A9" s="6" t="s">
        <v>32</v>
      </c>
      <c r="B9" s="38">
        <f t="shared" si="0"/>
        <v>4518.3415218891696</v>
      </c>
      <c r="C9" s="34"/>
      <c r="D9" s="38">
        <f>IF( ISERROR(IND_andere_gas_kWh/1000),0,IND_andere_gas_kWh/1000)*0.902</f>
        <v>5762.1864093706945</v>
      </c>
      <c r="E9" s="34">
        <f>C31*'E Balans VL '!I19/100/3.6*1000000</f>
        <v>26.116689206811195</v>
      </c>
      <c r="F9" s="34">
        <f>C31*'E Balans VL '!L19/100/3.6*1000000+C31*'E Balans VL '!N19/100/3.6*1000000</f>
        <v>3594.5580946534797</v>
      </c>
      <c r="G9" s="35"/>
      <c r="H9" s="34"/>
      <c r="I9" s="34"/>
      <c r="J9" s="41">
        <f>C31*'E Balans VL '!D19/100/3.6*1000000+C31*'E Balans VL '!E19/100/3.6*1000000</f>
        <v>0.427384919654614</v>
      </c>
      <c r="K9" s="34"/>
      <c r="L9" s="34"/>
      <c r="M9" s="34"/>
      <c r="N9" s="34">
        <f>C31*'E Balans VL '!Y19/100/3.6*1000000</f>
        <v>342.33274773361796</v>
      </c>
      <c r="O9" s="34"/>
      <c r="P9" s="34"/>
      <c r="R9" s="33"/>
    </row>
    <row r="10" spans="1:18">
      <c r="A10" s="6" t="s">
        <v>40</v>
      </c>
      <c r="B10" s="38">
        <f t="shared" si="0"/>
        <v>1935.8785600884701</v>
      </c>
      <c r="C10" s="34"/>
      <c r="D10" s="38">
        <f>IF( ISERROR(IND_voed_gas_kWh/1000),0,IND_voed_gas_kWh/1000)*0.902</f>
        <v>2240.4417010756347</v>
      </c>
      <c r="E10" s="34">
        <f>C32*'E Balans VL '!I20/100/3.6*1000000</f>
        <v>19.034750796909755</v>
      </c>
      <c r="F10" s="34">
        <f>C32*'E Balans VL '!L20/100/3.6*1000000+C32*'E Balans VL '!N20/100/3.6*1000000</f>
        <v>215.00458243225472</v>
      </c>
      <c r="G10" s="35"/>
      <c r="H10" s="34"/>
      <c r="I10" s="34"/>
      <c r="J10" s="41">
        <f>C32*'E Balans VL '!D20/100/3.6*1000000+C32*'E Balans VL '!E20/100/3.6*1000000</f>
        <v>7.6301762412933549E-3</v>
      </c>
      <c r="K10" s="34"/>
      <c r="L10" s="34"/>
      <c r="M10" s="34"/>
      <c r="N10" s="34">
        <f>C32*'E Balans VL '!Y20/100/3.6*1000000</f>
        <v>28.665807808545296</v>
      </c>
      <c r="O10" s="34"/>
      <c r="P10" s="34"/>
      <c r="R10" s="33"/>
    </row>
    <row r="11" spans="1:18">
      <c r="A11" s="6" t="s">
        <v>39</v>
      </c>
      <c r="B11" s="38">
        <f t="shared" si="0"/>
        <v>145.39552734889202</v>
      </c>
      <c r="C11" s="34"/>
      <c r="D11" s="38">
        <f>IF( ISERROR(IND_textiel_gas_kWh/1000),0,IND_textiel_gas_kWh/1000)*0.902</f>
        <v>83.123610653274241</v>
      </c>
      <c r="E11" s="34">
        <f>C33*'E Balans VL '!I21/100/3.6*1000000</f>
        <v>0.28311885358512617</v>
      </c>
      <c r="F11" s="34">
        <f>C33*'E Balans VL '!L21/100/3.6*1000000+C33*'E Balans VL '!N21/100/3.6*1000000</f>
        <v>4.7956216079103093</v>
      </c>
      <c r="G11" s="35"/>
      <c r="H11" s="34"/>
      <c r="I11" s="34"/>
      <c r="J11" s="41">
        <f>C33*'E Balans VL '!D21/100/3.6*1000000+C33*'E Balans VL '!E21/100/3.6*1000000</f>
        <v>0</v>
      </c>
      <c r="K11" s="34"/>
      <c r="L11" s="34"/>
      <c r="M11" s="34"/>
      <c r="N11" s="34">
        <f>C33*'E Balans VL '!Y21/100/3.6*1000000</f>
        <v>1.5081340346226548</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49.9300923709066</v>
      </c>
      <c r="C13" s="34"/>
      <c r="D13" s="38">
        <f>IF( ISERROR(IND_papier_gas_kWh/1000),0,IND_papier_gas_kWh/1000)*0.902</f>
        <v>175.62275734757307</v>
      </c>
      <c r="E13" s="34">
        <f>C35*'E Balans VL '!I23/100/3.6*1000000</f>
        <v>1.7006913401065662</v>
      </c>
      <c r="F13" s="34">
        <f>C35*'E Balans VL '!L23/100/3.6*1000000+C35*'E Balans VL '!N23/100/3.6*1000000</f>
        <v>8.247279425630218</v>
      </c>
      <c r="G13" s="35"/>
      <c r="H13" s="34"/>
      <c r="I13" s="34"/>
      <c r="J13" s="41">
        <f>C35*'E Balans VL '!D23/100/3.6*1000000+C35*'E Balans VL '!E23/100/3.6*1000000</f>
        <v>0</v>
      </c>
      <c r="K13" s="34"/>
      <c r="L13" s="34"/>
      <c r="M13" s="34"/>
      <c r="N13" s="34">
        <f>C35*'E Balans VL '!Y23/100/3.6*1000000</f>
        <v>18.372934971217237</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3857.05980956956</v>
      </c>
      <c r="C15" s="34"/>
      <c r="D15" s="38">
        <f>IF( ISERROR(IND_rest_gas_kWh/1000),0,IND_rest_gas_kWh/1000)*0.902</f>
        <v>1589.6612448010615</v>
      </c>
      <c r="E15" s="34">
        <f>C37*'E Balans VL '!I15/100/3.6*1000000</f>
        <v>34.658347408107971</v>
      </c>
      <c r="F15" s="34">
        <f>C37*'E Balans VL '!L15/100/3.6*1000000+C37*'E Balans VL '!N15/100/3.6*1000000</f>
        <v>759.53403221773328</v>
      </c>
      <c r="G15" s="35"/>
      <c r="H15" s="34"/>
      <c r="I15" s="34"/>
      <c r="J15" s="41">
        <f>C37*'E Balans VL '!D15/100/3.6*1000000+C37*'E Balans VL '!E15/100/3.6*1000000</f>
        <v>19.396268213375382</v>
      </c>
      <c r="K15" s="34"/>
      <c r="L15" s="34"/>
      <c r="M15" s="34"/>
      <c r="N15" s="34">
        <f>C37*'E Balans VL '!Y15/100/3.6*1000000</f>
        <v>118.40157487725143</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10701.676449820572</v>
      </c>
      <c r="C18" s="22">
        <f>C5+C16</f>
        <v>0</v>
      </c>
      <c r="D18" s="22">
        <f>MAX((D5+D16),0)</f>
        <v>9941.055576992132</v>
      </c>
      <c r="E18" s="22">
        <f>MAX((E5+E16),0)</f>
        <v>83.570073488734891</v>
      </c>
      <c r="F18" s="22">
        <f>MAX((F5+F16),0)</f>
        <v>4607.867985738073</v>
      </c>
      <c r="G18" s="22"/>
      <c r="H18" s="22"/>
      <c r="I18" s="22"/>
      <c r="J18" s="22">
        <f>MAX((J5+J16),0)</f>
        <v>23.030163468746014</v>
      </c>
      <c r="K18" s="22"/>
      <c r="L18" s="22">
        <f>MAX((L5+L16),0)</f>
        <v>0</v>
      </c>
      <c r="M18" s="22"/>
      <c r="N18" s="22">
        <f>MAX((N5+N16),0)</f>
        <v>509.9515807493317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0.21812455176496315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2334.2983787507746</v>
      </c>
      <c r="C22" s="24">
        <f ca="1">C18*C20</f>
        <v>0</v>
      </c>
      <c r="D22" s="24">
        <f>D18*D20</f>
        <v>2008.0932265524109</v>
      </c>
      <c r="E22" s="24">
        <f>E18*E20</f>
        <v>18.970406681942823</v>
      </c>
      <c r="F22" s="24">
        <f>F18*F20</f>
        <v>1230.3007521920656</v>
      </c>
      <c r="G22" s="24"/>
      <c r="H22" s="24"/>
      <c r="I22" s="24"/>
      <c r="J22" s="24">
        <f>J18*J20</f>
        <v>8.1526778679360881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195.070938553573</v>
      </c>
      <c r="C30" s="40">
        <f>IF(ISERROR(B30*3.6/1000000/'E Balans VL '!Z18*100),0,B30*3.6/1000000/'E Balans VL '!Z18*100)</f>
        <v>1.0854393302331886E-2</v>
      </c>
      <c r="D30" s="240" t="s">
        <v>703</v>
      </c>
    </row>
    <row r="31" spans="1:18">
      <c r="A31" s="6" t="s">
        <v>32</v>
      </c>
      <c r="B31" s="38">
        <f>IF( ISERROR(IND_ander_ele_kWh/1000),0,IND_ander_ele_kWh/1000)</f>
        <v>4518.3415218891696</v>
      </c>
      <c r="C31" s="40">
        <f>IF(ISERROR(B31*3.6/1000000/'E Balans VL '!Z19*100),0,B31*3.6/1000000/'E Balans VL '!Z19*100)</f>
        <v>0.2100458308200151</v>
      </c>
      <c r="D31" s="240" t="s">
        <v>703</v>
      </c>
    </row>
    <row r="32" spans="1:18">
      <c r="A32" s="174" t="s">
        <v>40</v>
      </c>
      <c r="B32" s="38">
        <f>IF( ISERROR(IND_voed_ele_kWh/1000),0,IND_voed_ele_kWh/1000)</f>
        <v>1935.8785600884701</v>
      </c>
      <c r="C32" s="40">
        <f>IF(ISERROR(B32*3.6/1000000/'E Balans VL '!Z20*100),0,B32*3.6/1000000/'E Balans VL '!Z20*100)</f>
        <v>6.8429397426798988E-2</v>
      </c>
      <c r="D32" s="240" t="s">
        <v>703</v>
      </c>
    </row>
    <row r="33" spans="1:5">
      <c r="A33" s="174" t="s">
        <v>39</v>
      </c>
      <c r="B33" s="38">
        <f>IF( ISERROR(IND_textiel_ele_kWh/1000),0,IND_textiel_ele_kWh/1000)</f>
        <v>145.39552734889202</v>
      </c>
      <c r="C33" s="40">
        <f>IF(ISERROR(B33*3.6/1000000/'E Balans VL '!Z21*100),0,B33*3.6/1000000/'E Balans VL '!Z21*100)</f>
        <v>1.963787219098476E-2</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49.9300923709066</v>
      </c>
      <c r="C35" s="40">
        <f>IF(ISERROR(B35*3.6/1000000/'E Balans VL '!Z22*100),0,B35*3.6/1000000/'E Balans VL '!Z22*100)</f>
        <v>1.0034540585514739E-2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3857.05980956956</v>
      </c>
      <c r="C37" s="40">
        <f>IF(ISERROR(B37*3.6/1000000/'E Balans VL '!Z15*100),0,B37*3.6/1000000/'E Balans VL '!Z15*100)</f>
        <v>2.912649930117232E-2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1624.8035638086844</v>
      </c>
      <c r="C5" s="18">
        <f>'Eigen informatie GS &amp; warmtenet'!B60</f>
        <v>0</v>
      </c>
      <c r="D5" s="31">
        <f>IF(ISERROR(SUM(LB_lb_gas_kWh,LB_rest_gas_kWh)/1000),0,SUM(LB_lb_gas_kWh,LB_rest_gas_kWh)/1000)*0.902</f>
        <v>504.42864734071475</v>
      </c>
      <c r="E5" s="18">
        <f>B17*'E Balans VL '!I25/3.6*1000000/100</f>
        <v>15.306738225176785</v>
      </c>
      <c r="F5" s="18">
        <f>B17*('E Balans VL '!L25/3.6*1000000+'E Balans VL '!N25/3.6*1000000)/100</f>
        <v>5302.2732536540716</v>
      </c>
      <c r="G5" s="19"/>
      <c r="H5" s="18"/>
      <c r="I5" s="18"/>
      <c r="J5" s="18">
        <f>('E Balans VL '!D25+'E Balans VL '!E25)/3.6*1000000*landbouw!B17/100</f>
        <v>200.99610388615054</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1624.8035638086844</v>
      </c>
      <c r="C8" s="22">
        <f>C5+C6</f>
        <v>0</v>
      </c>
      <c r="D8" s="22">
        <f>MAX((D5+D6),0)</f>
        <v>504.42864734071475</v>
      </c>
      <c r="E8" s="22">
        <f>MAX((E5+E6),0)</f>
        <v>15.306738225176785</v>
      </c>
      <c r="F8" s="22">
        <f>MAX((F5+F6),0)</f>
        <v>5302.2732536540716</v>
      </c>
      <c r="G8" s="22"/>
      <c r="H8" s="22"/>
      <c r="I8" s="22"/>
      <c r="J8" s="22">
        <f>MAX((J5+J6),0)</f>
        <v>200.99610388615054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0.21812455176496315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354.40954906188398</v>
      </c>
      <c r="C12" s="24">
        <f ca="1">C8*C10</f>
        <v>0</v>
      </c>
      <c r="D12" s="24">
        <f>D8*D10</f>
        <v>101.89458676282439</v>
      </c>
      <c r="E12" s="24">
        <f>E8*E10</f>
        <v>3.4746295771151301</v>
      </c>
      <c r="F12" s="24">
        <f>F8*F10</f>
        <v>1415.7069587256372</v>
      </c>
      <c r="G12" s="24"/>
      <c r="H12" s="24"/>
      <c r="I12" s="24"/>
      <c r="J12" s="24">
        <f>J8*J10</f>
        <v>71.152620775697287</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0.2199724390087216</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350.3078683172198</v>
      </c>
      <c r="C26" s="250">
        <f>B26*'GWP N2O_CH4'!B5</f>
        <v>7356.4652346616158</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72.581223733402751</v>
      </c>
      <c r="C27" s="250">
        <f>B27*'GWP N2O_CH4'!B5</f>
        <v>1524.2056984014578</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5.2688850449599505</v>
      </c>
      <c r="C28" s="250">
        <f>B28*'GWP N2O_CH4'!B4</f>
        <v>1633.3543639375846</v>
      </c>
      <c r="D28" s="51"/>
    </row>
    <row r="29" spans="1:4">
      <c r="A29" s="42" t="s">
        <v>276</v>
      </c>
      <c r="B29" s="250">
        <f>B34*'ha_N2O bodem landbouw'!B4</f>
        <v>18.724663679806884</v>
      </c>
      <c r="C29" s="250">
        <f>B29*'GWP N2O_CH4'!B4</f>
        <v>5804.645740740134</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5.0550697361387608E-3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1.2553463212548789E-5</v>
      </c>
      <c r="C5" s="443" t="s">
        <v>210</v>
      </c>
      <c r="D5" s="428">
        <f>SUM(D6:D11)</f>
        <v>2.9073503677956816E-5</v>
      </c>
      <c r="E5" s="428">
        <f>SUM(E6:E11)</f>
        <v>1.8430620045774887E-3</v>
      </c>
      <c r="F5" s="441" t="s">
        <v>210</v>
      </c>
      <c r="G5" s="428">
        <f>SUM(G6:G11)</f>
        <v>0.42608345822619265</v>
      </c>
      <c r="H5" s="428">
        <f>SUM(H6:H11)</f>
        <v>7.4051498620869044E-2</v>
      </c>
      <c r="I5" s="443" t="s">
        <v>210</v>
      </c>
      <c r="J5" s="443" t="s">
        <v>210</v>
      </c>
      <c r="K5" s="443" t="s">
        <v>210</v>
      </c>
      <c r="L5" s="443" t="s">
        <v>210</v>
      </c>
      <c r="M5" s="428">
        <f>SUM(M6:M11)</f>
        <v>2.2350826605081201E-2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9.9488524842029395E-6</v>
      </c>
      <c r="C6" s="429"/>
      <c r="D6" s="429">
        <f>vkm_GW_PW*SUMIFS(TableVerdeelsleutelVkm[CNG],TableVerdeelsleutelVkm[Voertuigtype],"Lichte voertuigen")*SUMIFS(TableECFTransport[EnergieConsumptieFactor (PJ per km)],TableECFTransport[Index],CONCATENATE($A6,"_CNG_CNG"))</f>
        <v>2.0129142763838959E-5</v>
      </c>
      <c r="E6" s="431">
        <f>vkm_GW_PW*SUMIFS(TableVerdeelsleutelVkm[LPG],TableVerdeelsleutelVkm[Voertuigtype],"Lichte voertuigen")*SUMIFS(TableECFTransport[EnergieConsumptieFactor (PJ per km)],TableECFTransport[Index],CONCATENATE($A6,"_LPG_LPG"))</f>
        <v>1.2995244319952883E-3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0.20750912671854232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5.1998083067882006E-2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1.1615064806114718E-2</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0.12027529401318826</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3.2897316361687819E-6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5.3518610779570404E-3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2.6046107283458499E-6</v>
      </c>
      <c r="C8" s="429"/>
      <c r="D8" s="431">
        <f>vkm_NGW_PW*SUMIFS(TableVerdeelsleutelVkm[CNG],TableVerdeelsleutelVkm[Voertuigtype],"Lichte voertuigen")*SUMIFS(TableECFTransport[EnergieConsumptieFactor (PJ per km)],TableECFTransport[Index],CONCATENATE($A8,"_CNG_CNG"))</f>
        <v>8.9443609141178576E-6</v>
      </c>
      <c r="E8" s="431">
        <f>vkm_NGW_PW*SUMIFS(TableVerdeelsleutelVkm[LPG],TableVerdeelsleutelVkm[Voertuigtype],"Lichte voertuigen")*SUMIFS(TableECFTransport[EnergieConsumptieFactor (PJ per km)],TableECFTransport[Index],CONCATENATE($A8,"_LPG_LPG"))</f>
        <v>5.4353757258220037E-4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8.2624650788514498E-2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2.2049627950619904E-2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4.6864381058244284E-3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1.5674386705947566E-2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4.9787073096374355E-7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6.9746261518501332E-4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3.4870731145968858</v>
      </c>
      <c r="C14" s="22"/>
      <c r="D14" s="22">
        <f t="shared" ref="D14:M14" si="0">((D5)*10^9/3600)+D12</f>
        <v>8.0759732438768932</v>
      </c>
      <c r="E14" s="22">
        <f t="shared" si="0"/>
        <v>511.96166793819128</v>
      </c>
      <c r="F14" s="22"/>
      <c r="G14" s="22">
        <f t="shared" si="0"/>
        <v>118356.51617394241</v>
      </c>
      <c r="H14" s="22">
        <f t="shared" si="0"/>
        <v>20569.860728019179</v>
      </c>
      <c r="I14" s="22"/>
      <c r="J14" s="22"/>
      <c r="K14" s="22"/>
      <c r="L14" s="22"/>
      <c r="M14" s="22">
        <f t="shared" si="0"/>
        <v>6208.5629458558888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0.21812455176496315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0.76061626009309968</v>
      </c>
      <c r="C18" s="24"/>
      <c r="D18" s="24">
        <f t="shared" ref="D18:M18" si="1">D14*D16</f>
        <v>1.6313465952631325</v>
      </c>
      <c r="E18" s="24">
        <f t="shared" si="1"/>
        <v>116.21529862196942</v>
      </c>
      <c r="F18" s="24"/>
      <c r="G18" s="24">
        <f t="shared" si="1"/>
        <v>31601.189818442625</v>
      </c>
      <c r="H18" s="24">
        <f t="shared" si="1"/>
        <v>5121.8953212767756</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2.2408863805779859E-3</v>
      </c>
      <c r="C50" s="321">
        <f t="shared" ref="C50:P50" si="2">SUM(C51:C52)</f>
        <v>0</v>
      </c>
      <c r="D50" s="321">
        <f t="shared" si="2"/>
        <v>0</v>
      </c>
      <c r="E50" s="321">
        <f t="shared" si="2"/>
        <v>0</v>
      </c>
      <c r="F50" s="321">
        <f t="shared" si="2"/>
        <v>0</v>
      </c>
      <c r="G50" s="321">
        <f t="shared" si="2"/>
        <v>6.0945958005299535E-3</v>
      </c>
      <c r="H50" s="321">
        <f t="shared" si="2"/>
        <v>0</v>
      </c>
      <c r="I50" s="321">
        <f t="shared" si="2"/>
        <v>0</v>
      </c>
      <c r="J50" s="321">
        <f t="shared" si="2"/>
        <v>0</v>
      </c>
      <c r="K50" s="321">
        <f t="shared" si="2"/>
        <v>0</v>
      </c>
      <c r="L50" s="321">
        <f t="shared" si="2"/>
        <v>0</v>
      </c>
      <c r="M50" s="321">
        <f t="shared" si="2"/>
        <v>2.6740750912499558E-4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6.0945958005299535E-3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2.6740750912499558E-4</v>
      </c>
      <c r="N51" s="323"/>
      <c r="O51" s="323"/>
      <c r="P51" s="326"/>
    </row>
    <row r="52" spans="1:18">
      <c r="A52" s="4" t="s">
        <v>329</v>
      </c>
      <c r="B52" s="327">
        <f>vkm_tram*SUMIFS(TableECFTransport[EnergieConsumptieFactor (PJ per km)],TableECFTransport[Index],"Tram_gemiddeld_Electric_Electric")</f>
        <v>2.2408863805779859E-3</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622.46843904944046</v>
      </c>
      <c r="C54" s="22">
        <f t="shared" ref="C54:P54" si="3">(C50)*10^9/3600</f>
        <v>0</v>
      </c>
      <c r="D54" s="22">
        <f t="shared" si="3"/>
        <v>0</v>
      </c>
      <c r="E54" s="22">
        <f t="shared" si="3"/>
        <v>0</v>
      </c>
      <c r="F54" s="22">
        <f t="shared" si="3"/>
        <v>0</v>
      </c>
      <c r="G54" s="22">
        <f t="shared" si="3"/>
        <v>1692.9432779249869</v>
      </c>
      <c r="H54" s="22">
        <f t="shared" si="3"/>
        <v>0</v>
      </c>
      <c r="I54" s="22">
        <f t="shared" si="3"/>
        <v>0</v>
      </c>
      <c r="J54" s="22">
        <f t="shared" si="3"/>
        <v>0</v>
      </c>
      <c r="K54" s="22">
        <f t="shared" si="3"/>
        <v>0</v>
      </c>
      <c r="L54" s="22">
        <f t="shared" si="3"/>
        <v>0</v>
      </c>
      <c r="M54" s="22">
        <f t="shared" si="3"/>
        <v>74.279863645832094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0.21812455176496315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135.77564925549549</v>
      </c>
      <c r="C58" s="24">
        <f t="shared" ref="C58:P58" ca="1" si="4">C54*C56</f>
        <v>0</v>
      </c>
      <c r="D58" s="24">
        <f t="shared" si="4"/>
        <v>0</v>
      </c>
      <c r="E58" s="24">
        <f t="shared" si="4"/>
        <v>0</v>
      </c>
      <c r="F58" s="24">
        <f t="shared" si="4"/>
        <v>0</v>
      </c>
      <c r="G58" s="24">
        <f t="shared" si="4"/>
        <v>452.01585520597155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98621.135749983427</v>
      </c>
      <c r="D10" s="684">
        <f ca="1">tertiair!C16</f>
        <v>0</v>
      </c>
      <c r="E10" s="684">
        <f ca="1">tertiair!D16</f>
        <v>119522.51998353295</v>
      </c>
      <c r="F10" s="684">
        <f>tertiair!E16</f>
        <v>1288.4559430953464</v>
      </c>
      <c r="G10" s="684">
        <f ca="1">tertiair!F16</f>
        <v>18293.815926531981</v>
      </c>
      <c r="H10" s="684">
        <f>tertiair!G16</f>
        <v>0</v>
      </c>
      <c r="I10" s="684">
        <f>tertiair!H16</f>
        <v>0</v>
      </c>
      <c r="J10" s="684">
        <f>tertiair!I16</f>
        <v>0</v>
      </c>
      <c r="K10" s="684">
        <f>tertiair!J16</f>
        <v>0</v>
      </c>
      <c r="L10" s="684">
        <f>tertiair!K16</f>
        <v>0</v>
      </c>
      <c r="M10" s="684">
        <f ca="1">tertiair!L16</f>
        <v>0</v>
      </c>
      <c r="N10" s="684">
        <f>tertiair!M16</f>
        <v>0</v>
      </c>
      <c r="O10" s="684">
        <f ca="1">tertiair!N16</f>
        <v>3787.3004468531353</v>
      </c>
      <c r="P10" s="684">
        <f>tertiair!O16</f>
        <v>0</v>
      </c>
      <c r="Q10" s="685">
        <f>tertiair!P16</f>
        <v>76.266666666666666</v>
      </c>
      <c r="R10" s="687">
        <f ca="1">SUM(C10:Q10)</f>
        <v>241589.4947166635</v>
      </c>
      <c r="S10" s="68"/>
    </row>
    <row r="11" spans="1:19" s="453" customFormat="1">
      <c r="A11" s="799" t="s">
        <v>224</v>
      </c>
      <c r="B11" s="804"/>
      <c r="C11" s="684">
        <f>huishoudens!B8</f>
        <v>83529.91717629628</v>
      </c>
      <c r="D11" s="684">
        <f>huishoudens!C8</f>
        <v>0</v>
      </c>
      <c r="E11" s="684">
        <f>huishoudens!D8</f>
        <v>257821.1593496963</v>
      </c>
      <c r="F11" s="684">
        <f>huishoudens!E8</f>
        <v>0</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0</v>
      </c>
      <c r="P11" s="684">
        <f>huishoudens!O8</f>
        <v>76.603333333333339</v>
      </c>
      <c r="Q11" s="685">
        <f>huishoudens!P8</f>
        <v>152.53333333333333</v>
      </c>
      <c r="R11" s="687">
        <f>SUM(C11:Q11)</f>
        <v>341580.21319265926</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10701.676449820572</v>
      </c>
      <c r="D13" s="684">
        <f>industrie!C18</f>
        <v>0</v>
      </c>
      <c r="E13" s="684">
        <f>industrie!D18</f>
        <v>9941.055576992132</v>
      </c>
      <c r="F13" s="684">
        <f>industrie!E18</f>
        <v>83.570073488734891</v>
      </c>
      <c r="G13" s="684">
        <f>industrie!F18</f>
        <v>4607.867985738073</v>
      </c>
      <c r="H13" s="684">
        <f>industrie!G18</f>
        <v>0</v>
      </c>
      <c r="I13" s="684">
        <f>industrie!H18</f>
        <v>0</v>
      </c>
      <c r="J13" s="684">
        <f>industrie!I18</f>
        <v>0</v>
      </c>
      <c r="K13" s="684">
        <f>industrie!J18</f>
        <v>23.030163468746014</v>
      </c>
      <c r="L13" s="684">
        <f>industrie!K18</f>
        <v>0</v>
      </c>
      <c r="M13" s="684">
        <f>industrie!L18</f>
        <v>0</v>
      </c>
      <c r="N13" s="684">
        <f>industrie!M18</f>
        <v>0</v>
      </c>
      <c r="O13" s="684">
        <f>industrie!N18</f>
        <v>509.9515807493317</v>
      </c>
      <c r="P13" s="684">
        <f>industrie!O18</f>
        <v>0</v>
      </c>
      <c r="Q13" s="685">
        <f>industrie!P18</f>
        <v>0</v>
      </c>
      <c r="R13" s="687">
        <f>SUM(C13:Q13)</f>
        <v>25867.151830257593</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192852.72937610029</v>
      </c>
      <c r="D16" s="717">
        <f t="shared" ref="D16:R16" ca="1" si="0">SUM(D9:D15)</f>
        <v>0</v>
      </c>
      <c r="E16" s="717">
        <f t="shared" ca="1" si="0"/>
        <v>387284.73491022136</v>
      </c>
      <c r="F16" s="717">
        <f t="shared" si="0"/>
        <v>1372.0260165840812</v>
      </c>
      <c r="G16" s="717">
        <f t="shared" ca="1" si="0"/>
        <v>22901.683912270055</v>
      </c>
      <c r="H16" s="717">
        <f t="shared" si="0"/>
        <v>0</v>
      </c>
      <c r="I16" s="717">
        <f t="shared" si="0"/>
        <v>0</v>
      </c>
      <c r="J16" s="717">
        <f t="shared" si="0"/>
        <v>0</v>
      </c>
      <c r="K16" s="717">
        <f t="shared" si="0"/>
        <v>23.030163468746014</v>
      </c>
      <c r="L16" s="717">
        <f t="shared" si="0"/>
        <v>0</v>
      </c>
      <c r="M16" s="717">
        <f t="shared" ca="1" si="0"/>
        <v>0</v>
      </c>
      <c r="N16" s="717">
        <f t="shared" si="0"/>
        <v>0</v>
      </c>
      <c r="O16" s="717">
        <f t="shared" ca="1" si="0"/>
        <v>4297.252027602467</v>
      </c>
      <c r="P16" s="717">
        <f t="shared" si="0"/>
        <v>76.603333333333339</v>
      </c>
      <c r="Q16" s="717">
        <f t="shared" si="0"/>
        <v>228.8</v>
      </c>
      <c r="R16" s="717">
        <f t="shared" ca="1" si="0"/>
        <v>609036.85973958042</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622.46843904944046</v>
      </c>
      <c r="D19" s="684">
        <f>transport!C54</f>
        <v>0</v>
      </c>
      <c r="E19" s="684">
        <f>transport!D54</f>
        <v>0</v>
      </c>
      <c r="F19" s="684">
        <f>transport!E54</f>
        <v>0</v>
      </c>
      <c r="G19" s="684">
        <f>transport!F54</f>
        <v>0</v>
      </c>
      <c r="H19" s="684">
        <f>transport!G54</f>
        <v>1692.9432779249869</v>
      </c>
      <c r="I19" s="684">
        <f>transport!H54</f>
        <v>0</v>
      </c>
      <c r="J19" s="684">
        <f>transport!I54</f>
        <v>0</v>
      </c>
      <c r="K19" s="684">
        <f>transport!J54</f>
        <v>0</v>
      </c>
      <c r="L19" s="684">
        <f>transport!K54</f>
        <v>0</v>
      </c>
      <c r="M19" s="684">
        <f>transport!L54</f>
        <v>0</v>
      </c>
      <c r="N19" s="684">
        <f>transport!M54</f>
        <v>74.279863645832094</v>
      </c>
      <c r="O19" s="684">
        <f>transport!N54</f>
        <v>0</v>
      </c>
      <c r="P19" s="684">
        <f>transport!O54</f>
        <v>0</v>
      </c>
      <c r="Q19" s="685">
        <f>transport!P54</f>
        <v>0</v>
      </c>
      <c r="R19" s="687">
        <f>SUM(C19:Q19)</f>
        <v>2389.6915806202592</v>
      </c>
      <c r="S19" s="68"/>
    </row>
    <row r="20" spans="1:19" s="453" customFormat="1">
      <c r="A20" s="799" t="s">
        <v>306</v>
      </c>
      <c r="B20" s="804"/>
      <c r="C20" s="684">
        <f>transport!B14</f>
        <v>3.4870731145968858</v>
      </c>
      <c r="D20" s="684">
        <f>transport!C14</f>
        <v>0</v>
      </c>
      <c r="E20" s="684">
        <f>transport!D14</f>
        <v>8.0759732438768932</v>
      </c>
      <c r="F20" s="684">
        <f>transport!E14</f>
        <v>511.96166793819128</v>
      </c>
      <c r="G20" s="684">
        <f>transport!F14</f>
        <v>0</v>
      </c>
      <c r="H20" s="684">
        <f>transport!G14</f>
        <v>118356.51617394241</v>
      </c>
      <c r="I20" s="684">
        <f>transport!H14</f>
        <v>20569.860728019179</v>
      </c>
      <c r="J20" s="684">
        <f>transport!I14</f>
        <v>0</v>
      </c>
      <c r="K20" s="684">
        <f>transport!J14</f>
        <v>0</v>
      </c>
      <c r="L20" s="684">
        <f>transport!K14</f>
        <v>0</v>
      </c>
      <c r="M20" s="684">
        <f>transport!L14</f>
        <v>0</v>
      </c>
      <c r="N20" s="684">
        <f>transport!M14</f>
        <v>6208.5629458558888</v>
      </c>
      <c r="O20" s="684">
        <f>transport!N14</f>
        <v>0</v>
      </c>
      <c r="P20" s="684">
        <f>transport!O14</f>
        <v>0</v>
      </c>
      <c r="Q20" s="685">
        <f>transport!P14</f>
        <v>0</v>
      </c>
      <c r="R20" s="687">
        <f>SUM(C20:Q20)</f>
        <v>145658.46456211415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625.95551216403737</v>
      </c>
      <c r="D22" s="802">
        <f t="shared" ref="D22:R22" si="1">SUM(D18:D21)</f>
        <v>0</v>
      </c>
      <c r="E22" s="802">
        <f t="shared" si="1"/>
        <v>8.0759732438768932</v>
      </c>
      <c r="F22" s="802">
        <f t="shared" si="1"/>
        <v>511.96166793819128</v>
      </c>
      <c r="G22" s="802">
        <f t="shared" si="1"/>
        <v>0</v>
      </c>
      <c r="H22" s="802">
        <f t="shared" si="1"/>
        <v>120049.4594518674</v>
      </c>
      <c r="I22" s="802">
        <f t="shared" si="1"/>
        <v>20569.860728019179</v>
      </c>
      <c r="J22" s="802">
        <f t="shared" si="1"/>
        <v>0</v>
      </c>
      <c r="K22" s="802">
        <f t="shared" si="1"/>
        <v>0</v>
      </c>
      <c r="L22" s="802">
        <f t="shared" si="1"/>
        <v>0</v>
      </c>
      <c r="M22" s="802">
        <f t="shared" si="1"/>
        <v>0</v>
      </c>
      <c r="N22" s="802">
        <f t="shared" si="1"/>
        <v>6282.8428095017207</v>
      </c>
      <c r="O22" s="802">
        <f t="shared" si="1"/>
        <v>0</v>
      </c>
      <c r="P22" s="802">
        <f t="shared" si="1"/>
        <v>0</v>
      </c>
      <c r="Q22" s="802">
        <f t="shared" si="1"/>
        <v>0</v>
      </c>
      <c r="R22" s="802">
        <f t="shared" si="1"/>
        <v>148048.1561427344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1624.8035638086844</v>
      </c>
      <c r="D24" s="684">
        <f>+landbouw!C8</f>
        <v>0</v>
      </c>
      <c r="E24" s="684">
        <f>+landbouw!D8</f>
        <v>504.42864734071475</v>
      </c>
      <c r="F24" s="684">
        <f>+landbouw!E8</f>
        <v>15.306738225176785</v>
      </c>
      <c r="G24" s="684">
        <f>+landbouw!F8</f>
        <v>5302.2732536540716</v>
      </c>
      <c r="H24" s="684">
        <f>+landbouw!G8</f>
        <v>0</v>
      </c>
      <c r="I24" s="684">
        <f>+landbouw!H8</f>
        <v>0</v>
      </c>
      <c r="J24" s="684">
        <f>+landbouw!I8</f>
        <v>0</v>
      </c>
      <c r="K24" s="684">
        <f>+landbouw!J8</f>
        <v>200.99610388615054</v>
      </c>
      <c r="L24" s="684">
        <f>+landbouw!K8</f>
        <v>0</v>
      </c>
      <c r="M24" s="684">
        <f>+landbouw!L8</f>
        <v>0</v>
      </c>
      <c r="N24" s="684">
        <f>+landbouw!M8</f>
        <v>0</v>
      </c>
      <c r="O24" s="684">
        <f>+landbouw!N8</f>
        <v>0</v>
      </c>
      <c r="P24" s="684">
        <f>+landbouw!O8</f>
        <v>0</v>
      </c>
      <c r="Q24" s="685">
        <f>+landbouw!P8</f>
        <v>0</v>
      </c>
      <c r="R24" s="687">
        <f>SUM(C24:Q24)</f>
        <v>7647.808306914797</v>
      </c>
      <c r="S24" s="68"/>
    </row>
    <row r="25" spans="1:19" s="453" customFormat="1" ht="15" thickBot="1">
      <c r="A25" s="821" t="s">
        <v>896</v>
      </c>
      <c r="B25" s="990"/>
      <c r="C25" s="991">
        <f>IF(Onbekend_ele_kWh="---",0,Onbekend_ele_kWh)/1000+IF(REST_rest_ele_kWh="---",0,REST_rest_ele_kWh)/1000</f>
        <v>9961.1402643451511</v>
      </c>
      <c r="D25" s="991"/>
      <c r="E25" s="991">
        <f>IF(onbekend_gas_kWh="---",0,onbekend_gas_kWh)/1000+IF(REST_rest_gas_kWh="---",0,REST_rest_gas_kWh)/1000</f>
        <v>17003.396990544999</v>
      </c>
      <c r="F25" s="991"/>
      <c r="G25" s="991"/>
      <c r="H25" s="991"/>
      <c r="I25" s="991"/>
      <c r="J25" s="991"/>
      <c r="K25" s="991"/>
      <c r="L25" s="991"/>
      <c r="M25" s="991"/>
      <c r="N25" s="991"/>
      <c r="O25" s="991"/>
      <c r="P25" s="991"/>
      <c r="Q25" s="992"/>
      <c r="R25" s="687">
        <f>SUM(C25:Q25)</f>
        <v>26964.537254890151</v>
      </c>
      <c r="S25" s="68"/>
    </row>
    <row r="26" spans="1:19" s="453" customFormat="1" ht="15.75" thickBot="1">
      <c r="A26" s="690" t="s">
        <v>897</v>
      </c>
      <c r="B26" s="807"/>
      <c r="C26" s="802">
        <f>SUM(C24:C25)</f>
        <v>11585.943828153835</v>
      </c>
      <c r="D26" s="802">
        <f t="shared" ref="D26:R26" si="2">SUM(D24:D25)</f>
        <v>0</v>
      </c>
      <c r="E26" s="802">
        <f t="shared" si="2"/>
        <v>17507.825637885715</v>
      </c>
      <c r="F26" s="802">
        <f t="shared" si="2"/>
        <v>15.306738225176785</v>
      </c>
      <c r="G26" s="802">
        <f t="shared" si="2"/>
        <v>5302.2732536540716</v>
      </c>
      <c r="H26" s="802">
        <f t="shared" si="2"/>
        <v>0</v>
      </c>
      <c r="I26" s="802">
        <f t="shared" si="2"/>
        <v>0</v>
      </c>
      <c r="J26" s="802">
        <f t="shared" si="2"/>
        <v>0</v>
      </c>
      <c r="K26" s="802">
        <f t="shared" si="2"/>
        <v>200.99610388615054</v>
      </c>
      <c r="L26" s="802">
        <f t="shared" si="2"/>
        <v>0</v>
      </c>
      <c r="M26" s="802">
        <f t="shared" si="2"/>
        <v>0</v>
      </c>
      <c r="N26" s="802">
        <f t="shared" si="2"/>
        <v>0</v>
      </c>
      <c r="O26" s="802">
        <f t="shared" si="2"/>
        <v>0</v>
      </c>
      <c r="P26" s="802">
        <f t="shared" si="2"/>
        <v>0</v>
      </c>
      <c r="Q26" s="802">
        <f t="shared" si="2"/>
        <v>0</v>
      </c>
      <c r="R26" s="802">
        <f t="shared" si="2"/>
        <v>34612.345561804948</v>
      </c>
      <c r="S26" s="68"/>
    </row>
    <row r="27" spans="1:19" s="453" customFormat="1" ht="17.25" thickTop="1" thickBot="1">
      <c r="A27" s="691" t="s">
        <v>115</v>
      </c>
      <c r="B27" s="794"/>
      <c r="C27" s="692">
        <f ca="1">C22+C16+C26</f>
        <v>205064.62871641817</v>
      </c>
      <c r="D27" s="692">
        <f t="shared" ref="D27:R27" ca="1" si="3">D22+D16+D26</f>
        <v>0</v>
      </c>
      <c r="E27" s="692">
        <f t="shared" ca="1" si="3"/>
        <v>404800.63652135094</v>
      </c>
      <c r="F27" s="692">
        <f t="shared" si="3"/>
        <v>1899.2944227474493</v>
      </c>
      <c r="G27" s="692">
        <f t="shared" ca="1" si="3"/>
        <v>28203.957165924126</v>
      </c>
      <c r="H27" s="692">
        <f t="shared" si="3"/>
        <v>120049.4594518674</v>
      </c>
      <c r="I27" s="692">
        <f t="shared" si="3"/>
        <v>20569.860728019179</v>
      </c>
      <c r="J27" s="692">
        <f t="shared" si="3"/>
        <v>0</v>
      </c>
      <c r="K27" s="692">
        <f t="shared" si="3"/>
        <v>224.02626735489656</v>
      </c>
      <c r="L27" s="692">
        <f t="shared" si="3"/>
        <v>0</v>
      </c>
      <c r="M27" s="692">
        <f t="shared" ca="1" si="3"/>
        <v>0</v>
      </c>
      <c r="N27" s="692">
        <f t="shared" si="3"/>
        <v>6282.8428095017207</v>
      </c>
      <c r="O27" s="692">
        <f t="shared" ca="1" si="3"/>
        <v>4297.252027602467</v>
      </c>
      <c r="P27" s="692">
        <f t="shared" si="3"/>
        <v>76.603333333333339</v>
      </c>
      <c r="Q27" s="692">
        <f t="shared" si="3"/>
        <v>228.8</v>
      </c>
      <c r="R27" s="692">
        <f t="shared" ca="1" si="3"/>
        <v>791697.36144411983</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21511.691030016718</v>
      </c>
      <c r="D40" s="684">
        <f ca="1">tertiair!C20</f>
        <v>0</v>
      </c>
      <c r="E40" s="684">
        <f ca="1">tertiair!D20</f>
        <v>24143.549036673659</v>
      </c>
      <c r="F40" s="684">
        <f>tertiair!E20</f>
        <v>292.47949908264366</v>
      </c>
      <c r="G40" s="684">
        <f ca="1">tertiair!F20</f>
        <v>4884.4488523840391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50832.16841815706</v>
      </c>
    </row>
    <row r="41" spans="1:18">
      <c r="A41" s="812" t="s">
        <v>224</v>
      </c>
      <c r="B41" s="819"/>
      <c r="C41" s="684">
        <f ca="1">huishoudens!B12</f>
        <v>18219.925743044121</v>
      </c>
      <c r="D41" s="684">
        <f ca="1">huishoudens!C12</f>
        <v>0</v>
      </c>
      <c r="E41" s="684">
        <f>huishoudens!D12</f>
        <v>52079.874188638656</v>
      </c>
      <c r="F41" s="684">
        <f>huishoudens!E12</f>
        <v>0</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70299.799931682777</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2334.2983787507746</v>
      </c>
      <c r="D43" s="684">
        <f ca="1">industrie!C22</f>
        <v>0</v>
      </c>
      <c r="E43" s="684">
        <f>industrie!D22</f>
        <v>2008.0932265524109</v>
      </c>
      <c r="F43" s="684">
        <f>industrie!E22</f>
        <v>18.970406681942823</v>
      </c>
      <c r="G43" s="684">
        <f>industrie!F22</f>
        <v>1230.3007521920656</v>
      </c>
      <c r="H43" s="684">
        <f>industrie!G22</f>
        <v>0</v>
      </c>
      <c r="I43" s="684">
        <f>industrie!H22</f>
        <v>0</v>
      </c>
      <c r="J43" s="684">
        <f>industrie!I22</f>
        <v>0</v>
      </c>
      <c r="K43" s="684">
        <f>industrie!J22</f>
        <v>8.1526778679360881</v>
      </c>
      <c r="L43" s="684">
        <f>industrie!K22</f>
        <v>0</v>
      </c>
      <c r="M43" s="684">
        <f>industrie!L22</f>
        <v>0</v>
      </c>
      <c r="N43" s="684">
        <f>industrie!M22</f>
        <v>0</v>
      </c>
      <c r="O43" s="684">
        <f>industrie!N22</f>
        <v>0</v>
      </c>
      <c r="P43" s="684">
        <f>industrie!O22</f>
        <v>0</v>
      </c>
      <c r="Q43" s="759">
        <f>industrie!P22</f>
        <v>0</v>
      </c>
      <c r="R43" s="839">
        <f t="shared" ca="1" si="4"/>
        <v>5599.8154420451301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42065.91515181162</v>
      </c>
      <c r="D46" s="717">
        <f t="shared" ref="D46:Q46" ca="1" si="5">SUM(D39:D45)</f>
        <v>0</v>
      </c>
      <c r="E46" s="717">
        <f t="shared" ca="1" si="5"/>
        <v>78231.516451864736</v>
      </c>
      <c r="F46" s="717">
        <f t="shared" si="5"/>
        <v>311.4499057645865</v>
      </c>
      <c r="G46" s="717">
        <f t="shared" ca="1" si="5"/>
        <v>6114.7496045761045</v>
      </c>
      <c r="H46" s="717">
        <f t="shared" si="5"/>
        <v>0</v>
      </c>
      <c r="I46" s="717">
        <f t="shared" si="5"/>
        <v>0</v>
      </c>
      <c r="J46" s="717">
        <f t="shared" si="5"/>
        <v>0</v>
      </c>
      <c r="K46" s="717">
        <f t="shared" si="5"/>
        <v>8.1526778679360881</v>
      </c>
      <c r="L46" s="717">
        <f t="shared" si="5"/>
        <v>0</v>
      </c>
      <c r="M46" s="717">
        <f t="shared" ca="1" si="5"/>
        <v>0</v>
      </c>
      <c r="N46" s="717">
        <f t="shared" si="5"/>
        <v>0</v>
      </c>
      <c r="O46" s="717">
        <f t="shared" ca="1" si="5"/>
        <v>0</v>
      </c>
      <c r="P46" s="717">
        <f t="shared" si="5"/>
        <v>0</v>
      </c>
      <c r="Q46" s="717">
        <f t="shared" si="5"/>
        <v>0</v>
      </c>
      <c r="R46" s="717">
        <f ca="1">SUM(R39:R45)</f>
        <v>126731.78379188497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135.77564925549549</v>
      </c>
      <c r="D49" s="684">
        <f ca="1">transport!C58</f>
        <v>0</v>
      </c>
      <c r="E49" s="684">
        <f>transport!D58</f>
        <v>0</v>
      </c>
      <c r="F49" s="684">
        <f>transport!E58</f>
        <v>0</v>
      </c>
      <c r="G49" s="684">
        <f>transport!F58</f>
        <v>0</v>
      </c>
      <c r="H49" s="684">
        <f>transport!G58</f>
        <v>452.01585520597155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587.79150446146707</v>
      </c>
    </row>
    <row r="50" spans="1:18">
      <c r="A50" s="815" t="s">
        <v>306</v>
      </c>
      <c r="B50" s="825"/>
      <c r="C50" s="997">
        <f ca="1">transport!B18</f>
        <v>0.76061626009309968</v>
      </c>
      <c r="D50" s="997">
        <f>transport!C18</f>
        <v>0</v>
      </c>
      <c r="E50" s="997">
        <f>transport!D18</f>
        <v>1.6313465952631325</v>
      </c>
      <c r="F50" s="997">
        <f>transport!E18</f>
        <v>116.21529862196942</v>
      </c>
      <c r="G50" s="997">
        <f>transport!F18</f>
        <v>0</v>
      </c>
      <c r="H50" s="997">
        <f>transport!G18</f>
        <v>31601.189818442625</v>
      </c>
      <c r="I50" s="997">
        <f>transport!H18</f>
        <v>5121.8953212767756</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36841.692401196728</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136.53626551558858</v>
      </c>
      <c r="D52" s="717">
        <f t="shared" ref="D52:Q52" ca="1" si="6">SUM(D48:D51)</f>
        <v>0</v>
      </c>
      <c r="E52" s="717">
        <f t="shared" si="6"/>
        <v>1.6313465952631325</v>
      </c>
      <c r="F52" s="717">
        <f t="shared" si="6"/>
        <v>116.21529862196942</v>
      </c>
      <c r="G52" s="717">
        <f t="shared" si="6"/>
        <v>0</v>
      </c>
      <c r="H52" s="717">
        <f t="shared" si="6"/>
        <v>32053.205673648597</v>
      </c>
      <c r="I52" s="717">
        <f t="shared" si="6"/>
        <v>5121.8953212767756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37429.483905658191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354.40954906188398</v>
      </c>
      <c r="D54" s="997">
        <f ca="1">+landbouw!C12</f>
        <v>0</v>
      </c>
      <c r="E54" s="997">
        <f>+landbouw!D12</f>
        <v>101.89458676282439</v>
      </c>
      <c r="F54" s="997">
        <f>+landbouw!E12</f>
        <v>3.4746295771151301</v>
      </c>
      <c r="G54" s="997">
        <f>+landbouw!F12</f>
        <v>1415.7069587256372</v>
      </c>
      <c r="H54" s="997">
        <f>+landbouw!G12</f>
        <v>0</v>
      </c>
      <c r="I54" s="997">
        <f>+landbouw!H12</f>
        <v>0</v>
      </c>
      <c r="J54" s="997">
        <f>+landbouw!I12</f>
        <v>0</v>
      </c>
      <c r="K54" s="997">
        <f>+landbouw!J12</f>
        <v>71.152620775697287</v>
      </c>
      <c r="L54" s="997">
        <f>+landbouw!K12</f>
        <v>0</v>
      </c>
      <c r="M54" s="997">
        <f>+landbouw!L12</f>
        <v>0</v>
      </c>
      <c r="N54" s="997">
        <f>+landbouw!M12</f>
        <v>0</v>
      </c>
      <c r="O54" s="997">
        <f>+landbouw!N12</f>
        <v>0</v>
      </c>
      <c r="P54" s="997">
        <f>+landbouw!O12</f>
        <v>0</v>
      </c>
      <c r="Q54" s="998">
        <f>+landbouw!P12</f>
        <v>0</v>
      </c>
      <c r="R54" s="716">
        <f ca="1">SUM(C54:Q54)</f>
        <v>1946.638344903158</v>
      </c>
    </row>
    <row r="55" spans="1:18" ht="15" thickBot="1">
      <c r="A55" s="815" t="s">
        <v>896</v>
      </c>
      <c r="B55" s="825"/>
      <c r="C55" s="997">
        <f ca="1">C25*'EF ele_warmte'!B12</f>
        <v>2172.7692552282124</v>
      </c>
      <c r="D55" s="997"/>
      <c r="E55" s="997">
        <f>E25*EF_CO2_aardgas</f>
        <v>3434.6861920900901</v>
      </c>
      <c r="F55" s="997"/>
      <c r="G55" s="997"/>
      <c r="H55" s="997"/>
      <c r="I55" s="997"/>
      <c r="J55" s="997"/>
      <c r="K55" s="997"/>
      <c r="L55" s="997"/>
      <c r="M55" s="997"/>
      <c r="N55" s="997"/>
      <c r="O55" s="997"/>
      <c r="P55" s="997"/>
      <c r="Q55" s="998"/>
      <c r="R55" s="716">
        <f ca="1">SUM(C55:Q55)</f>
        <v>5607.4554473183025</v>
      </c>
    </row>
    <row r="56" spans="1:18" ht="15.75" thickBot="1">
      <c r="A56" s="813" t="s">
        <v>897</v>
      </c>
      <c r="B56" s="826"/>
      <c r="C56" s="717">
        <f ca="1">SUM(C54:C55)</f>
        <v>2527.1788042900962</v>
      </c>
      <c r="D56" s="717">
        <f t="shared" ref="D56:Q56" ca="1" si="7">SUM(D54:D55)</f>
        <v>0</v>
      </c>
      <c r="E56" s="717">
        <f t="shared" si="7"/>
        <v>3536.5807788529146</v>
      </c>
      <c r="F56" s="717">
        <f t="shared" si="7"/>
        <v>3.4746295771151301</v>
      </c>
      <c r="G56" s="717">
        <f t="shared" si="7"/>
        <v>1415.7069587256372</v>
      </c>
      <c r="H56" s="717">
        <f t="shared" si="7"/>
        <v>0</v>
      </c>
      <c r="I56" s="717">
        <f t="shared" si="7"/>
        <v>0</v>
      </c>
      <c r="J56" s="717">
        <f t="shared" si="7"/>
        <v>0</v>
      </c>
      <c r="K56" s="717">
        <f t="shared" si="7"/>
        <v>71.152620775697287</v>
      </c>
      <c r="L56" s="717">
        <f t="shared" si="7"/>
        <v>0</v>
      </c>
      <c r="M56" s="717">
        <f t="shared" si="7"/>
        <v>0</v>
      </c>
      <c r="N56" s="717">
        <f t="shared" si="7"/>
        <v>0</v>
      </c>
      <c r="O56" s="717">
        <f t="shared" si="7"/>
        <v>0</v>
      </c>
      <c r="P56" s="717">
        <f t="shared" si="7"/>
        <v>0</v>
      </c>
      <c r="Q56" s="718">
        <f t="shared" si="7"/>
        <v>0</v>
      </c>
      <c r="R56" s="719">
        <f ca="1">SUM(R54:R55)</f>
        <v>7554.0937922214607</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44729.630221617306</v>
      </c>
      <c r="D61" s="725">
        <f t="shared" ref="D61:Q61" ca="1" si="8">D46+D52+D56</f>
        <v>0</v>
      </c>
      <c r="E61" s="725">
        <f t="shared" ca="1" si="8"/>
        <v>81769.728577312926</v>
      </c>
      <c r="F61" s="725">
        <f t="shared" si="8"/>
        <v>431.13983396367109</v>
      </c>
      <c r="G61" s="725">
        <f t="shared" ca="1" si="8"/>
        <v>7530.4565633017419</v>
      </c>
      <c r="H61" s="725">
        <f t="shared" si="8"/>
        <v>32053.205673648597</v>
      </c>
      <c r="I61" s="725">
        <f t="shared" si="8"/>
        <v>5121.8953212767756</v>
      </c>
      <c r="J61" s="725">
        <f t="shared" si="8"/>
        <v>0</v>
      </c>
      <c r="K61" s="725">
        <f t="shared" si="8"/>
        <v>79.305298643633378</v>
      </c>
      <c r="L61" s="725">
        <f t="shared" si="8"/>
        <v>0</v>
      </c>
      <c r="M61" s="725">
        <f t="shared" ca="1" si="8"/>
        <v>0</v>
      </c>
      <c r="N61" s="725">
        <f t="shared" si="8"/>
        <v>0</v>
      </c>
      <c r="O61" s="725">
        <f t="shared" ca="1" si="8"/>
        <v>0</v>
      </c>
      <c r="P61" s="725">
        <f t="shared" si="8"/>
        <v>0</v>
      </c>
      <c r="Q61" s="725">
        <f t="shared" si="8"/>
        <v>0</v>
      </c>
      <c r="R61" s="725">
        <f ca="1">R46+R52+R56</f>
        <v>171715.36148976462</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0.21812455176496315</v>
      </c>
      <c r="D63" s="769">
        <f t="shared" ca="1" si="9"/>
        <v>0</v>
      </c>
      <c r="E63" s="999">
        <f t="shared" ca="1" si="9"/>
        <v>0.2020000000000001</v>
      </c>
      <c r="F63" s="769">
        <f t="shared" si="9"/>
        <v>0.22700000000000006</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2668.1118765208535</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2668.1118765208535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2668.1118765208535</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2668.1118765208535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83529.91717629628</v>
      </c>
      <c r="C4" s="457">
        <f>huishoudens!C8</f>
        <v>0</v>
      </c>
      <c r="D4" s="457">
        <f>huishoudens!D8</f>
        <v>257821.1593496963</v>
      </c>
      <c r="E4" s="457">
        <f>huishoudens!E8</f>
        <v>0</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0</v>
      </c>
      <c r="O4" s="457">
        <f>huishoudens!O8</f>
        <v>76.603333333333339</v>
      </c>
      <c r="P4" s="458">
        <f>huishoudens!P8</f>
        <v>152.53333333333333</v>
      </c>
      <c r="Q4" s="459">
        <f>SUM(B4:P4)</f>
        <v>341580.21319265926</v>
      </c>
    </row>
    <row r="5" spans="1:17">
      <c r="A5" s="456" t="s">
        <v>155</v>
      </c>
      <c r="B5" s="457">
        <f ca="1">tertiair!B16</f>
        <v>95472.628749983429</v>
      </c>
      <c r="C5" s="457">
        <f ca="1">tertiair!C16</f>
        <v>0</v>
      </c>
      <c r="D5" s="457">
        <f ca="1">tertiair!D16</f>
        <v>119522.51998353295</v>
      </c>
      <c r="E5" s="457">
        <f>tertiair!E16</f>
        <v>1288.4559430953464</v>
      </c>
      <c r="F5" s="457">
        <f ca="1">tertiair!F16</f>
        <v>18293.815926531981</v>
      </c>
      <c r="G5" s="457">
        <f>tertiair!G16</f>
        <v>0</v>
      </c>
      <c r="H5" s="457">
        <f>tertiair!H16</f>
        <v>0</v>
      </c>
      <c r="I5" s="457">
        <f>tertiair!I16</f>
        <v>0</v>
      </c>
      <c r="J5" s="457">
        <f>tertiair!J16</f>
        <v>0</v>
      </c>
      <c r="K5" s="457">
        <f>tertiair!K16</f>
        <v>0</v>
      </c>
      <c r="L5" s="457">
        <f ca="1">tertiair!L16</f>
        <v>0</v>
      </c>
      <c r="M5" s="457">
        <f>tertiair!M16</f>
        <v>0</v>
      </c>
      <c r="N5" s="457">
        <f ca="1">tertiair!N16</f>
        <v>3787.3004468531353</v>
      </c>
      <c r="O5" s="457">
        <f>tertiair!O16</f>
        <v>0</v>
      </c>
      <c r="P5" s="458">
        <f>tertiair!P16</f>
        <v>76.266666666666666</v>
      </c>
      <c r="Q5" s="456">
        <f t="shared" ref="Q5:Q14" ca="1" si="0">SUM(B5:P5)</f>
        <v>238440.98771666351</v>
      </c>
    </row>
    <row r="6" spans="1:17">
      <c r="A6" s="456" t="s">
        <v>193</v>
      </c>
      <c r="B6" s="457">
        <f>'openbare verlichting'!B8</f>
        <v>3148.5070000000001</v>
      </c>
      <c r="C6" s="457"/>
      <c r="D6" s="457"/>
      <c r="E6" s="457"/>
      <c r="F6" s="457"/>
      <c r="G6" s="457"/>
      <c r="H6" s="457"/>
      <c r="I6" s="457"/>
      <c r="J6" s="457"/>
      <c r="K6" s="457"/>
      <c r="L6" s="457"/>
      <c r="M6" s="457"/>
      <c r="N6" s="457"/>
      <c r="O6" s="457"/>
      <c r="P6" s="458"/>
      <c r="Q6" s="456">
        <f t="shared" si="0"/>
        <v>3148.5070000000001</v>
      </c>
    </row>
    <row r="7" spans="1:17">
      <c r="A7" s="456" t="s">
        <v>111</v>
      </c>
      <c r="B7" s="457">
        <f>landbouw!B8</f>
        <v>1624.8035638086844</v>
      </c>
      <c r="C7" s="457">
        <f>landbouw!C8</f>
        <v>0</v>
      </c>
      <c r="D7" s="457">
        <f>landbouw!D8</f>
        <v>504.42864734071475</v>
      </c>
      <c r="E7" s="457">
        <f>landbouw!E8</f>
        <v>15.306738225176785</v>
      </c>
      <c r="F7" s="457">
        <f>landbouw!F8</f>
        <v>5302.2732536540716</v>
      </c>
      <c r="G7" s="457">
        <f>landbouw!G8</f>
        <v>0</v>
      </c>
      <c r="H7" s="457">
        <f>landbouw!H8</f>
        <v>0</v>
      </c>
      <c r="I7" s="457">
        <f>landbouw!I8</f>
        <v>0</v>
      </c>
      <c r="J7" s="457">
        <f>landbouw!J8</f>
        <v>200.99610388615054</v>
      </c>
      <c r="K7" s="457">
        <f>landbouw!K8</f>
        <v>0</v>
      </c>
      <c r="L7" s="457">
        <f>landbouw!L8</f>
        <v>0</v>
      </c>
      <c r="M7" s="457">
        <f>landbouw!M8</f>
        <v>0</v>
      </c>
      <c r="N7" s="457">
        <f>landbouw!N8</f>
        <v>0</v>
      </c>
      <c r="O7" s="457">
        <f>landbouw!O8</f>
        <v>0</v>
      </c>
      <c r="P7" s="458">
        <f>landbouw!P8</f>
        <v>0</v>
      </c>
      <c r="Q7" s="456">
        <f t="shared" si="0"/>
        <v>7647.808306914797</v>
      </c>
    </row>
    <row r="8" spans="1:17">
      <c r="A8" s="456" t="s">
        <v>682</v>
      </c>
      <c r="B8" s="457">
        <f>industrie!B18</f>
        <v>10701.676449820572</v>
      </c>
      <c r="C8" s="457">
        <f>industrie!C18</f>
        <v>0</v>
      </c>
      <c r="D8" s="457">
        <f>industrie!D18</f>
        <v>9941.055576992132</v>
      </c>
      <c r="E8" s="457">
        <f>industrie!E18</f>
        <v>83.570073488734891</v>
      </c>
      <c r="F8" s="457">
        <f>industrie!F18</f>
        <v>4607.867985738073</v>
      </c>
      <c r="G8" s="457">
        <f>industrie!G18</f>
        <v>0</v>
      </c>
      <c r="H8" s="457">
        <f>industrie!H18</f>
        <v>0</v>
      </c>
      <c r="I8" s="457">
        <f>industrie!I18</f>
        <v>0</v>
      </c>
      <c r="J8" s="457">
        <f>industrie!J18</f>
        <v>23.030163468746014</v>
      </c>
      <c r="K8" s="457">
        <f>industrie!K18</f>
        <v>0</v>
      </c>
      <c r="L8" s="457">
        <f>industrie!L18</f>
        <v>0</v>
      </c>
      <c r="M8" s="457">
        <f>industrie!M18</f>
        <v>0</v>
      </c>
      <c r="N8" s="457">
        <f>industrie!N18</f>
        <v>509.9515807493317</v>
      </c>
      <c r="O8" s="457">
        <f>industrie!O18</f>
        <v>0</v>
      </c>
      <c r="P8" s="458">
        <f>industrie!P18</f>
        <v>0</v>
      </c>
      <c r="Q8" s="456">
        <f t="shared" si="0"/>
        <v>25867.151830257593</v>
      </c>
    </row>
    <row r="9" spans="1:17" s="462" customFormat="1">
      <c r="A9" s="460" t="s">
        <v>578</v>
      </c>
      <c r="B9" s="461">
        <f>transport!B14</f>
        <v>3.4870731145968858</v>
      </c>
      <c r="C9" s="461">
        <f>transport!C14</f>
        <v>0</v>
      </c>
      <c r="D9" s="461">
        <f>transport!D14</f>
        <v>8.0759732438768932</v>
      </c>
      <c r="E9" s="461">
        <f>transport!E14</f>
        <v>511.96166793819128</v>
      </c>
      <c r="F9" s="461">
        <f>transport!F14</f>
        <v>0</v>
      </c>
      <c r="G9" s="461">
        <f>transport!G14</f>
        <v>118356.51617394241</v>
      </c>
      <c r="H9" s="461">
        <f>transport!H14</f>
        <v>20569.860728019179</v>
      </c>
      <c r="I9" s="461">
        <f>transport!I14</f>
        <v>0</v>
      </c>
      <c r="J9" s="461">
        <f>transport!J14</f>
        <v>0</v>
      </c>
      <c r="K9" s="461">
        <f>transport!K14</f>
        <v>0</v>
      </c>
      <c r="L9" s="461">
        <f>transport!L14</f>
        <v>0</v>
      </c>
      <c r="M9" s="461">
        <f>transport!M14</f>
        <v>6208.5629458558888</v>
      </c>
      <c r="N9" s="461">
        <f>transport!N14</f>
        <v>0</v>
      </c>
      <c r="O9" s="461">
        <f>transport!O14</f>
        <v>0</v>
      </c>
      <c r="P9" s="461">
        <f>transport!P14</f>
        <v>0</v>
      </c>
      <c r="Q9" s="460">
        <f>SUM(B9:P9)</f>
        <v>145658.46456211415</v>
      </c>
    </row>
    <row r="10" spans="1:17">
      <c r="A10" s="456" t="s">
        <v>568</v>
      </c>
      <c r="B10" s="457">
        <f>transport!B54</f>
        <v>622.46843904944046</v>
      </c>
      <c r="C10" s="457">
        <f>transport!C54</f>
        <v>0</v>
      </c>
      <c r="D10" s="457">
        <f>transport!D54</f>
        <v>0</v>
      </c>
      <c r="E10" s="457">
        <f>transport!E54</f>
        <v>0</v>
      </c>
      <c r="F10" s="457">
        <f>transport!F54</f>
        <v>0</v>
      </c>
      <c r="G10" s="457">
        <f>transport!G54</f>
        <v>1692.9432779249869</v>
      </c>
      <c r="H10" s="457">
        <f>transport!H54</f>
        <v>0</v>
      </c>
      <c r="I10" s="457">
        <f>transport!I54</f>
        <v>0</v>
      </c>
      <c r="J10" s="457">
        <f>transport!J54</f>
        <v>0</v>
      </c>
      <c r="K10" s="457">
        <f>transport!K54</f>
        <v>0</v>
      </c>
      <c r="L10" s="457">
        <f>transport!L54</f>
        <v>0</v>
      </c>
      <c r="M10" s="457">
        <f>transport!M54</f>
        <v>74.279863645832094</v>
      </c>
      <c r="N10" s="457">
        <f>transport!N54</f>
        <v>0</v>
      </c>
      <c r="O10" s="457">
        <f>transport!O54</f>
        <v>0</v>
      </c>
      <c r="P10" s="458">
        <f>transport!P54</f>
        <v>0</v>
      </c>
      <c r="Q10" s="456">
        <f t="shared" si="0"/>
        <v>2389.6915806202592</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9961.1402643451511</v>
      </c>
      <c r="C14" s="464"/>
      <c r="D14" s="464">
        <f>'SEAP template'!E25</f>
        <v>17003.396990544999</v>
      </c>
      <c r="E14" s="464"/>
      <c r="F14" s="464"/>
      <c r="G14" s="464"/>
      <c r="H14" s="464"/>
      <c r="I14" s="464"/>
      <c r="J14" s="464"/>
      <c r="K14" s="464"/>
      <c r="L14" s="464"/>
      <c r="M14" s="464"/>
      <c r="N14" s="464"/>
      <c r="O14" s="464"/>
      <c r="P14" s="465"/>
      <c r="Q14" s="456">
        <f t="shared" si="0"/>
        <v>26964.537254890151</v>
      </c>
    </row>
    <row r="15" spans="1:17" s="469" customFormat="1">
      <c r="A15" s="466" t="s">
        <v>572</v>
      </c>
      <c r="B15" s="467">
        <f ca="1">SUM(B4:B14)</f>
        <v>205064.62871641817</v>
      </c>
      <c r="C15" s="467">
        <f t="shared" ref="C15:Q15" ca="1" si="1">SUM(C4:C14)</f>
        <v>0</v>
      </c>
      <c r="D15" s="467">
        <f t="shared" ca="1" si="1"/>
        <v>404800.63652135094</v>
      </c>
      <c r="E15" s="467">
        <f t="shared" si="1"/>
        <v>1899.2944227474493</v>
      </c>
      <c r="F15" s="467">
        <f t="shared" ca="1" si="1"/>
        <v>28203.957165924126</v>
      </c>
      <c r="G15" s="467">
        <f t="shared" si="1"/>
        <v>120049.4594518674</v>
      </c>
      <c r="H15" s="467">
        <f t="shared" si="1"/>
        <v>20569.860728019179</v>
      </c>
      <c r="I15" s="467">
        <f t="shared" si="1"/>
        <v>0</v>
      </c>
      <c r="J15" s="467">
        <f t="shared" si="1"/>
        <v>224.02626735489656</v>
      </c>
      <c r="K15" s="467">
        <f t="shared" si="1"/>
        <v>0</v>
      </c>
      <c r="L15" s="467">
        <f t="shared" ca="1" si="1"/>
        <v>0</v>
      </c>
      <c r="M15" s="467">
        <f t="shared" si="1"/>
        <v>6282.8428095017207</v>
      </c>
      <c r="N15" s="467">
        <f t="shared" ca="1" si="1"/>
        <v>4297.252027602467</v>
      </c>
      <c r="O15" s="467">
        <f t="shared" si="1"/>
        <v>76.603333333333339</v>
      </c>
      <c r="P15" s="467">
        <f t="shared" si="1"/>
        <v>228.8</v>
      </c>
      <c r="Q15" s="467">
        <f t="shared" ca="1" si="1"/>
        <v>791697.36144411971</v>
      </c>
    </row>
    <row r="17" spans="1:17">
      <c r="A17" s="470" t="s">
        <v>573</v>
      </c>
      <c r="B17" s="774">
        <f ca="1">huishoudens!B10</f>
        <v>0.21812455176496315</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18219.925743044121</v>
      </c>
      <c r="C22" s="457">
        <f t="shared" ref="C22:C32" ca="1" si="3">C4*$C$17</f>
        <v>0</v>
      </c>
      <c r="D22" s="457">
        <f t="shared" ref="D22:D32" si="4">D4*$D$17</f>
        <v>52079.874188638656</v>
      </c>
      <c r="E22" s="457">
        <f t="shared" ref="E22:E32" si="5">E4*$E$17</f>
        <v>0</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70299.799931682777</v>
      </c>
    </row>
    <row r="23" spans="1:17">
      <c r="A23" s="456" t="s">
        <v>155</v>
      </c>
      <c r="B23" s="457">
        <f t="shared" ca="1" si="2"/>
        <v>20824.924351912869</v>
      </c>
      <c r="C23" s="457">
        <f t="shared" ca="1" si="3"/>
        <v>0</v>
      </c>
      <c r="D23" s="457">
        <f t="shared" ca="1" si="4"/>
        <v>24143.549036673659</v>
      </c>
      <c r="E23" s="457">
        <f t="shared" si="5"/>
        <v>292.47949908264366</v>
      </c>
      <c r="F23" s="457">
        <f t="shared" ca="1" si="6"/>
        <v>4884.4488523840391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50145.40174005321</v>
      </c>
    </row>
    <row r="24" spans="1:17">
      <c r="A24" s="456" t="s">
        <v>193</v>
      </c>
      <c r="B24" s="457">
        <f t="shared" ca="1" si="2"/>
        <v>686.76667810384879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686.76667810384879</v>
      </c>
    </row>
    <row r="25" spans="1:17">
      <c r="A25" s="456" t="s">
        <v>111</v>
      </c>
      <c r="B25" s="457">
        <f t="shared" ca="1" si="2"/>
        <v>354.40954906188398</v>
      </c>
      <c r="C25" s="457">
        <f t="shared" ca="1" si="3"/>
        <v>0</v>
      </c>
      <c r="D25" s="457">
        <f t="shared" si="4"/>
        <v>101.89458676282439</v>
      </c>
      <c r="E25" s="457">
        <f t="shared" si="5"/>
        <v>3.4746295771151301</v>
      </c>
      <c r="F25" s="457">
        <f t="shared" si="6"/>
        <v>1415.7069587256372</v>
      </c>
      <c r="G25" s="457">
        <f t="shared" si="7"/>
        <v>0</v>
      </c>
      <c r="H25" s="457">
        <f t="shared" si="8"/>
        <v>0</v>
      </c>
      <c r="I25" s="457">
        <f t="shared" si="9"/>
        <v>0</v>
      </c>
      <c r="J25" s="457">
        <f t="shared" si="10"/>
        <v>71.152620775697287</v>
      </c>
      <c r="K25" s="457">
        <f t="shared" si="11"/>
        <v>0</v>
      </c>
      <c r="L25" s="457">
        <f t="shared" si="12"/>
        <v>0</v>
      </c>
      <c r="M25" s="457">
        <f t="shared" si="13"/>
        <v>0</v>
      </c>
      <c r="N25" s="457">
        <f t="shared" si="14"/>
        <v>0</v>
      </c>
      <c r="O25" s="457">
        <f t="shared" si="15"/>
        <v>0</v>
      </c>
      <c r="P25" s="458">
        <f t="shared" si="16"/>
        <v>0</v>
      </c>
      <c r="Q25" s="456">
        <f t="shared" ca="1" si="17"/>
        <v>1946.638344903158</v>
      </c>
    </row>
    <row r="26" spans="1:17">
      <c r="A26" s="456" t="s">
        <v>682</v>
      </c>
      <c r="B26" s="457">
        <f t="shared" ca="1" si="2"/>
        <v>2334.2983787507746</v>
      </c>
      <c r="C26" s="457">
        <f t="shared" ca="1" si="3"/>
        <v>0</v>
      </c>
      <c r="D26" s="457">
        <f t="shared" si="4"/>
        <v>2008.0932265524109</v>
      </c>
      <c r="E26" s="457">
        <f t="shared" si="5"/>
        <v>18.970406681942823</v>
      </c>
      <c r="F26" s="457">
        <f t="shared" si="6"/>
        <v>1230.3007521920656</v>
      </c>
      <c r="G26" s="457">
        <f t="shared" si="7"/>
        <v>0</v>
      </c>
      <c r="H26" s="457">
        <f t="shared" si="8"/>
        <v>0</v>
      </c>
      <c r="I26" s="457">
        <f t="shared" si="9"/>
        <v>0</v>
      </c>
      <c r="J26" s="457">
        <f t="shared" si="10"/>
        <v>8.1526778679360881</v>
      </c>
      <c r="K26" s="457">
        <f t="shared" si="11"/>
        <v>0</v>
      </c>
      <c r="L26" s="457">
        <f t="shared" si="12"/>
        <v>0</v>
      </c>
      <c r="M26" s="457">
        <f t="shared" si="13"/>
        <v>0</v>
      </c>
      <c r="N26" s="457">
        <f t="shared" si="14"/>
        <v>0</v>
      </c>
      <c r="O26" s="457">
        <f t="shared" si="15"/>
        <v>0</v>
      </c>
      <c r="P26" s="458">
        <f t="shared" si="16"/>
        <v>0</v>
      </c>
      <c r="Q26" s="456">
        <f t="shared" ca="1" si="17"/>
        <v>5599.8154420451301</v>
      </c>
    </row>
    <row r="27" spans="1:17" s="462" customFormat="1">
      <c r="A27" s="460" t="s">
        <v>578</v>
      </c>
      <c r="B27" s="768">
        <f t="shared" ca="1" si="2"/>
        <v>0.76061626009309968</v>
      </c>
      <c r="C27" s="461">
        <f t="shared" ca="1" si="3"/>
        <v>0</v>
      </c>
      <c r="D27" s="461">
        <f t="shared" si="4"/>
        <v>1.6313465952631325</v>
      </c>
      <c r="E27" s="461">
        <f t="shared" si="5"/>
        <v>116.21529862196942</v>
      </c>
      <c r="F27" s="461">
        <f t="shared" si="6"/>
        <v>0</v>
      </c>
      <c r="G27" s="461">
        <f t="shared" si="7"/>
        <v>31601.189818442625</v>
      </c>
      <c r="H27" s="461">
        <f t="shared" si="8"/>
        <v>5121.8953212767756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36841.692401196728</v>
      </c>
    </row>
    <row r="28" spans="1:17">
      <c r="A28" s="456" t="s">
        <v>568</v>
      </c>
      <c r="B28" s="457">
        <f t="shared" ca="1" si="2"/>
        <v>135.77564925549549</v>
      </c>
      <c r="C28" s="457">
        <f t="shared" ca="1" si="3"/>
        <v>0</v>
      </c>
      <c r="D28" s="457">
        <f t="shared" si="4"/>
        <v>0</v>
      </c>
      <c r="E28" s="457">
        <f t="shared" si="5"/>
        <v>0</v>
      </c>
      <c r="F28" s="457">
        <f t="shared" si="6"/>
        <v>0</v>
      </c>
      <c r="G28" s="457">
        <f t="shared" si="7"/>
        <v>452.01585520597155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587.79150446146707</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2172.7692552282124</v>
      </c>
      <c r="C32" s="457">
        <f t="shared" ca="1" si="3"/>
        <v>0</v>
      </c>
      <c r="D32" s="457">
        <f t="shared" si="4"/>
        <v>3434.6861920900901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5607.4554473183025</v>
      </c>
    </row>
    <row r="33" spans="1:17" s="469" customFormat="1">
      <c r="A33" s="466" t="s">
        <v>572</v>
      </c>
      <c r="B33" s="467">
        <f ca="1">SUM(B22:B32)</f>
        <v>44729.630221617299</v>
      </c>
      <c r="C33" s="467">
        <f t="shared" ref="C33:Q33" ca="1" si="18">SUM(C22:C32)</f>
        <v>0</v>
      </c>
      <c r="D33" s="467">
        <f t="shared" ca="1" si="18"/>
        <v>81769.728577312912</v>
      </c>
      <c r="E33" s="467">
        <f t="shared" si="18"/>
        <v>431.13983396367109</v>
      </c>
      <c r="F33" s="467">
        <f t="shared" ca="1" si="18"/>
        <v>7530.4565633017419</v>
      </c>
      <c r="G33" s="467">
        <f t="shared" si="18"/>
        <v>32053.205673648597</v>
      </c>
      <c r="H33" s="467">
        <f t="shared" si="18"/>
        <v>5121.8953212767756</v>
      </c>
      <c r="I33" s="467">
        <f t="shared" si="18"/>
        <v>0</v>
      </c>
      <c r="J33" s="467">
        <f t="shared" si="18"/>
        <v>79.305298643633378</v>
      </c>
      <c r="K33" s="467">
        <f t="shared" si="18"/>
        <v>0</v>
      </c>
      <c r="L33" s="467">
        <f t="shared" ca="1" si="18"/>
        <v>0</v>
      </c>
      <c r="M33" s="467">
        <f t="shared" si="18"/>
        <v>0</v>
      </c>
      <c r="N33" s="467">
        <f t="shared" ca="1" si="18"/>
        <v>0</v>
      </c>
      <c r="O33" s="467">
        <f t="shared" si="18"/>
        <v>0</v>
      </c>
      <c r="P33" s="467">
        <f t="shared" si="18"/>
        <v>0</v>
      </c>
      <c r="Q33" s="467">
        <f t="shared" ca="1" si="18"/>
        <v>171715.36148976462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2668.1118765208535</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2668.1118765208535</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0.21812455176496315</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0.21812455176496315</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2020-06-20T16:29:34Z</dcterms:modified>
</cp:coreProperties>
</file>