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V38" i="18"/>
  <c r="J9" i="18" s="1"/>
  <c r="U38" i="18"/>
  <c r="T38" i="18"/>
  <c r="I9" i="18" s="1"/>
  <c r="S38" i="18"/>
  <c r="E9" i="18" s="1"/>
  <c r="R38" i="18"/>
  <c r="Q38" i="18"/>
  <c r="P38" i="18"/>
  <c r="C9" i="18" s="1"/>
  <c r="O38" i="18"/>
  <c r="N38" i="18"/>
  <c r="B9" i="18" s="1"/>
  <c r="M38"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B47" i="18" s="1"/>
  <c r="N31" i="18"/>
  <c r="M31" i="18"/>
  <c r="G22" i="18"/>
  <c r="F22" i="18"/>
  <c r="E22" i="18"/>
  <c r="D22" i="18"/>
  <c r="C22" i="18"/>
  <c r="L20" i="18"/>
  <c r="D20" i="18"/>
  <c r="G12" i="18"/>
  <c r="F12" i="18"/>
  <c r="E12" i="18"/>
  <c r="D12" i="18"/>
  <c r="C12" i="18"/>
  <c r="L10" i="18"/>
  <c r="K10" i="18"/>
  <c r="G10" i="18"/>
  <c r="D10" i="18"/>
  <c r="B8" i="18"/>
  <c r="B6" i="18"/>
  <c r="B5" i="18"/>
  <c r="B4" i="18"/>
  <c r="F20" i="18" l="1"/>
  <c r="B17" i="18"/>
  <c r="C47" i="18"/>
  <c r="F50" i="18" s="1"/>
  <c r="G20" i="18"/>
  <c r="K20" i="18"/>
  <c r="B10" i="18"/>
  <c r="O9" i="18"/>
  <c r="O19" i="18"/>
  <c r="O18" i="18"/>
  <c r="B20" i="18"/>
  <c r="I51" i="18"/>
  <c r="H17" i="18" s="1"/>
  <c r="H20" i="18" s="1"/>
  <c r="E51" i="18"/>
  <c r="E17" i="18" s="1"/>
  <c r="E20" i="18" s="1"/>
  <c r="G51" i="18"/>
  <c r="C51" i="18"/>
  <c r="H51" i="18"/>
  <c r="D51" i="18"/>
  <c r="F51" i="18"/>
  <c r="B51" i="18"/>
  <c r="C17" i="18" s="1"/>
  <c r="E50" i="18"/>
  <c r="E8" i="18" s="1"/>
  <c r="E10" i="18" s="1"/>
  <c r="G50" i="18"/>
  <c r="C50" i="18"/>
  <c r="H50" i="18"/>
  <c r="D50" i="18"/>
  <c r="N6" i="17"/>
  <c r="L6" i="17"/>
  <c r="F6" i="17"/>
  <c r="D6" i="17"/>
  <c r="C6" i="17"/>
  <c r="N16" i="16"/>
  <c r="L16" i="16"/>
  <c r="F16" i="16"/>
  <c r="D16" i="16"/>
  <c r="C16" i="16"/>
  <c r="B16" i="16"/>
  <c r="B13" i="15"/>
  <c r="B50" i="18" l="1"/>
  <c r="C8" i="18" s="1"/>
  <c r="I50" i="18"/>
  <c r="H8" i="18" s="1"/>
  <c r="H10" i="18" s="1"/>
  <c r="C10" i="18"/>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I76" i="14"/>
  <c r="I8" i="56" s="1"/>
  <c r="I10" i="56" s="1"/>
  <c r="H76" i="14"/>
  <c r="H8" i="56" s="1"/>
  <c r="G76" i="14"/>
  <c r="G8" i="56" s="1"/>
  <c r="F76" i="14"/>
  <c r="F8"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J76" i="14" l="1"/>
  <c r="J8" i="56" s="1"/>
  <c r="J10" i="56" s="1"/>
  <c r="F10" i="56"/>
  <c r="G10" i="56"/>
  <c r="E20" i="56"/>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B4" i="6" s="1"/>
  <c r="D20" i="56"/>
  <c r="Q78" i="14"/>
  <c r="B9" i="6" s="1"/>
  <c r="P9" i="56"/>
  <c r="P10" i="56" s="1"/>
  <c r="J90" i="14"/>
  <c r="J17" i="56"/>
  <c r="J20" i="56" s="1"/>
  <c r="Q90" i="14"/>
  <c r="B17" i="6" s="1"/>
  <c r="C87" i="14"/>
  <c r="C17" i="56" s="1"/>
  <c r="C20" i="56" s="1"/>
  <c r="P20" i="56"/>
  <c r="B87" i="14"/>
  <c r="K33" i="48"/>
  <c r="C90" i="14" l="1"/>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C11" i="14" l="1"/>
  <c r="B4" i="48"/>
  <c r="C24" i="14"/>
  <c r="C26" i="14" s="1"/>
  <c r="B7" i="48"/>
  <c r="B38" i="13"/>
  <c r="B50" i="13" s="1"/>
  <c r="P4" i="48"/>
  <c r="P22" i="48" s="1"/>
  <c r="Q11" i="14"/>
  <c r="D4" i="48"/>
  <c r="D22" i="48" s="1"/>
  <c r="E11" i="14"/>
  <c r="P11" i="14"/>
  <c r="O4" i="48"/>
  <c r="O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E5" i="17"/>
  <c r="C8" i="17"/>
  <c r="P8" i="48" l="1"/>
  <c r="P26" i="48" s="1"/>
  <c r="Q13" i="14"/>
  <c r="Q16" i="14" s="1"/>
  <c r="Q27" i="14" s="1"/>
  <c r="J12" i="17"/>
  <c r="K54" i="14" s="1"/>
  <c r="K56" i="14" s="1"/>
  <c r="J7" i="48"/>
  <c r="J25" i="48" s="1"/>
  <c r="K24" i="14"/>
  <c r="K26" i="14" s="1"/>
  <c r="P15" i="48"/>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N8" i="17"/>
  <c r="G31" i="20"/>
  <c r="H48" i="14" s="1"/>
  <c r="G12" i="22"/>
  <c r="D14" i="22"/>
  <c r="D18" i="22" s="1"/>
  <c r="E50" i="14" s="1"/>
  <c r="E52" i="14" s="1"/>
  <c r="M12" i="22"/>
  <c r="B36" i="13"/>
  <c r="B48" i="13" s="1"/>
  <c r="C48" i="13" s="1"/>
  <c r="N5" i="13" s="1"/>
  <c r="N8" i="13" s="1"/>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B47" i="13"/>
  <c r="N12" i="16"/>
  <c r="J12" i="16"/>
  <c r="F12" i="16"/>
  <c r="E12" i="16"/>
  <c r="B46" i="13"/>
  <c r="E5" i="13" s="1"/>
  <c r="E8" i="13" s="1"/>
  <c r="C50" i="13"/>
  <c r="J5" i="13" s="1"/>
  <c r="J8" i="13" s="1"/>
  <c r="E12" i="17"/>
  <c r="F54" i="14" s="1"/>
  <c r="F56" i="14" s="1"/>
  <c r="F24" i="14" l="1"/>
  <c r="F26" i="14" s="1"/>
  <c r="E7" i="48"/>
  <c r="E25" i="48" s="1"/>
  <c r="Q63" i="14"/>
  <c r="D16" i="14"/>
  <c r="O8" i="48"/>
  <c r="O26" i="48" s="1"/>
  <c r="P13" i="14"/>
  <c r="P16" i="14"/>
  <c r="P27" i="14" s="1"/>
  <c r="O23" i="48"/>
  <c r="O11" i="14"/>
  <c r="N4" i="48"/>
  <c r="N22" i="48" s="1"/>
  <c r="E12" i="13"/>
  <c r="F41" i="14" s="1"/>
  <c r="F11" i="14"/>
  <c r="E4" i="48"/>
  <c r="K11" i="14"/>
  <c r="J4" i="48"/>
  <c r="M10" i="48"/>
  <c r="M28" i="48" s="1"/>
  <c r="N19" i="14"/>
  <c r="G31" i="48"/>
  <c r="Q13" i="48"/>
  <c r="G10" i="48"/>
  <c r="H19" i="14"/>
  <c r="R19" i="14" s="1"/>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7" i="14"/>
  <c r="B20" i="6" s="1"/>
  <c r="B22" i="6" s="1"/>
  <c r="C22" i="56" s="1"/>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P63" i="14" s="1"/>
  <c r="G58" i="22"/>
  <c r="H49" i="14" s="1"/>
  <c r="M58" i="22"/>
  <c r="N49" i="14" s="1"/>
  <c r="M18" i="22"/>
  <c r="N50"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E5" i="48" l="1"/>
  <c r="E23" i="48" s="1"/>
  <c r="F10" i="14"/>
  <c r="K10" i="14"/>
  <c r="J5" i="48"/>
  <c r="J23" i="48" s="1"/>
  <c r="O15" i="48"/>
  <c r="N52" i="14"/>
  <c r="N61" i="14" s="1"/>
  <c r="N22" i="14"/>
  <c r="N27" i="14" s="1"/>
  <c r="O33" i="48"/>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R10" i="14"/>
  <c r="C16" i="14"/>
  <c r="Q7" i="48"/>
  <c r="B15" i="48"/>
  <c r="R24" i="14"/>
  <c r="R26" i="14" s="1"/>
  <c r="L25" i="48"/>
  <c r="L33" i="48" s="1"/>
  <c r="L15" i="48"/>
  <c r="N25" i="48"/>
  <c r="J20" i="15"/>
  <c r="K40" i="14" s="1"/>
  <c r="N18" i="16"/>
  <c r="J18" i="16"/>
  <c r="F18" i="16"/>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22" i="16"/>
  <c r="G43" i="14" s="1"/>
  <c r="G46" i="14" s="1"/>
  <c r="G61" i="14" s="1"/>
  <c r="E8" i="48" l="1"/>
  <c r="F13" i="14"/>
  <c r="F16" i="14" s="1"/>
  <c r="F27" i="14" s="1"/>
  <c r="Q5" i="48"/>
  <c r="K13" i="14"/>
  <c r="K16" i="14" s="1"/>
  <c r="K27" i="14" s="1"/>
  <c r="J8"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K63" i="14" s="1"/>
  <c r="C12" i="13"/>
  <c r="D41" i="14" s="1"/>
  <c r="D46" i="14" s="1"/>
  <c r="D61" i="14" s="1"/>
  <c r="D63" i="14" s="1"/>
  <c r="E26" i="48" l="1"/>
  <c r="E33" i="48" s="1"/>
  <c r="E15" i="48"/>
  <c r="J26" i="48"/>
  <c r="J33" i="48" s="1"/>
  <c r="J15" i="48"/>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<sst xmlns="http://schemas.openxmlformats.org/spreadsheetml/2006/main" count="2525" uniqueCount="967">
  <si>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</si>
  <si>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</si>
  <si>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</si>
  <si>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</si>
  <si>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</si>
  <si>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</si>
  <si>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</si>
  <si>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</si>
  <si>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</si>
  <si>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</si>
  <si>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</si>
  <si>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</si>
  <si>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</si>
  <si>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</si>
  <si>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</si>
  <si>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</si>
  <si>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</si>
  <si>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</si>
  <si>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</si>
  <si>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</si>
  <si>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</si>
  <si>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</si>
  <si>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</si>
  <si>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</si>
  <si>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</si>
  <si>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</si>
  <si>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</si>
  <si>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</si>
  <si>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</si>
  <si>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</si>
  <si>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</si>
  <si>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</si>
  <si>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</si>
  <si>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</si>
  <si>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</si>
  <si>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</si>
  <si>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</si>
  <si>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</si>
  <si>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</si>
  <si>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</si>
  <si>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</si>
  <si>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</si>
  <si>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</si>
  <si>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</si>
  <si>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</si>
  <si>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</si>
  <si>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</si>
  <si>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</si>
  <si>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</si>
  <si>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</si>
  <si>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</si>
  <si>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</si>
  <si>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</si>
  <si>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</si>
  <si>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</si>
  <si>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</si>
  <si>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</si>
  <si>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</si>
  <si>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</si>
  <si>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</si>
  <si>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</si>
  <si>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</si>
  <si>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</si>
  <si>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</si>
  <si>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</si>
  <si>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</si>
  <si>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</si>
  <si>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</si>
  <si>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</si>
  <si>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</si>
  <si>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</si>
  <si>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</si>
  <si>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</si>
  <si>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</si>
  <si>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</si>
  <si>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</si>
  <si>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</si>
  <si>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</si>
  <si>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</si>
  <si>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</si>
  <si>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</si>
  <si>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</si>
  <si>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</si>
  <si>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</si>
  <si>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</si>
  <si>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</si>
  <si>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</si>
  <si>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</si>
  <si>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</si>
  <si>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</si>
  <si>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</si>
  <si>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</si>
  <si>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</si>
  <si>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</si>
  <si>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</si>
  <si>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</si>
  <si>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</si>
  <si>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</si>
  <si>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</si>
  <si>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</si>
  <si>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</si>
  <si>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</si>
  <si>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</si>
  <si>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</si>
  <si>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</si>
  <si>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</si>
  <si>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</si>
  <si>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</si>
  <si>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</si>
  <si>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</si>
  <si>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</si>
  <si>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</si>
  <si>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</si>
  <si>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</si>
  <si>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</si>
  <si>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</si>
  <si>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</si>
  <si>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</si>
  <si>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</si>
  <si>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</si>
  <si>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</si>
  <si>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</si>
  <si>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</si>
  <si>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</si>
  <si>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</si>
  <si>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</si>
  <si>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</si>
  <si>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</si>
  <si>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</si>
  <si>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</si>
  <si>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</si>
  <si>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</si>
  <si>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</si>
  <si>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</si>
  <si>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</si>
  <si>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</si>
  <si>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</si>
  <si>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</si>
  <si>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</si>
  <si>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</si>
  <si>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</si>
  <si>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</si>
  <si>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</si>
  <si>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</si>
  <si>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</si>
  <si>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</si>
  <si>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</si>
  <si>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</si>
  <si>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</si>
  <si>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</si>
  <si>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</si>
  <si>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</si>
  <si>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</si>
  <si>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</si>
  <si>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</si>
  <si>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</si>
  <si>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</si>
  <si>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</si>
  <si>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</si>
  <si>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</si>
  <si>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</si>
  <si>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</si>
  <si>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</si>
  <si>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</si>
  <si>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</si>
  <si>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</si>
  <si>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</si>
  <si>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</si>
  <si>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</si>
  <si>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</si>
  <si>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</si>
  <si>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</si>
  <si>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</si>
  <si>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</si>
  <si>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</si>
  <si>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</si>
  <si>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</si>
  <si>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</si>
  <si>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</si>
  <si>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</si>
  <si>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</si>
  <si>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</si>
  <si>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</si>
  <si>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</si>
  <si>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</si>
  <si>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</si>
  <si>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</si>
  <si>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</si>
  <si>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</si>
  <si>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</si>
  <si>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</si>
  <si>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</si>
  <si>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</si>
  <si>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</si>
  <si>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</si>
  <si>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</si>
  <si>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</si>
  <si>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</si>
  <si>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</si>
  <si>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</si>
  <si>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</si>
  <si>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</si>
  <si>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</si>
  <si>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</si>
  <si>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</si>
  <si>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</si>
  <si>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</si>
  <si>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</si>
  <si>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</si>
  <si>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</si>
  <si>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</si>
  <si>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</si>
  <si>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</si>
  <si>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</si>
  <si>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</si>
  <si>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</si>
  <si>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</si>
  <si>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</si>
  <si>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</si>
  <si>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</si>
  <si>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</si>
  <si>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</si>
  <si>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</si>
  <si>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</si>
  <si>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</si>
  <si>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</si>
  <si>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</si>
  <si>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</si>
  <si>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</si>
  <si>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</si>
  <si>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</si>
  <si>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</si>
  <si>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</si>
  <si>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</si>
  <si>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</si>
  <si>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</si>
  <si>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</si>
  <si>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</si>
  <si>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</si>
  <si>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</si>
  <si>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</si>
  <si>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</si>
  <si>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</si>
  <si>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</si>
  <si>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</si>
  <si>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</si>
  <si>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</si>
  <si>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</si>
  <si>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</si>
  <si>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</si>
  <si>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</si>
  <si>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</si>
  <si>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</si>
  <si>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</si>
  <si>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</si>
  <si>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</si>
  <si>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</si>
  <si>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</si>
  <si>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</si>
  <si>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</si>
  <si>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</si>
  <si>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</si>
  <si>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</si>
  <si>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</si>
  <si>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</si>
  <si>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</si>
  <si>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</si>
  <si>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</si>
  <si>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</si>
  <si>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</si>
  <si>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</si>
  <si>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</si>
  <si>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</si>
  <si>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</si>
  <si>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</si>
  <si>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</si>
  <si>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</si>
  <si>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</si>
  <si>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</si>
  <si>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</si>
  <si>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</si>
  <si>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</si>
  <si>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</si>
  <si>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</si>
  <si>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</si>
  <si>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</si>
  <si>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</si>
  <si>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</si>
  <si>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</si>
  <si>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</si>
  <si>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</si>
  <si>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</si>
  <si>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</si>
  <si>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</si>
  <si>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</si>
  <si>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</si>
  <si>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</si>
  <si>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</si>
  <si>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</si>
  <si>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</si>
  <si>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</si>
  <si>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</si>
  <si>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</si>
  <si>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</si>
  <si>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</si>
  <si>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</si>
  <si>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</si>
  <si>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</si>
  <si>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</si>
  <si>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</si>
  <si>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</si>
  <si>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</si>
  <si>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</si>
  <si>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</si>
  <si>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</si>
  <si>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</si>
  <si>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</si>
  <si>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</si>
  <si>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</si>
  <si>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</si>
  <si>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</si>
  <si>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</si>
  <si>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</si>
  <si>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</si>
  <si>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</si>
  <si>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</si>
  <si>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</si>
  <si>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</si>
  <si>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</si>
  <si>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</si>
  <si>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</si>
  <si>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</si>
  <si>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</si>
  <si>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</si>
  <si>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</si>
  <si>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</si>
  <si>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</si>
  <si>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</si>
  <si>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</si>
  <si>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</si>
  <si>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</si>
  <si>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</si>
  <si>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</si>
  <si>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</si>
  <si>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</si>
  <si>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</si>
  <si>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</si>
  <si>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</si>
  <si>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</si>
  <si>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</si>
  <si>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</si>
  <si>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</si>
  <si>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</si>
  <si>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</si>
  <si>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</si>
  <si>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</si>
  <si>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</si>
  <si>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</si>
  <si>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</si>
  <si>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</si>
  <si>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</si>
  <si>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</si>
  <si>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</si>
  <si>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</si>
  <si>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</si>
  <si>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</si>
  <si>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</si>
  <si>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</si>
  <si>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</si>
  <si>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</si>
  <si>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</si>
  <si>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</si>
  <si>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</si>
  <si>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</si>
  <si>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</si>
  <si>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</si>
  <si>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</si>
  <si>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</si>
  <si>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</si>
  <si>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</si>
  <si>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</si>
  <si>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</si>
  <si>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</si>
  <si>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</si>
  <si>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</si>
  <si>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</si>
  <si>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</si>
  <si>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</si>
  <si>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</si>
  <si>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</si>
  <si>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</si>
  <si>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</si>
  <si>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</si>
  <si>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</si>
  <si>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</si>
  <si>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</si>
  <si>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</si>
  <si>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</si>
  <si>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</si>
  <si>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</si>
  <si>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</si>
  <si>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</si>
  <si>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</si>
  <si>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</si>
  <si>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</si>
  <si>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</si>
  <si>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</si>
  <si>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</si>
  <si>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</si>
  <si>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</si>
  <si>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</si>
  <si>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</si>
  <si>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</si>
  <si>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</si>
  <si>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</si>
  <si>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</si>
  <si>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</si>
  <si>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</si>
  <si>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</si>
  <si>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</si>
  <si>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</si>
  <si>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</si>
  <si>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</si>
  <si>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</si>
  <si>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</si>
  <si>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</si>
  <si>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</si>
  <si>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</si>
  <si>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</si>
  <si>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</si>
  <si>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</si>
  <si>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</si>
  <si>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</si>
  <si>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</si>
  <si>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</si>
  <si>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</si>
  <si>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</si>
  <si>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</si>
  <si>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</si>
  <si>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</si>
  <si>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</si>
  <si>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</si>
  <si>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</si>
  <si>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</si>
  <si>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</si>
  <si>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</si>
  <si>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</si>
  <si>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</si>
  <si>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</si>
  <si>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</si>
  <si>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</si>
  <si>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</si>
  <si>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</si>
  <si>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</si>
  <si>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</si>
  <si>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</si>
  <si>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</si>
  <si>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</si>
  <si>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</si>
  <si>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</si>
  <si>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</si>
  <si>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</si>
  <si>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</si>
  <si>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</si>
  <si>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</si>
  <si>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</si>
  <si>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</si>
  <si>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</si>
  <si>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</si>
  <si>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</si>
  <si>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</si>
  <si>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</si>
  <si>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</si>
  <si>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</si>
  <si>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</si>
  <si>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</si>
  <si>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</si>
  <si>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</si>
  <si>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</si>
  <si>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</si>
  <si>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</si>
  <si>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</si>
  <si>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</si>
  <si>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</si>
  <si>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</si>
  <si>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</si>
  <si>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</si>
  <si>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</si>
  <si>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</si>
  <si>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</si>
  <si>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</si>
  <si>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</si>
  <si>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</si>
  <si>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</si>
  <si>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</si>
  <si>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</si>
  <si>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</si>
  <si>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</si>
  <si>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</si>
  <si>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</si>
  <si>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</si>
  <si>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</si>
  <si>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</si>
  <si>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</si>
  <si>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</si>
  <si>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</si>
  <si>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</si>
  <si>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</si>
  <si>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</si>
  <si>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</si>
  <si>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</si>
  <si>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</si>
  <si>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</si>
  <si>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</si>
  <si>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</si>
  <si>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</si>
  <si>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</si>
  <si>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</si>
  <si>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</si>
  <si>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</si>
  <si>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</si>
  <si>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</si>
  <si>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</si>
  <si>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</si>
  <si>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</si>
  <si>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</si>
  <si>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</si>
  <si>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</si>
  <si>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</si>
  <si>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</si>
  <si>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</si>
  <si>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</si>
  <si>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</si>
  <si>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</si>
  <si>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</si>
  <si>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</si>
  <si>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</si>
  <si>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</si>
  <si>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</si>
  <si>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</si>
  <si>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</si>
  <si>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</si>
  <si>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</si>
  <si>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</si>
  <si>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</si>
  <si>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</si>
  <si>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</si>
  <si>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</si>
  <si>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</si>
  <si>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</si>
  <si>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</si>
  <si>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</si>
  <si>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</si>
  <si>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</si>
  <si>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</si>
  <si>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</si>
  <si>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</si>
  <si>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</si>
  <si>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</si>
  <si>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</si>
  <si>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</si>
  <si>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</si>
  <si>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</si>
  <si>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</si>
  <si>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</si>
  <si>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</si>
  <si>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</si>
  <si>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</si>
  <si>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</si>
  <si>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</si>
  <si>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</si>
  <si>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</si>
  <si>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</si>
  <si>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</si>
  <si>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</si>
  <si>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</si>
  <si>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</si>
  <si>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</si>
  <si>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</si>
  <si>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</si>
  <si>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</si>
  <si>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</si>
  <si>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</si>
  <si>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</si>
  <si>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</si>
  <si>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</si>
  <si>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</si>
  <si>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</si>
  <si>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</si>
  <si>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</si>
  <si>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</si>
  <si>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</si>
  <si>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</si>
  <si>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</si>
  <si>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</si>
  <si>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</si>
  <si>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</si>
  <si>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</si>
  <si>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</si>
  <si>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</si>
  <si>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</si>
  <si>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</si>
  <si>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</si>
  <si>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</si>
  <si>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</si>
  <si>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</si>
  <si>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</si>
  <si>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</si>
  <si>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</si>
  <si>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</si>
  <si>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</si>
  <si>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</si>
  <si>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</si>
  <si>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</si>
  <si>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</si>
  <si>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</si>
  <si>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</si>
  <si>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</si>
  <si>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</si>
  <si>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</si>
  <si>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</si>
  <si>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</si>
  <si>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</si>
  <si>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</si>
  <si>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</si>
  <si>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</si>
  <si>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</si>
  <si>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</si>
  <si>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</si>
  <si>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</si>
  <si>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</si>
  <si>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</si>
  <si>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</si>
  <si>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</si>
  <si>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</si>
  <si>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</si>
  <si>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</si>
  <si>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</si>
  <si>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</si>
  <si>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</si>
  <si>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</si>
  <si>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</si>
  <si>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</si>
  <si>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</si>
  <si>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</si>
  <si>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</si>
  <si>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</si>
  <si>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</si>
  <si>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</si>
  <si>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</si>
  <si>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</si>
  <si>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</si>
  <si>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</si>
  <si>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</si>
  <si>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</si>
  <si>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</si>
  <si>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</si>
  <si>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</si>
  <si>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</si>
  <si>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</si>
  <si>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</si>
  <si>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</si>
  <si>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</si>
  <si>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</si>
  <si>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</si>
  <si>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</si>
  <si>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</si>
  <si>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</si>
  <si>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</si>
  <si>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</si>
  <si>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</si>
  <si>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</si>
  <si>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</si>
  <si>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</si>
  <si>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</si>
  <si>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</si>
  <si>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</si>
  <si>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</si>
  <si>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</si>
  <si>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</si>
  <si>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</si>
  <si>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</si>
  <si>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</si>
  <si>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</si>
  <si>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</si>
  <si>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</si>
  <si>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</si>
  <si>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</si>
  <si>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</si>
  <si>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</si>
  <si>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</si>
  <si>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</si>
  <si>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</si>
  <si>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</si>
  <si>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</si>
  <si>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</si>
  <si>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</si>
  <si>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</si>
  <si>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</si>
  <si>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</si>
  <si>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</si>
  <si>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</si>
  <si>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</si>
  <si>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</si>
  <si>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</si>
  <si>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</si>
  <si>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</si>
  <si>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</si>
  <si>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</si>
  <si>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</si>
  <si>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</si>
  <si>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</si>
  <si>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</si>
  <si>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</si>
  <si>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</si>
  <si>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</si>
  <si>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</si>
  <si>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</si>
  <si>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</si>
  <si>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</si>
  <si>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</si>
  <si>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</si>
  <si>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</si>
  <si>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</si>
  <si>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</si>
  <si>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</si>
  <si>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</si>
  <si>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</si>
  <si>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</si>
  <si>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</si>
  <si>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</si>
  <si>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</si>
  <si>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</si>
  <si>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</si>
  <si>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</si>
  <si>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</si>
  <si>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</si>
  <si>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</si>
  <si>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</si>
  <si>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</si>
  <si>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</si>
  <si>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</si>
  <si>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</si>
  <si>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</si>
  <si>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</si>
  <si>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</si>
  <si>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</si>
  <si>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</si>
  <si>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</si>
  <si>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</si>
  <si>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</si>
  <si>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</si>
  <si>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</si>
  <si>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</si>
  <si>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</si>
  <si>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</si>
  <si>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</si>
  <si>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</si>
  <si>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</si>
  <si>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</si>
  <si>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</si>
  <si>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</si>
  <si>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</si>
  <si>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</si>
  <si>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</si>
  <si>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</si>
  <si>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</si>
  <si>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</si>
  <si>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</si>
  <si>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</si>
  <si>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</si>
  <si>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</si>
  <si>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</si>
  <si>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</si>
  <si>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</si>
  <si>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</si>
  <si>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</si>
  <si>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</si>
  <si>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</si>
  <si>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</si>
  <si>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</si>
  <si>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</si>
  <si>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</si>
  <si>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</si>
  <si>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</si>
  <si>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</si>
  <si>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</si>
  <si>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</si>
  <si>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</si>
  <si>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</si>
  <si>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</si>
  <si>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</si>
  <si>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</si>
  <si>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</si>
  <si>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</si>
  <si>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</si>
  <si>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</si>
  <si>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</si>
  <si>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</si>
  <si>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</si>
  <si>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</si>
  <si>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</si>
  <si>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</si>
  <si>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</si>
  <si>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</si>
  <si>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</si>
  <si>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</si>
  <si>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</si>
  <si>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</si>
  <si>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</si>
  <si>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</si>
  <si>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</si>
  <si>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</si>
  <si>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</si>
  <si>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</si>
  <si>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</si>
  <si>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</si>
  <si>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</si>
  <si>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</si>
  <si>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</si>
  <si>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</si>
  <si>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</si>
  <si>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</si>
  <si>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</si>
  <si>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</si>
  <si>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</si>
  <si>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</si>
  <si>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</si>
  <si>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</si>
  <si>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</si>
  <si>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</si>
  <si>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</si>
  <si>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</si>
  <si>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</si>
  <si>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</si>
  <si>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</si>
  <si>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</si>
  <si>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</si>
  <si>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</si>
  <si>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</si>
  <si>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</si>
  <si>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</si>
  <si>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</si>
  <si>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</si>
  <si>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</si>
  <si>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</si>
  <si>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</si>
  <si>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</si>
  <si>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</si>
  <si>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</si>
  <si>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</si>
  <si>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</si>
  <si>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</si>
  <si>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</si>
  <si>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</si>
  <si>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</si>
  <si>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</si>
  <si>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</si>
  <si>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</si>
  <si>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</si>
  <si>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</si>
  <si>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</si>
  <si>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</si>
  <si>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</si>
  <si>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</si>
  <si>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</si>
  <si>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</si>
  <si>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</si>
  <si>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</si>
  <si>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</si>
  <si>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</si>
  <si>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</si>
  <si>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</si>
  <si>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</si>
  <si>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</si>
  <si>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</si>
  <si>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</si>
  <si>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</si>
  <si>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</si>
  <si>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</si>
  <si>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</si>
  <si>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</si>
  <si>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</si>
  <si>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</si>
  <si>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</si>
  <si>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</si>
  <si>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</si>
  <si>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</si>
  <si>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</si>
  <si>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</si>
  <si>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</si>
  <si>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</si>
  <si>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</si>
  <si>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</si>
  <si>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</si>
  <si>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</si>
  <si>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</si>
  <si>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</si>
  <si>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</si>
  <si>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</si>
  <si>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</si>
  <si>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</si>
  <si>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</si>
  <si>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</si>
  <si>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</si>
  <si>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</si>
  <si>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</si>
  <si>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</si>
  <si>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</si>
  <si>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</si>
  <si>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</si>
  <si>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</si>
  <si>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</si>
  <si>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</si>
  <si>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</si>
  <si>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</si>
  <si>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</si>
  <si>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</si>
  <si>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</si>
  <si>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</si>
  <si>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</si>
  <si>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</si>
  <si>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</si>
  <si>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</si>
  <si>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</si>
  <si>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</si>
  <si>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</si>
  <si>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</si>
  <si>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</si>
  <si>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</si>
  <si>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</si>
  <si>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</si>
  <si>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</si>
  <si>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</si>
  <si>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</si>
  <si>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</si>
  <si>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</si>
  <si>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</si>
  <si>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</si>
  <si>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</si>
  <si>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</si>
  <si>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</si>
  <si>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</si>
  <si>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</si>
  <si>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</si>
  <si>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</si>
  <si>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</si>
  <si>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</si>
  <si>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31040</t>
  </si>
  <si>
    <t>ZEDELGEM</t>
  </si>
  <si>
    <t>Paarden&amp;pony's 200 - 600 kg</t>
  </si>
  <si>
    <t>Paarden&amp;pony's &lt; 200 kg</t>
  </si>
  <si>
    <t>Fluvius</t>
  </si>
  <si>
    <t>referentietaak LNE (2017); Jaarverslag De Lijn</t>
  </si>
  <si>
    <t>De Rese Roger nv in vereffening</t>
  </si>
  <si>
    <t>Torhoutsesteenweg 237, 8200 Sint-Andries</t>
  </si>
  <si>
    <t>WKK-0153 Slachthuis De Rese</t>
  </si>
  <si>
    <t>interne verbrandingsmotor</t>
  </si>
  <si>
    <t>WKK interne verbrandinsgmotor (gas)</t>
  </si>
  <si>
    <t>Torhoutsesteenweg 237, 8210 Zedelgem</t>
  </si>
  <si>
    <t>IMEWO</t>
  </si>
  <si>
    <t>Alex Allemeersch</t>
  </si>
  <si>
    <t>Faliestraat 59 , 8210 Zedelgem</t>
  </si>
  <si>
    <t>WKK-0350 Alex Allemeersch</t>
  </si>
  <si>
    <t>Vandtra</t>
  </si>
  <si>
    <t>Faliestraat 40B, 8210 Zedelgem</t>
  </si>
  <si>
    <t>WKK-0036 Vandevelde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</si>
</sst>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31040</v>
      </c>
      <c r="B6" s="394"/>
      <c r="C6" s="395"/>
    </row>
    <row r="7" spans="1:7" s="392" customFormat="1" ht="15.75" customHeight="1">
      <c r="A7" s="396" t="str">
        <f>txtMunicipality</f>
        <v>ZEDELGEM</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0.19302121580405243</v>
      </c>
      <c r="C17" s="506">
        <f ca="1">'EF ele_warmte'!B22</f>
        <v>0.1921695904326213</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0.19302121580405243</v>
      </c>
      <c r="C29" s="507">
        <f ca="1">'EF ele_warmte'!B22</f>
        <v>0.1921695904326213</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8856</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3547</v>
      </c>
      <c r="C14" s="332"/>
      <c r="D14" s="332"/>
      <c r="E14" s="332"/>
      <c r="F14" s="332"/>
    </row>
    <row r="15" spans="1:6">
      <c r="A15" s="1299" t="s">
        <v>183</v>
      </c>
      <c r="B15" s="1300">
        <v>780</v>
      </c>
      <c r="C15" s="332"/>
      <c r="D15" s="332"/>
      <c r="E15" s="332"/>
      <c r="F15" s="332"/>
    </row>
    <row r="16" spans="1:6">
      <c r="A16" s="1299" t="s">
        <v>6</v>
      </c>
      <c r="B16" s="1300">
        <v>1350</v>
      </c>
      <c r="C16" s="332"/>
      <c r="D16" s="332"/>
      <c r="E16" s="332"/>
      <c r="F16" s="332"/>
    </row>
    <row r="17" spans="1:6">
      <c r="A17" s="1299" t="s">
        <v>7</v>
      </c>
      <c r="B17" s="1300">
        <v>1844</v>
      </c>
      <c r="C17" s="332"/>
      <c r="D17" s="332"/>
      <c r="E17" s="332"/>
      <c r="F17" s="332"/>
    </row>
    <row r="18" spans="1:6">
      <c r="A18" s="1299" t="s">
        <v>8</v>
      </c>
      <c r="B18" s="1300">
        <v>2369</v>
      </c>
      <c r="C18" s="332"/>
      <c r="D18" s="332"/>
      <c r="E18" s="332"/>
      <c r="F18" s="332"/>
    </row>
    <row r="19" spans="1:6">
      <c r="A19" s="1299" t="s">
        <v>9</v>
      </c>
      <c r="B19" s="1300">
        <v>2121</v>
      </c>
      <c r="C19" s="332"/>
      <c r="D19" s="332"/>
      <c r="E19" s="332"/>
      <c r="F19" s="332"/>
    </row>
    <row r="20" spans="1:6">
      <c r="A20" s="1299" t="s">
        <v>10</v>
      </c>
      <c r="B20" s="1300">
        <v>1670</v>
      </c>
      <c r="C20" s="332"/>
      <c r="D20" s="332"/>
      <c r="E20" s="332"/>
      <c r="F20" s="332"/>
    </row>
    <row r="21" spans="1:6">
      <c r="A21" s="1299" t="s">
        <v>11</v>
      </c>
      <c r="B21" s="1300">
        <v>15062</v>
      </c>
      <c r="C21" s="332"/>
      <c r="D21" s="332"/>
      <c r="E21" s="332"/>
      <c r="F21" s="332"/>
    </row>
    <row r="22" spans="1:6">
      <c r="A22" s="1299" t="s">
        <v>12</v>
      </c>
      <c r="B22" s="1300">
        <v>52402</v>
      </c>
      <c r="C22" s="332"/>
      <c r="D22" s="332"/>
      <c r="E22" s="332"/>
      <c r="F22" s="332"/>
    </row>
    <row r="23" spans="1:6">
      <c r="A23" s="1299" t="s">
        <v>13</v>
      </c>
      <c r="B23" s="1300">
        <v>1574</v>
      </c>
      <c r="C23" s="332"/>
      <c r="D23" s="332"/>
      <c r="E23" s="332"/>
      <c r="F23" s="332"/>
    </row>
    <row r="24" spans="1:6">
      <c r="A24" s="1299" t="s">
        <v>14</v>
      </c>
      <c r="B24" s="1300">
        <v>36</v>
      </c>
      <c r="C24" s="332"/>
      <c r="D24" s="332"/>
      <c r="E24" s="332"/>
      <c r="F24" s="332"/>
    </row>
    <row r="25" spans="1:6">
      <c r="A25" s="1299" t="s">
        <v>15</v>
      </c>
      <c r="B25" s="1300">
        <v>4003</v>
      </c>
      <c r="C25" s="332"/>
      <c r="D25" s="332"/>
      <c r="E25" s="332"/>
      <c r="F25" s="332"/>
    </row>
    <row r="26" spans="1:6">
      <c r="A26" s="1299" t="s">
        <v>16</v>
      </c>
      <c r="B26" s="1300">
        <v>390</v>
      </c>
      <c r="C26" s="332"/>
      <c r="D26" s="332"/>
      <c r="E26" s="332"/>
      <c r="F26" s="332"/>
    </row>
    <row r="27" spans="1:6">
      <c r="A27" s="1299" t="s">
        <v>17</v>
      </c>
      <c r="B27" s="1300">
        <v>1</v>
      </c>
      <c r="C27" s="332"/>
      <c r="D27" s="332"/>
      <c r="E27" s="332"/>
      <c r="F27" s="332"/>
    </row>
    <row r="28" spans="1:6" s="44" customFormat="1">
      <c r="A28" s="1301" t="s">
        <v>18</v>
      </c>
      <c r="B28" s="1302">
        <v>123157</v>
      </c>
      <c r="C28" s="338"/>
      <c r="D28" s="338"/>
      <c r="E28" s="338"/>
      <c r="F28" s="338"/>
    </row>
    <row r="29" spans="1:6">
      <c r="A29" s="1301" t="s">
        <v>950</v>
      </c>
      <c r="B29" s="1302">
        <v>217</v>
      </c>
      <c r="C29" s="338"/>
      <c r="D29" s="338"/>
      <c r="E29" s="338"/>
      <c r="F29" s="338"/>
    </row>
    <row r="30" spans="1:6">
      <c r="A30" s="1294" t="s">
        <v>951</v>
      </c>
      <c r="B30" s="1303">
        <v>48</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0</v>
      </c>
      <c r="D38" s="1300">
        <v>0</v>
      </c>
      <c r="E38" s="1300">
        <v>4</v>
      </c>
      <c r="F38" s="1300">
        <v>52370.1101064549</v>
      </c>
    </row>
    <row r="39" spans="1:6">
      <c r="A39" s="1299" t="s">
        <v>29</v>
      </c>
      <c r="B39" s="1299" t="s">
        <v>30</v>
      </c>
      <c r="C39" s="1300">
        <v>4938</v>
      </c>
      <c r="D39" s="1300">
        <v>87882964.655217707</v>
      </c>
      <c r="E39" s="1300">
        <v>8318</v>
      </c>
      <c r="F39" s="1300">
        <v>41241361.082761399</v>
      </c>
    </row>
    <row r="40" spans="1:6">
      <c r="A40" s="1299" t="s">
        <v>29</v>
      </c>
      <c r="B40" s="1299" t="s">
        <v>28</v>
      </c>
      <c r="C40" s="1300">
        <v>0</v>
      </c>
      <c r="D40" s="1300">
        <v>0</v>
      </c>
      <c r="E40" s="1300">
        <v>0</v>
      </c>
      <c r="F40" s="1300">
        <v>0</v>
      </c>
    </row>
    <row r="41" spans="1:6">
      <c r="A41" s="1299" t="s">
        <v>31</v>
      </c>
      <c r="B41" s="1299" t="s">
        <v>32</v>
      </c>
      <c r="C41" s="1300">
        <v>81</v>
      </c>
      <c r="D41" s="1300">
        <v>2162420.3300809301</v>
      </c>
      <c r="E41" s="1300">
        <v>246</v>
      </c>
      <c r="F41" s="1300">
        <v>3080215.5691340598</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18</v>
      </c>
      <c r="D44" s="1300">
        <v>69766094.744268805</v>
      </c>
      <c r="E44" s="1300">
        <v>58</v>
      </c>
      <c r="F44" s="1300">
        <v>7231260.0840937803</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7</v>
      </c>
      <c r="D47" s="1300">
        <v>296583.851492182</v>
      </c>
      <c r="E47" s="1300">
        <v>13</v>
      </c>
      <c r="F47" s="1300">
        <v>589465.58326381899</v>
      </c>
    </row>
    <row r="48" spans="1:6">
      <c r="A48" s="1299" t="s">
        <v>31</v>
      </c>
      <c r="B48" s="1299" t="s">
        <v>28</v>
      </c>
      <c r="C48" s="1300">
        <v>51</v>
      </c>
      <c r="D48" s="1300">
        <v>8283825.0074544102</v>
      </c>
      <c r="E48" s="1300">
        <v>60</v>
      </c>
      <c r="F48" s="1300">
        <v>12026418.0377873</v>
      </c>
    </row>
    <row r="49" spans="1:6">
      <c r="A49" s="1299" t="s">
        <v>31</v>
      </c>
      <c r="B49" s="1299" t="s">
        <v>39</v>
      </c>
      <c r="C49" s="1300">
        <v>0</v>
      </c>
      <c r="D49" s="1300">
        <v>0</v>
      </c>
      <c r="E49" s="1300">
        <v>3</v>
      </c>
      <c r="F49" s="1300">
        <v>21764.797247601</v>
      </c>
    </row>
    <row r="50" spans="1:6">
      <c r="A50" s="1299" t="s">
        <v>31</v>
      </c>
      <c r="B50" s="1299" t="s">
        <v>40</v>
      </c>
      <c r="C50" s="1300">
        <v>11</v>
      </c>
      <c r="D50" s="1300">
        <v>1305530.16629213</v>
      </c>
      <c r="E50" s="1300">
        <v>26</v>
      </c>
      <c r="F50" s="1300">
        <v>2846170.1865080502</v>
      </c>
    </row>
    <row r="51" spans="1:6">
      <c r="A51" s="1299" t="s">
        <v>41</v>
      </c>
      <c r="B51" s="1299" t="s">
        <v>42</v>
      </c>
      <c r="C51" s="1300">
        <v>3</v>
      </c>
      <c r="D51" s="1300">
        <v>47956041.143769503</v>
      </c>
      <c r="E51" s="1300">
        <v>146</v>
      </c>
      <c r="F51" s="1300">
        <v>4348723.7960125497</v>
      </c>
    </row>
    <row r="52" spans="1:6">
      <c r="A52" s="1299" t="s">
        <v>41</v>
      </c>
      <c r="B52" s="1299" t="s">
        <v>28</v>
      </c>
      <c r="C52" s="1300">
        <v>6</v>
      </c>
      <c r="D52" s="1300">
        <v>311884.817340223</v>
      </c>
      <c r="E52" s="1300">
        <v>11</v>
      </c>
      <c r="F52" s="1300">
        <v>151947.739267575</v>
      </c>
    </row>
    <row r="53" spans="1:6">
      <c r="A53" s="1299" t="s">
        <v>43</v>
      </c>
      <c r="B53" s="1299" t="s">
        <v>44</v>
      </c>
      <c r="C53" s="1300">
        <v>150</v>
      </c>
      <c r="D53" s="1300">
        <v>2820002.2318106601</v>
      </c>
      <c r="E53" s="1300">
        <v>304</v>
      </c>
      <c r="F53" s="1300">
        <v>1724624.2833739701</v>
      </c>
    </row>
    <row r="54" spans="1:6">
      <c r="A54" s="1299" t="s">
        <v>45</v>
      </c>
      <c r="B54" s="1299" t="s">
        <v>46</v>
      </c>
      <c r="C54" s="1300">
        <v>0</v>
      </c>
      <c r="D54" s="1300">
        <v>0</v>
      </c>
      <c r="E54" s="1300">
        <v>2</v>
      </c>
      <c r="F54" s="1300">
        <v>1962712</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57</v>
      </c>
      <c r="D57" s="1300">
        <v>7337223.7130607404</v>
      </c>
      <c r="E57" s="1300">
        <v>164</v>
      </c>
      <c r="F57" s="1300">
        <v>4012040.2300222302</v>
      </c>
    </row>
    <row r="58" spans="1:6">
      <c r="A58" s="1299" t="s">
        <v>48</v>
      </c>
      <c r="B58" s="1299" t="s">
        <v>50</v>
      </c>
      <c r="C58" s="1300">
        <v>17</v>
      </c>
      <c r="D58" s="1300">
        <v>781434.82620512799</v>
      </c>
      <c r="E58" s="1300">
        <v>35</v>
      </c>
      <c r="F58" s="1300">
        <v>337728.56139993097</v>
      </c>
    </row>
    <row r="59" spans="1:6">
      <c r="A59" s="1299" t="s">
        <v>48</v>
      </c>
      <c r="B59" s="1299" t="s">
        <v>51</v>
      </c>
      <c r="C59" s="1300">
        <v>79</v>
      </c>
      <c r="D59" s="1300">
        <v>4047593.8904775199</v>
      </c>
      <c r="E59" s="1300">
        <v>231</v>
      </c>
      <c r="F59" s="1300">
        <v>6999667.35055234</v>
      </c>
    </row>
    <row r="60" spans="1:6">
      <c r="A60" s="1299" t="s">
        <v>48</v>
      </c>
      <c r="B60" s="1299" t="s">
        <v>52</v>
      </c>
      <c r="C60" s="1300">
        <v>69</v>
      </c>
      <c r="D60" s="1300">
        <v>3375177.4941163901</v>
      </c>
      <c r="E60" s="1300">
        <v>91</v>
      </c>
      <c r="F60" s="1300">
        <v>2013852.6795952399</v>
      </c>
    </row>
    <row r="61" spans="1:6">
      <c r="A61" s="1299" t="s">
        <v>48</v>
      </c>
      <c r="B61" s="1299" t="s">
        <v>53</v>
      </c>
      <c r="C61" s="1300">
        <v>141</v>
      </c>
      <c r="D61" s="1300">
        <v>6630646.9239097796</v>
      </c>
      <c r="E61" s="1300">
        <v>275</v>
      </c>
      <c r="F61" s="1300">
        <v>4456995.5153626101</v>
      </c>
    </row>
    <row r="62" spans="1:6">
      <c r="A62" s="1299" t="s">
        <v>48</v>
      </c>
      <c r="B62" s="1299" t="s">
        <v>54</v>
      </c>
      <c r="C62" s="1300">
        <v>8</v>
      </c>
      <c r="D62" s="1300">
        <v>1134726.21959033</v>
      </c>
      <c r="E62" s="1300">
        <v>12</v>
      </c>
      <c r="F62" s="1300">
        <v>257127.65803591901</v>
      </c>
    </row>
    <row r="63" spans="1:6">
      <c r="A63" s="1299" t="s">
        <v>48</v>
      </c>
      <c r="B63" s="1299" t="s">
        <v>28</v>
      </c>
      <c r="C63" s="1300">
        <v>123</v>
      </c>
      <c r="D63" s="1300">
        <v>7551846.9680714104</v>
      </c>
      <c r="E63" s="1300">
        <v>161</v>
      </c>
      <c r="F63" s="1300">
        <v>4856320.9674990298</v>
      </c>
    </row>
    <row r="64" spans="1:6">
      <c r="A64" s="1299" t="s">
        <v>55</v>
      </c>
      <c r="B64" s="1299" t="s">
        <v>56</v>
      </c>
      <c r="C64" s="1300">
        <v>0</v>
      </c>
      <c r="D64" s="1300">
        <v>0</v>
      </c>
      <c r="E64" s="1300">
        <v>0</v>
      </c>
      <c r="F64" s="1300">
        <v>0</v>
      </c>
    </row>
    <row r="65" spans="1:6">
      <c r="A65" s="1299" t="s">
        <v>55</v>
      </c>
      <c r="B65" s="1299" t="s">
        <v>28</v>
      </c>
      <c r="C65" s="1300">
        <v>3</v>
      </c>
      <c r="D65" s="1300">
        <v>97422.039050002597</v>
      </c>
      <c r="E65" s="1300">
        <v>2</v>
      </c>
      <c r="F65" s="1300">
        <v>8610.2266917683992</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8</v>
      </c>
      <c r="D68" s="1303">
        <v>636290.38709024398</v>
      </c>
      <c r="E68" s="1303">
        <v>19</v>
      </c>
      <c r="F68" s="1303">
        <v>430606.31888547901</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80083376</v>
      </c>
      <c r="E73" s="455"/>
      <c r="F73" s="332"/>
    </row>
    <row r="74" spans="1:6">
      <c r="A74" s="1299" t="s">
        <v>63</v>
      </c>
      <c r="B74" s="1299" t="s">
        <v>768</v>
      </c>
      <c r="C74" s="1313" t="s">
        <v>762</v>
      </c>
      <c r="D74" s="1314">
        <v>9132962.2973144259</v>
      </c>
      <c r="E74" s="455"/>
      <c r="F74" s="332"/>
    </row>
    <row r="75" spans="1:6">
      <c r="A75" s="1299" t="s">
        <v>64</v>
      </c>
      <c r="B75" s="1299" t="s">
        <v>767</v>
      </c>
      <c r="C75" s="1313" t="s">
        <v>763</v>
      </c>
      <c r="D75" s="1314">
        <v>28399249</v>
      </c>
      <c r="E75" s="455"/>
      <c r="F75" s="332"/>
    </row>
    <row r="76" spans="1:6">
      <c r="A76" s="1299" t="s">
        <v>64</v>
      </c>
      <c r="B76" s="1299" t="s">
        <v>768</v>
      </c>
      <c r="C76" s="1313" t="s">
        <v>764</v>
      </c>
      <c r="D76" s="1314">
        <v>1107149.2973144257</v>
      </c>
      <c r="E76" s="455"/>
      <c r="F76" s="332"/>
    </row>
    <row r="77" spans="1:6">
      <c r="A77" s="1299" t="s">
        <v>65</v>
      </c>
      <c r="B77" s="1299" t="s">
        <v>767</v>
      </c>
      <c r="C77" s="1313" t="s">
        <v>765</v>
      </c>
      <c r="D77" s="1314">
        <v>101904928</v>
      </c>
      <c r="E77" s="455"/>
      <c r="F77" s="332"/>
    </row>
    <row r="78" spans="1:6">
      <c r="A78" s="1294" t="s">
        <v>65</v>
      </c>
      <c r="B78" s="1294" t="s">
        <v>768</v>
      </c>
      <c r="C78" s="1294" t="s">
        <v>766</v>
      </c>
      <c r="D78" s="1315">
        <v>15295501</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559841.40537114849</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2979.8416899012332</v>
      </c>
      <c r="C90" s="332"/>
      <c r="D90" s="332"/>
      <c r="E90" s="332"/>
      <c r="F90" s="332"/>
    </row>
    <row r="91" spans="1:6">
      <c r="A91" s="1299" t="s">
        <v>67</v>
      </c>
      <c r="B91" s="1300">
        <v>4636.7444186201938</v>
      </c>
      <c r="C91" s="332"/>
      <c r="D91" s="332"/>
      <c r="E91" s="332"/>
      <c r="F91" s="332"/>
    </row>
    <row r="92" spans="1:6">
      <c r="A92" s="1294" t="s">
        <v>68</v>
      </c>
      <c r="B92" s="1295">
        <v>3836.7348158357613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3156</v>
      </c>
      <c r="C97" s="332"/>
      <c r="D97" s="332"/>
      <c r="E97" s="332"/>
      <c r="F97" s="332"/>
    </row>
    <row r="98" spans="1:6">
      <c r="A98" s="1299" t="s">
        <v>71</v>
      </c>
      <c r="B98" s="1300">
        <v>0</v>
      </c>
      <c r="C98" s="332"/>
      <c r="D98" s="332"/>
      <c r="E98" s="332"/>
      <c r="F98" s="332"/>
    </row>
    <row r="99" spans="1:6">
      <c r="A99" s="1299" t="s">
        <v>72</v>
      </c>
      <c r="B99" s="1300">
        <v>227</v>
      </c>
      <c r="C99" s="332"/>
      <c r="D99" s="332"/>
      <c r="E99" s="332"/>
      <c r="F99" s="332"/>
    </row>
    <row r="100" spans="1:6">
      <c r="A100" s="1299" t="s">
        <v>73</v>
      </c>
      <c r="B100" s="1300">
        <v>950</v>
      </c>
      <c r="C100" s="332"/>
      <c r="D100" s="332"/>
      <c r="E100" s="332"/>
      <c r="F100" s="332"/>
    </row>
    <row r="101" spans="1:6">
      <c r="A101" s="1299" t="s">
        <v>74</v>
      </c>
      <c r="B101" s="1300">
        <v>226</v>
      </c>
      <c r="C101" s="332"/>
      <c r="D101" s="332"/>
      <c r="E101" s="332"/>
      <c r="F101" s="332"/>
    </row>
    <row r="102" spans="1:6">
      <c r="A102" s="1299" t="s">
        <v>75</v>
      </c>
      <c r="B102" s="1300">
        <v>152</v>
      </c>
      <c r="C102" s="332"/>
      <c r="D102" s="332"/>
      <c r="E102" s="332"/>
      <c r="F102" s="332"/>
    </row>
    <row r="103" spans="1:6">
      <c r="A103" s="1299" t="s">
        <v>76</v>
      </c>
      <c r="B103" s="1300">
        <v>284</v>
      </c>
      <c r="C103" s="332"/>
      <c r="D103" s="332"/>
      <c r="E103" s="332"/>
      <c r="F103" s="332"/>
    </row>
    <row r="104" spans="1:6">
      <c r="A104" s="1299" t="s">
        <v>77</v>
      </c>
      <c r="B104" s="1300">
        <v>3125</v>
      </c>
      <c r="C104" s="332"/>
      <c r="D104" s="332"/>
      <c r="E104" s="332"/>
      <c r="F104" s="332"/>
    </row>
    <row r="105" spans="1:6">
      <c r="A105" s="1294" t="s">
        <v>78</v>
      </c>
      <c r="B105" s="1303">
        <v>8</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9</v>
      </c>
      <c r="C123" s="1300">
        <v>7</v>
      </c>
      <c r="D123" s="332"/>
      <c r="E123" s="332"/>
      <c r="F123" s="332"/>
    </row>
    <row r="124" spans="1:6" s="44" customFormat="1">
      <c r="A124" s="1301" t="s">
        <v>88</v>
      </c>
      <c r="B124" s="1322">
        <v>0</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75</v>
      </c>
      <c r="C129" s="332"/>
      <c r="D129" s="332"/>
      <c r="E129" s="332"/>
      <c r="F129" s="332"/>
    </row>
    <row r="130" spans="1:6">
      <c r="A130" s="1299" t="s">
        <v>294</v>
      </c>
      <c r="B130" s="1300">
        <v>1</v>
      </c>
      <c r="C130" s="332"/>
      <c r="D130" s="332"/>
      <c r="E130" s="332"/>
      <c r="F130" s="332"/>
    </row>
    <row r="131" spans="1:6">
      <c r="A131" s="1299" t="s">
        <v>295</v>
      </c>
      <c r="B131" s="1300">
        <v>2</v>
      </c>
      <c r="C131" s="332"/>
      <c r="D131" s="332"/>
      <c r="E131" s="332"/>
      <c r="F131" s="332"/>
    </row>
    <row r="132" spans="1:6">
      <c r="A132" s="1294" t="s">
        <v>296</v>
      </c>
      <c r="B132" s="1295">
        <v>3</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105612.32514609025</v>
      </c>
      <c r="C3" s="44" t="s">
        <v>169</v>
      </c>
      <c r="D3" s="44"/>
      <c r="E3" s="157"/>
      <c r="F3" s="44"/>
      <c r="G3" s="44"/>
      <c r="H3" s="44"/>
      <c r="I3" s="44"/>
      <c r="J3" s="44"/>
      <c r="K3" s="97"/>
    </row>
    <row r="4" spans="1:11">
      <c r="A4" s="362" t="s">
        <v>170</v>
      </c>
      <c r="B4" s="50">
        <f>IF(ISERROR('SEAP template'!B78+'SEAP template'!C78),0,'SEAP template'!B78+'SEAP template'!C78)</f>
        <v>26150.320924357191</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2824.316470588235</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0.19302121580405243</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4034.7378151260509</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20995.71428571429</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0.1921695904326213</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1962.712</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1962.712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0.19302121580405243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378.84505651320336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41241.361082761403</v>
      </c>
      <c r="C5" s="18">
        <f>IF(ISERROR('Eigen informatie GS &amp; warmtenet'!B57),0,'Eigen informatie GS &amp; warmtenet'!B57)</f>
        <v>0</v>
      </c>
      <c r="D5" s="31">
        <f>(SUM(HH_hh_gas_kWh,HH_rest_gas_kWh)/1000)*0.902</f>
        <v>79270.434119006371</v>
      </c>
      <c r="E5" s="18">
        <f>B46*B57</f>
        <v>7804.0093668963254</v>
      </c>
      <c r="F5" s="18">
        <f>B51*B62</f>
        <v>32057.376440099837</v>
      </c>
      <c r="G5" s="19"/>
      <c r="H5" s="18"/>
      <c r="I5" s="18"/>
      <c r="J5" s="18">
        <f>B50*B61+C50*C61</f>
        <v>3362.4756897473526</v>
      </c>
      <c r="K5" s="18"/>
      <c r="L5" s="18"/>
      <c r="M5" s="18"/>
      <c r="N5" s="18">
        <f>B48*B59+C48*C59</f>
        <v>26405.223366166003</v>
      </c>
      <c r="O5" s="18">
        <f>B69*B70*B71</f>
        <v>128.19333333333336</v>
      </c>
      <c r="P5" s="18">
        <f>B77*B78*B79/1000-B77*B78*B79/1000/B80</f>
        <v>228.8</v>
      </c>
    </row>
    <row r="6" spans="1:16">
      <c r="A6" s="17" t="s">
        <v>638</v>
      </c>
      <c r="B6" s="776">
        <f>kWh_PV_kleiner_dan_10kW</f>
        <v>4636.7444186201938</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45878.105501381593</v>
      </c>
      <c r="C8" s="22">
        <f>C5</f>
        <v>0</v>
      </c>
      <c r="D8" s="22">
        <f>D5</f>
        <v>79270.434119006371</v>
      </c>
      <c r="E8" s="22">
        <f>E5</f>
        <v>7804.0093668963254</v>
      </c>
      <c r="F8" s="22">
        <f>F5</f>
        <v>32057.376440099837</v>
      </c>
      <c r="G8" s="22"/>
      <c r="H8" s="22"/>
      <c r="I8" s="22"/>
      <c r="J8" s="22">
        <f>J5</f>
        <v>3362.4756897473526</v>
      </c>
      <c r="K8" s="22"/>
      <c r="L8" s="22">
        <f>L5</f>
        <v>0</v>
      </c>
      <c r="M8" s="22">
        <f>M5</f>
        <v>0</v>
      </c>
      <c r="N8" s="22">
        <f>N5</f>
        <v>26405.223366166003</v>
      </c>
      <c r="O8" s="22">
        <f>O5</f>
        <v>128.19333333333336</v>
      </c>
      <c r="P8" s="22">
        <f>P5</f>
        <v>228.8</v>
      </c>
    </row>
    <row r="9" spans="1:16">
      <c r="B9" s="20"/>
      <c r="C9" s="20"/>
      <c r="D9" s="262"/>
      <c r="E9" s="20"/>
      <c r="F9" s="20"/>
      <c r="G9" s="20"/>
      <c r="H9" s="20"/>
      <c r="I9" s="20"/>
      <c r="J9" s="20"/>
      <c r="K9" s="20"/>
      <c r="L9" s="20"/>
      <c r="M9" s="20"/>
      <c r="N9" s="20"/>
      <c r="O9" s="20"/>
      <c r="P9" s="20"/>
    </row>
    <row r="10" spans="1:16">
      <c r="A10" s="25" t="s">
        <v>213</v>
      </c>
      <c r="B10" s="26">
        <f ca="1">'EF ele_warmte'!B12</f>
        <v>0.19302121580405243</v>
      </c>
      <c r="C10" s="26">
        <f ca="1">'EF ele_warmte'!B22</f>
        <v>0.1921695904326213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8855.4477026632612</v>
      </c>
      <c r="C12" s="24">
        <f ca="1">C10*C8</f>
        <v>0</v>
      </c>
      <c r="D12" s="24">
        <f>D8*D10</f>
        <v>16012.627692039288</v>
      </c>
      <c r="E12" s="24">
        <f>E10*E8</f>
        <v>1771.510126285466</v>
      </c>
      <c r="F12" s="24">
        <f>F10*F8</f>
        <v>8559.3195095066567</v>
      </c>
      <c r="G12" s="24"/>
      <c r="H12" s="24"/>
      <c r="I12" s="24"/>
      <c r="J12" s="24">
        <f>J10*J8</f>
        <v>1190.3163941705627</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3156</v>
      </c>
      <c r="C18" s="169" t="s">
        <v>110</v>
      </c>
      <c r="D18" s="231"/>
      <c r="E18" s="16"/>
    </row>
    <row r="19" spans="1:7">
      <c r="A19" s="174" t="s">
        <v>71</v>
      </c>
      <c r="B19" s="38">
        <f>aantalw2001_ander</f>
        <v>0</v>
      </c>
      <c r="C19" s="169" t="s">
        <v>110</v>
      </c>
      <c r="D19" s="232"/>
      <c r="E19" s="16"/>
    </row>
    <row r="20" spans="1:7">
      <c r="A20" s="174" t="s">
        <v>72</v>
      </c>
      <c r="B20" s="38">
        <f>aantalw2001_propaan</f>
        <v>227</v>
      </c>
      <c r="C20" s="170">
        <f>IF(ISERROR(B20/SUM($B$20,$B$21,$B$22)*100),0,B20/SUM($B$20,$B$21,$B$22)*100)</f>
        <v>16.179615110477549</v>
      </c>
      <c r="D20" s="232"/>
      <c r="E20" s="16"/>
    </row>
    <row r="21" spans="1:7">
      <c r="A21" s="174" t="s">
        <v>73</v>
      </c>
      <c r="B21" s="38">
        <f>aantalw2001_elektriciteit</f>
        <v>950</v>
      </c>
      <c r="C21" s="170">
        <f>IF(ISERROR(B21/SUM($B$20,$B$21,$B$22)*100),0,B21/SUM($B$20,$B$21,$B$22)*100)</f>
        <v>67.712045616536003</v>
      </c>
      <c r="D21" s="232"/>
      <c r="E21" s="16"/>
    </row>
    <row r="22" spans="1:7">
      <c r="A22" s="174" t="s">
        <v>74</v>
      </c>
      <c r="B22" s="38">
        <f>aantalw2001_hout</f>
        <v>226</v>
      </c>
      <c r="C22" s="170">
        <f>IF(ISERROR(B22/SUM($B$20,$B$21,$B$22)*100),0,B22/SUM($B$20,$B$21,$B$22)*100)</f>
        <v>16.108339272986459</v>
      </c>
      <c r="D22" s="232"/>
      <c r="E22" s="16"/>
    </row>
    <row r="23" spans="1:7">
      <c r="A23" s="174" t="s">
        <v>75</v>
      </c>
      <c r="B23" s="38">
        <f>aantalw2001_niet_gespec</f>
        <v>152</v>
      </c>
      <c r="C23" s="169" t="s">
        <v>110</v>
      </c>
      <c r="D23" s="231"/>
      <c r="E23" s="16"/>
    </row>
    <row r="24" spans="1:7">
      <c r="A24" s="174" t="s">
        <v>76</v>
      </c>
      <c r="B24" s="38">
        <f>aantalw2001_steenkool</f>
        <v>284</v>
      </c>
      <c r="C24" s="169" t="s">
        <v>110</v>
      </c>
      <c r="D24" s="232"/>
      <c r="E24" s="16"/>
    </row>
    <row r="25" spans="1:7">
      <c r="A25" s="174" t="s">
        <v>77</v>
      </c>
      <c r="B25" s="38">
        <f>aantalw2001_stookolie</f>
        <v>3125</v>
      </c>
      <c r="C25" s="169" t="s">
        <v>110</v>
      </c>
      <c r="D25" s="231"/>
      <c r="E25" s="53"/>
    </row>
    <row r="26" spans="1:7">
      <c r="A26" s="174" t="s">
        <v>78</v>
      </c>
      <c r="B26" s="38">
        <f>aantalw2001_WP</f>
        <v>8</v>
      </c>
      <c r="C26" s="169" t="s">
        <v>110</v>
      </c>
      <c r="D26" s="231"/>
      <c r="E26" s="16"/>
    </row>
    <row r="27" spans="1:7" s="16" customFormat="1">
      <c r="A27" s="174"/>
      <c r="B27" s="30"/>
      <c r="C27" s="37"/>
      <c r="D27" s="231"/>
    </row>
    <row r="28" spans="1:7" s="16" customFormat="1">
      <c r="A28" s="233" t="s">
        <v>663</v>
      </c>
      <c r="B28" s="38">
        <f>aantalHuishoudens</f>
        <v>8856</v>
      </c>
      <c r="C28" s="37"/>
      <c r="D28" s="231"/>
    </row>
    <row r="29" spans="1:7" s="16" customFormat="1">
      <c r="A29" s="233" t="s">
        <v>664</v>
      </c>
      <c r="B29" s="38">
        <f>SUM(HH_hh_gas_aantal,HH_rest_gas_aantal)</f>
        <v>4938</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4938</v>
      </c>
      <c r="C32" s="170">
        <f>IF(ISERROR(B32/SUM($B$32,$B$34,$B$35,$B$36,$B$38,$B$39)*100),0,B32/SUM($B$32,$B$34,$B$35,$B$36,$B$38,$B$39)*100)</f>
        <v>55.83446404341926</v>
      </c>
      <c r="D32" s="236"/>
      <c r="G32" s="16"/>
    </row>
    <row r="33" spans="1:7">
      <c r="A33" s="174" t="s">
        <v>71</v>
      </c>
      <c r="B33" s="35" t="s">
        <v>110</v>
      </c>
      <c r="C33" s="170"/>
      <c r="D33" s="236"/>
      <c r="G33" s="16"/>
    </row>
    <row r="34" spans="1:7">
      <c r="A34" s="174" t="s">
        <v>72</v>
      </c>
      <c r="B34" s="34">
        <f>IF((($B$28-$B$32-$B$39-$B$77-$B$38)*C20/100)&lt;0,0,($B$28-$B$32-$B$39-$B$77-$B$38)*C20/100)</f>
        <v>368.73342836778335</v>
      </c>
      <c r="C34" s="170">
        <f>IF(ISERROR(B34/SUM($B$32,$B$34,$B$35,$B$36,$B$38,$B$39)*100),0,B34/SUM($B$32,$B$34,$B$35,$B$36,$B$38,$B$39)*100)</f>
        <v>4.1693060647646236</v>
      </c>
      <c r="D34" s="236"/>
      <c r="G34" s="16"/>
    </row>
    <row r="35" spans="1:7">
      <c r="A35" s="174" t="s">
        <v>73</v>
      </c>
      <c r="B35" s="34">
        <f>IF((($B$28-$B$32-$B$39-$B$77-$B$38)*C21/100)&lt;0,0,($B$28-$B$32-$B$39-$B$77-$B$38)*C21/100)</f>
        <v>1543.1575196008555</v>
      </c>
      <c r="C35" s="170">
        <f>IF(ISERROR(B35/SUM($B$32,$B$34,$B$35,$B$36,$B$38,$B$39)*100),0,B35/SUM($B$32,$B$34,$B$35,$B$36,$B$38,$B$39)*100)</f>
        <v>17.448637715975298</v>
      </c>
      <c r="D35" s="236"/>
      <c r="G35" s="16"/>
    </row>
    <row r="36" spans="1:7">
      <c r="A36" s="174" t="s">
        <v>74</v>
      </c>
      <c r="B36" s="34">
        <f>IF((($B$28-$B$32-$B$39-$B$77-$B$38)*C22/100)&lt;0,0,($B$28-$B$32-$B$39-$B$77-$B$38)*C22/100)</f>
        <v>367.10905203136144</v>
      </c>
      <c r="C36" s="170">
        <f>IF(ISERROR(B36/SUM($B$32,$B$34,$B$35,$B$36,$B$38,$B$39)*100),0,B36/SUM($B$32,$B$34,$B$35,$B$36,$B$38,$B$39)*100)</f>
        <v>4.1509390776951767</v>
      </c>
      <c r="D36" s="236"/>
      <c r="G36" s="16"/>
    </row>
    <row r="37" spans="1:7">
      <c r="A37" s="174" t="s">
        <v>75</v>
      </c>
      <c r="B37" s="35" t="s">
        <v>110</v>
      </c>
      <c r="C37" s="170"/>
      <c r="D37" s="176"/>
      <c r="G37" s="16"/>
    </row>
    <row r="38" spans="1:7">
      <c r="A38" s="174" t="s">
        <v>76</v>
      </c>
      <c r="B38" s="34">
        <f>IF((B24-(B29-B18)*0.1)&lt;0,0,B24-(B29-B18)*0.1)</f>
        <v>105.79999999999998</v>
      </c>
      <c r="C38" s="170">
        <f>IF(ISERROR(B38/SUM($B$32,$B$34,$B$35,$B$36,$B$38,$B$39)*100),0,B38/SUM($B$32,$B$34,$B$35,$B$36,$B$38,$B$39)*100)</f>
        <v>1.1962912709181364</v>
      </c>
      <c r="D38" s="237"/>
      <c r="G38" s="16"/>
    </row>
    <row r="39" spans="1:7">
      <c r="A39" s="174" t="s">
        <v>77</v>
      </c>
      <c r="B39" s="34">
        <f>IF((B25-(B29-B18))&lt;0,0,B25-(B29-B18)*0.9)</f>
        <v>1521.2</v>
      </c>
      <c r="C39" s="170">
        <f>IF(ISERROR(B39/SUM($B$32,$B$34,$B$35,$B$36,$B$38,$B$39)*100),0,B39/SUM($B$32,$B$34,$B$35,$B$36,$B$38,$B$39)*100)</f>
        <v>17.2003618272275</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4938</v>
      </c>
      <c r="C44" s="35" t="s">
        <v>110</v>
      </c>
      <c r="D44" s="177"/>
    </row>
    <row r="45" spans="1:7">
      <c r="A45" s="174" t="s">
        <v>71</v>
      </c>
      <c r="B45" s="34" t="str">
        <f t="shared" si="0"/>
        <v>-</v>
      </c>
      <c r="C45" s="35" t="s">
        <v>110</v>
      </c>
      <c r="D45" s="177"/>
    </row>
    <row r="46" spans="1:7">
      <c r="A46" s="174" t="s">
        <v>72</v>
      </c>
      <c r="B46" s="34">
        <f t="shared" si="0"/>
        <v>368.73342836778335</v>
      </c>
      <c r="C46" s="35" t="s">
        <v>110</v>
      </c>
      <c r="D46" s="177"/>
    </row>
    <row r="47" spans="1:7">
      <c r="A47" s="174" t="s">
        <v>73</v>
      </c>
      <c r="B47" s="34">
        <f t="shared" si="0"/>
        <v>1543.1575196008555</v>
      </c>
      <c r="C47" s="35" t="s">
        <v>110</v>
      </c>
      <c r="D47" s="177"/>
    </row>
    <row r="48" spans="1:7">
      <c r="A48" s="174" t="s">
        <v>74</v>
      </c>
      <c r="B48" s="34">
        <f t="shared" si="0"/>
        <v>367.10905203136144</v>
      </c>
      <c r="C48" s="34">
        <f>B48*10</f>
        <v>3671.0905203136144</v>
      </c>
      <c r="D48" s="237"/>
    </row>
    <row r="49" spans="1:6">
      <c r="A49" s="174" t="s">
        <v>75</v>
      </c>
      <c r="B49" s="34" t="str">
        <f t="shared" si="0"/>
        <v>-</v>
      </c>
      <c r="C49" s="35" t="s">
        <v>110</v>
      </c>
      <c r="D49" s="237"/>
    </row>
    <row r="50" spans="1:6">
      <c r="A50" s="174" t="s">
        <v>76</v>
      </c>
      <c r="B50" s="34">
        <f t="shared" si="0"/>
        <v>105.79999999999998</v>
      </c>
      <c r="C50" s="34">
        <f>B50*2</f>
        <v>211.59999999999997</v>
      </c>
      <c r="D50" s="237"/>
    </row>
    <row r="51" spans="1:6">
      <c r="A51" s="174" t="s">
        <v>77</v>
      </c>
      <c r="B51" s="34">
        <f t="shared" si="0"/>
        <v>1521.2</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82</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12</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22933.7329624673</v>
      </c>
      <c r="C5" s="18">
        <f>IF(ISERROR('Eigen informatie GS &amp; warmtenet'!B58),0,'Eigen informatie GS &amp; warmtenet'!B58)</f>
        <v>0</v>
      </c>
      <c r="D5" s="31">
        <f>SUM(D6:D12)</f>
        <v>27834.502331959033</v>
      </c>
      <c r="E5" s="18">
        <f>SUM(E6:E12)</f>
        <v>224.78922529641358</v>
      </c>
      <c r="F5" s="18">
        <f>SUM(F6:F12)</f>
        <v>4769.2445298647835</v>
      </c>
      <c r="G5" s="19"/>
      <c r="H5" s="18"/>
      <c r="I5" s="18"/>
      <c r="J5" s="18">
        <f>SUM(J6:J12)</f>
        <v>0</v>
      </c>
      <c r="K5" s="18"/>
      <c r="L5" s="18"/>
      <c r="M5" s="18"/>
      <c r="N5" s="18">
        <f>SUM(N6:N12)</f>
        <v>2673.5004668727502</v>
      </c>
      <c r="O5" s="18">
        <f>B38*B39*B40</f>
        <v>1.5633333333333335</v>
      </c>
      <c r="P5" s="18">
        <f>B46*B47*B48/1000-B46*B47*B48/1000/B49</f>
        <v>38.133333333333333</v>
      </c>
      <c r="R5" s="33"/>
    </row>
    <row r="6" spans="1:18">
      <c r="A6" s="33" t="s">
        <v>53</v>
      </c>
      <c r="B6" s="38">
        <f>B26</f>
        <v>4456.9955153626097</v>
      </c>
      <c r="C6" s="34"/>
      <c r="D6" s="38">
        <f>IF(ISERROR(TER_kantoor_gas_kWh/1000),0,TER_kantoor_gas_kWh/1000)*0.902</f>
        <v>5980.8435253666212</v>
      </c>
      <c r="E6" s="34">
        <f>$C$26*'E Balans VL '!I12/100/3.6*1000000</f>
        <v>7.3148329660600151</v>
      </c>
      <c r="F6" s="34">
        <f>$C$26*('E Balans VL '!L12+'E Balans VL '!N12)/100/3.6*1000000</f>
        <v>525.37490385155195</v>
      </c>
      <c r="G6" s="35"/>
      <c r="H6" s="34"/>
      <c r="I6" s="34"/>
      <c r="J6" s="34">
        <f>$C$26*('E Balans VL '!D12+'E Balans VL '!E12)/100/3.6*1000000</f>
        <v>0</v>
      </c>
      <c r="K6" s="34"/>
      <c r="L6" s="34"/>
      <c r="M6" s="34"/>
      <c r="N6" s="34">
        <f>$C$26*'E Balans VL '!Y12/100/3.6*1000000</f>
        <v>0.90051483827738921</v>
      </c>
      <c r="O6" s="34"/>
      <c r="P6" s="34"/>
      <c r="R6" s="33"/>
    </row>
    <row r="7" spans="1:18">
      <c r="A7" s="33" t="s">
        <v>52</v>
      </c>
      <c r="B7" s="38">
        <f t="shared" ref="B7:B12" si="0">B27</f>
        <v>2013.85267959524</v>
      </c>
      <c r="C7" s="34"/>
      <c r="D7" s="38">
        <f>IF(ISERROR(TER_horeca_gas_kWh/1000),0,TER_horeca_gas_kWh/1000)*0.902</f>
        <v>3044.4100996929842</v>
      </c>
      <c r="E7" s="34">
        <f>$C$27*'E Balans VL '!I9/100/3.6*1000000</f>
        <v>104.50438152116244</v>
      </c>
      <c r="F7" s="34">
        <f>$C$27*('E Balans VL '!L9+'E Balans VL '!N9)/100/3.6*1000000</f>
        <v>459.56264274238032</v>
      </c>
      <c r="G7" s="35"/>
      <c r="H7" s="34"/>
      <c r="I7" s="34"/>
      <c r="J7" s="34">
        <f>$C$27*('E Balans VL '!D9+'E Balans VL '!E9)/100/3.6*1000000</f>
        <v>0</v>
      </c>
      <c r="K7" s="34"/>
      <c r="L7" s="34"/>
      <c r="M7" s="34"/>
      <c r="N7" s="34">
        <f>$C$27*'E Balans VL '!Y9/100/3.6*1000000</f>
        <v>0.21266192007700369</v>
      </c>
      <c r="O7" s="34"/>
      <c r="P7" s="34"/>
      <c r="R7" s="33"/>
    </row>
    <row r="8" spans="1:18">
      <c r="A8" s="6" t="s">
        <v>51</v>
      </c>
      <c r="B8" s="38">
        <f t="shared" si="0"/>
        <v>6999.6673505523404</v>
      </c>
      <c r="C8" s="34"/>
      <c r="D8" s="38">
        <f>IF(ISERROR(TER_handel_gas_kWh/1000),0,TER_handel_gas_kWh/1000)*0.902</f>
        <v>3650.9296892107232</v>
      </c>
      <c r="E8" s="34">
        <f>$C$28*'E Balans VL '!I13/100/3.6*1000000</f>
        <v>37.69406882751926</v>
      </c>
      <c r="F8" s="34">
        <f>$C$28*('E Balans VL '!L13+'E Balans VL '!N13)/100/3.6*1000000</f>
        <v>1427.4401841563692</v>
      </c>
      <c r="G8" s="35"/>
      <c r="H8" s="34"/>
      <c r="I8" s="34"/>
      <c r="J8" s="34">
        <f>$C$28*('E Balans VL '!D13+'E Balans VL '!E13)/100/3.6*1000000</f>
        <v>0</v>
      </c>
      <c r="K8" s="34"/>
      <c r="L8" s="34"/>
      <c r="M8" s="34"/>
      <c r="N8" s="34">
        <f>$C$28*'E Balans VL '!Y13/100/3.6*1000000</f>
        <v>34.805649315873502</v>
      </c>
      <c r="O8" s="34"/>
      <c r="P8" s="34"/>
      <c r="R8" s="33"/>
    </row>
    <row r="9" spans="1:18">
      <c r="A9" s="33" t="s">
        <v>50</v>
      </c>
      <c r="B9" s="38">
        <f t="shared" si="0"/>
        <v>337.72856139993098</v>
      </c>
      <c r="C9" s="34"/>
      <c r="D9" s="38">
        <f>IF(ISERROR(TER_gezond_gas_kWh/1000),0,TER_gezond_gas_kWh/1000)*0.902</f>
        <v>704.85421323702542</v>
      </c>
      <c r="E9" s="34">
        <f>$C$29*'E Balans VL '!I10/100/3.6*1000000</f>
        <v>0.33469284498063689</v>
      </c>
      <c r="F9" s="34">
        <f>$C$29*('E Balans VL '!L10+'E Balans VL '!N10)/100/3.6*1000000</f>
        <v>117.18207615345734</v>
      </c>
      <c r="G9" s="35"/>
      <c r="H9" s="34"/>
      <c r="I9" s="34"/>
      <c r="J9" s="34">
        <f>$C$29*('E Balans VL '!D10+'E Balans VL '!E10)/100/3.6*1000000</f>
        <v>0</v>
      </c>
      <c r="K9" s="34"/>
      <c r="L9" s="34"/>
      <c r="M9" s="34"/>
      <c r="N9" s="34">
        <f>$C$29*'E Balans VL '!Y10/100/3.6*1000000</f>
        <v>2.9101777562981992</v>
      </c>
      <c r="O9" s="34"/>
      <c r="P9" s="34"/>
      <c r="R9" s="33"/>
    </row>
    <row r="10" spans="1:18">
      <c r="A10" s="33" t="s">
        <v>49</v>
      </c>
      <c r="B10" s="38">
        <f t="shared" si="0"/>
        <v>4012.0402300222304</v>
      </c>
      <c r="C10" s="34"/>
      <c r="D10" s="38">
        <f>IF(ISERROR(TER_ander_gas_kWh/1000),0,TER_ander_gas_kWh/1000)*0.902</f>
        <v>6618.1757891807874</v>
      </c>
      <c r="E10" s="34">
        <f>$C$30*'E Balans VL '!I14/100/3.6*1000000</f>
        <v>32.822498830226124</v>
      </c>
      <c r="F10" s="34">
        <f>$C$30*('E Balans VL '!L14+'E Balans VL '!N14)/100/3.6*1000000</f>
        <v>1172.9572263358923</v>
      </c>
      <c r="G10" s="35"/>
      <c r="H10" s="34"/>
      <c r="I10" s="34"/>
      <c r="J10" s="34">
        <f>$C$30*('E Balans VL '!D14+'E Balans VL '!E14)/100/3.6*1000000</f>
        <v>0</v>
      </c>
      <c r="K10" s="34"/>
      <c r="L10" s="34"/>
      <c r="M10" s="34"/>
      <c r="N10" s="34">
        <f>$C$30*'E Balans VL '!Y14/100/3.6*1000000</f>
        <v>2314.4207885647393</v>
      </c>
      <c r="O10" s="34"/>
      <c r="P10" s="34"/>
      <c r="R10" s="33"/>
    </row>
    <row r="11" spans="1:18">
      <c r="A11" s="33" t="s">
        <v>54</v>
      </c>
      <c r="B11" s="38">
        <f t="shared" si="0"/>
        <v>257.12765803591901</v>
      </c>
      <c r="C11" s="34"/>
      <c r="D11" s="38">
        <f>IF(ISERROR(TER_onderwijs_gas_kWh/1000),0,TER_onderwijs_gas_kWh/1000)*0.902</f>
        <v>1023.5230500704777</v>
      </c>
      <c r="E11" s="34">
        <f>$C$31*'E Balans VL '!I11/100/3.6*1000000</f>
        <v>0.15848263912031038</v>
      </c>
      <c r="F11" s="34">
        <f>$C$31*('E Balans VL '!L11+'E Balans VL '!N11)/100/3.6*1000000</f>
        <v>99.409716694079847</v>
      </c>
      <c r="G11" s="35"/>
      <c r="H11" s="34"/>
      <c r="I11" s="34"/>
      <c r="J11" s="34">
        <f>$C$31*('E Balans VL '!D11+'E Balans VL '!E11)/100/3.6*1000000</f>
        <v>0</v>
      </c>
      <c r="K11" s="34"/>
      <c r="L11" s="34"/>
      <c r="M11" s="34"/>
      <c r="N11" s="34">
        <f>$C$31*'E Balans VL '!Y11/100/3.6*1000000</f>
        <v>0.83638117031021908</v>
      </c>
      <c r="O11" s="34"/>
      <c r="P11" s="34"/>
      <c r="R11" s="33"/>
    </row>
    <row r="12" spans="1:18">
      <c r="A12" s="33" t="s">
        <v>259</v>
      </c>
      <c r="B12" s="38">
        <f t="shared" si="0"/>
        <v>4856.3209674990294</v>
      </c>
      <c r="C12" s="34"/>
      <c r="D12" s="38">
        <f>IF(ISERROR(TER_rest_gas_kWh/1000),0,TER_rest_gas_kWh/1000)*0.902</f>
        <v>6811.7659652004122</v>
      </c>
      <c r="E12" s="34">
        <f>$C$32*'E Balans VL '!I8/100/3.6*1000000</f>
        <v>41.960267667344795</v>
      </c>
      <c r="F12" s="34">
        <f>$C$32*('E Balans VL '!L8+'E Balans VL '!N8)/100/3.6*1000000</f>
        <v>967.31777993105243</v>
      </c>
      <c r="G12" s="35"/>
      <c r="H12" s="34"/>
      <c r="I12" s="34"/>
      <c r="J12" s="34">
        <f>$C$32*('E Balans VL '!D8+'E Balans VL '!E8)/100/3.6*1000000</f>
        <v>0</v>
      </c>
      <c r="K12" s="34"/>
      <c r="L12" s="34"/>
      <c r="M12" s="34"/>
      <c r="N12" s="34">
        <f>$C$32*'E Balans VL '!Y8/100/3.6*1000000</f>
        <v>319.41429330717449</v>
      </c>
      <c r="O12" s="34"/>
      <c r="P12" s="34"/>
      <c r="R12" s="33"/>
    </row>
    <row r="13" spans="1:18">
      <c r="A13" s="17" t="s">
        <v>501</v>
      </c>
      <c r="B13" s="250">
        <f ca="1">'lokale energieproductie'!N40+'lokale energieproductie'!N33</f>
        <v>0</v>
      </c>
      <c r="C13" s="250">
        <f ca="1">'lokale energieproductie'!O40+'lokale energieproductie'!O33</f>
        <v>0</v>
      </c>
      <c r="D13" s="310">
        <f ca="1">('lokale energieproductie'!P33+'lokale energieproductie'!P40)*(-1)</f>
        <v>0</v>
      </c>
      <c r="E13" s="251"/>
      <c r="F13" s="310">
        <f ca="1">('lokale energieproductie'!S33+'lokale energieproductie'!S40)*(-1)</f>
        <v>0</v>
      </c>
      <c r="G13" s="252"/>
      <c r="H13" s="251"/>
      <c r="I13" s="251"/>
      <c r="J13" s="251"/>
      <c r="K13" s="251"/>
      <c r="L13" s="310">
        <f ca="1">('lokale energieproductie'!U33+'lokale energieproductie'!T33+'lokale energieproductie'!U40+'lokale energieproductie'!T40)*(-1)</f>
        <v>0</v>
      </c>
      <c r="M13" s="251"/>
      <c r="N13" s="310">
        <f ca="1">('lokale energieproductie'!Q33+'lokale energieproductie'!R33+'lokale energieproductie'!V33+'lokale energieproductie'!Q40+'lokale energieproductie'!R40+'lokale energieproductie'!V40)*(-1)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22933.7329624673</v>
      </c>
      <c r="C16" s="22">
        <f t="shared" ca="1" si="1"/>
        <v>0</v>
      </c>
      <c r="D16" s="22">
        <f t="shared" ca="1" si="1"/>
        <v>27834.502331959033</v>
      </c>
      <c r="E16" s="22">
        <f t="shared" si="1"/>
        <v>224.78922529641358</v>
      </c>
      <c r="F16" s="22">
        <f t="shared" ca="1" si="1"/>
        <v>4769.2445298647835</v>
      </c>
      <c r="G16" s="22">
        <f t="shared" si="1"/>
        <v>0</v>
      </c>
      <c r="H16" s="22">
        <f t="shared" si="1"/>
        <v>0</v>
      </c>
      <c r="I16" s="22">
        <f t="shared" si="1"/>
        <v>0</v>
      </c>
      <c r="J16" s="22">
        <f t="shared" si="1"/>
        <v>0</v>
      </c>
      <c r="K16" s="22">
        <f t="shared" si="1"/>
        <v>0</v>
      </c>
      <c r="L16" s="22">
        <f t="shared" ca="1" si="1"/>
        <v>0</v>
      </c>
      <c r="M16" s="22">
        <f t="shared" si="1"/>
        <v>0</v>
      </c>
      <c r="N16" s="22">
        <f t="shared" ca="1" si="1"/>
        <v>2673.5004668727502</v>
      </c>
      <c r="O16" s="22">
        <f>O5</f>
        <v>1.5633333333333335</v>
      </c>
      <c r="P16" s="22">
        <f>P5</f>
        <v>38.133333333333333</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0.19302121580405243</v>
      </c>
      <c r="C18" s="26">
        <f ca="1">'EF ele_warmte'!B22</f>
        <v>0.1921695904326213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4426.6970193409115</v>
      </c>
      <c r="C20" s="24">
        <f t="shared" ref="C20:P20" ca="1" si="2">C16*C18</f>
        <v>0</v>
      </c>
      <c r="D20" s="24">
        <f t="shared" ca="1" si="2"/>
        <v>5622.5694710557245</v>
      </c>
      <c r="E20" s="24">
        <f t="shared" si="2"/>
        <v>51.02715414228588</v>
      </c>
      <c r="F20" s="24">
        <f t="shared" ca="1" si="2"/>
        <v>1273.3882894738972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4456.9955153626097</v>
      </c>
      <c r="C26" s="40">
        <f>IF(ISERROR(B26*3.6/1000000/'E Balans VL '!Z12*100),0,B26*3.6/1000000/'E Balans VL '!Z12*100)</f>
        <v>9.4707958451609744E-2</v>
      </c>
      <c r="D26" s="240" t="s">
        <v>703</v>
      </c>
      <c r="F26" s="6"/>
    </row>
    <row r="27" spans="1:18">
      <c r="A27" s="234" t="s">
        <v>52</v>
      </c>
      <c r="B27" s="34">
        <f>IF(ISERROR(TER_horeca_ele_kWh/1000),0,TER_horeca_ele_kWh/1000)</f>
        <v>2013.85267959524</v>
      </c>
      <c r="C27" s="40">
        <f>IF(ISERROR(B27*3.6/1000000/'E Balans VL '!Z9*100),0,B27*3.6/1000000/'E Balans VL '!Z9*100)</f>
        <v>0.15850577893938164</v>
      </c>
      <c r="D27" s="240" t="s">
        <v>703</v>
      </c>
      <c r="F27" s="6"/>
    </row>
    <row r="28" spans="1:18">
      <c r="A28" s="174" t="s">
        <v>51</v>
      </c>
      <c r="B28" s="34">
        <f>IF(ISERROR(TER_handel_ele_kWh/1000),0,TER_handel_ele_kWh/1000)</f>
        <v>6999.6673505523404</v>
      </c>
      <c r="C28" s="40">
        <f>IF(ISERROR(B28*3.6/1000000/'E Balans VL '!Z13*100),0,B28*3.6/1000000/'E Balans VL '!Z13*100)</f>
        <v>0.19606442856304318</v>
      </c>
      <c r="D28" s="240" t="s">
        <v>703</v>
      </c>
      <c r="F28" s="6"/>
    </row>
    <row r="29" spans="1:18">
      <c r="A29" s="234" t="s">
        <v>50</v>
      </c>
      <c r="B29" s="34">
        <f>IF(ISERROR(TER_gezond_ele_kWh/1000),0,TER_gezond_ele_kWh/1000)</f>
        <v>337.72856139993098</v>
      </c>
      <c r="C29" s="40">
        <f>IF(ISERROR(B29*3.6/1000000/'E Balans VL '!Z10*100),0,B29*3.6/1000000/'E Balans VL '!Z10*100)</f>
        <v>4.3205695503445662E-2</v>
      </c>
      <c r="D29" s="240" t="s">
        <v>703</v>
      </c>
      <c r="F29" s="6"/>
    </row>
    <row r="30" spans="1:18">
      <c r="A30" s="234" t="s">
        <v>49</v>
      </c>
      <c r="B30" s="34">
        <f>IF(ISERROR(TER_ander_ele_kWh/1000),0,TER_ander_ele_kWh/1000)</f>
        <v>4012.0402300222304</v>
      </c>
      <c r="C30" s="40">
        <f>IF(ISERROR(B30*3.6/1000000/'E Balans VL '!Z14*100),0,B30*3.6/1000000/'E Balans VL '!Z14*100)</f>
        <v>0.30006680316413031</v>
      </c>
      <c r="D30" s="240" t="s">
        <v>703</v>
      </c>
      <c r="F30" s="6"/>
    </row>
    <row r="31" spans="1:18">
      <c r="A31" s="234" t="s">
        <v>54</v>
      </c>
      <c r="B31" s="34">
        <f>IF(ISERROR(TER_onderwijs_ele_kWh/1000),0,TER_onderwijs_ele_kWh/1000)</f>
        <v>257.12765803591901</v>
      </c>
      <c r="C31" s="40">
        <f>IF(ISERROR(B31*3.6/1000000/'E Balans VL '!Z11*100),0,B31*3.6/1000000/'E Balans VL '!Z11*100)</f>
        <v>5.4292838059735095E-2</v>
      </c>
      <c r="D31" s="240" t="s">
        <v>703</v>
      </c>
    </row>
    <row r="32" spans="1:18">
      <c r="A32" s="234" t="s">
        <v>259</v>
      </c>
      <c r="B32" s="34">
        <f>IF(ISERROR(TER_rest_ele_kWh/1000),0,TER_rest_ele_kWh/1000)</f>
        <v>4856.3209674990294</v>
      </c>
      <c r="C32" s="40">
        <f>IF(ISERROR(B32*3.6/1000000/'E Balans VL '!Z8*100),0,B32*3.6/1000000/'E Balans VL '!Z8*100)</f>
        <v>4.0006042218227227E-2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1</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2</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25795.29425803461</v>
      </c>
      <c r="C5" s="18">
        <f>IF(ISERROR('Eigen informatie GS &amp; warmtenet'!B59),0,'Eigen informatie GS &amp; warmtenet'!B59)</f>
        <v>0</v>
      </c>
      <c r="D5" s="31">
        <f>SUM(D6:D15)</f>
        <v>73796.637597828783</v>
      </c>
      <c r="E5" s="18">
        <f>SUM(E6:E15)</f>
        <v>239.82929688048847</v>
      </c>
      <c r="F5" s="18">
        <f>SUM(F6:F15)</f>
        <v>6186.6439906189025</v>
      </c>
      <c r="G5" s="19"/>
      <c r="H5" s="18"/>
      <c r="I5" s="18"/>
      <c r="J5" s="18">
        <f>SUM(J6:J15)</f>
        <v>179.3628332789437</v>
      </c>
      <c r="K5" s="18"/>
      <c r="L5" s="18"/>
      <c r="M5" s="18"/>
      <c r="N5" s="18">
        <f>SUM(N6:N15)</f>
        <v>886.68163228714923</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7231.2600840937803</v>
      </c>
      <c r="C8" s="34"/>
      <c r="D8" s="38">
        <f>IF( ISERROR(IND_metaal_Gas_kWH/1000),0,IND_metaal_Gas_kWH/1000)*0.902</f>
        <v>62929.017459330462</v>
      </c>
      <c r="E8" s="34">
        <f>C30*'E Balans VL '!I18/100/3.6*1000000</f>
        <v>65.853782423436783</v>
      </c>
      <c r="F8" s="34">
        <f>C30*'E Balans VL '!L18/100/3.6*1000000+C30*'E Balans VL '!N18/100/3.6*1000000</f>
        <v>953.74828995969403</v>
      </c>
      <c r="G8" s="35"/>
      <c r="H8" s="34"/>
      <c r="I8" s="34"/>
      <c r="J8" s="41">
        <f>C30*'E Balans VL '!D18/100/3.6*1000000+C30*'E Balans VL '!E18/100/3.6*1000000</f>
        <v>118.5821659675684</v>
      </c>
      <c r="K8" s="34"/>
      <c r="L8" s="34"/>
      <c r="M8" s="34"/>
      <c r="N8" s="34">
        <f>C30*'E Balans VL '!Y18/100/3.6*1000000</f>
        <v>24.85096829833072</v>
      </c>
      <c r="O8" s="34"/>
      <c r="P8" s="34"/>
      <c r="R8" s="33"/>
    </row>
    <row r="9" spans="1:18">
      <c r="A9" s="6" t="s">
        <v>32</v>
      </c>
      <c r="B9" s="38">
        <f t="shared" si="0"/>
        <v>3080.2155691340599</v>
      </c>
      <c r="C9" s="34"/>
      <c r="D9" s="38">
        <f>IF( ISERROR(IND_andere_gas_kWh/1000),0,IND_andere_gas_kWh/1000)*0.902</f>
        <v>1950.5031377329988</v>
      </c>
      <c r="E9" s="34">
        <f>C31*'E Balans VL '!I19/100/3.6*1000000</f>
        <v>17.804106289738876</v>
      </c>
      <c r="F9" s="34">
        <f>C31*'E Balans VL '!L19/100/3.6*1000000+C31*'E Balans VL '!N19/100/3.6*1000000</f>
        <v>2450.4596993542841</v>
      </c>
      <c r="G9" s="35"/>
      <c r="H9" s="34"/>
      <c r="I9" s="34"/>
      <c r="J9" s="41">
        <f>C31*'E Balans VL '!D19/100/3.6*1000000+C31*'E Balans VL '!E19/100/3.6*1000000</f>
        <v>0.29135417877461239</v>
      </c>
      <c r="K9" s="34"/>
      <c r="L9" s="34"/>
      <c r="M9" s="34"/>
      <c r="N9" s="34">
        <f>C31*'E Balans VL '!Y19/100/3.6*1000000</f>
        <v>233.37294321051047</v>
      </c>
      <c r="O9" s="34"/>
      <c r="P9" s="34"/>
      <c r="R9" s="33"/>
    </row>
    <row r="10" spans="1:18">
      <c r="A10" s="6" t="s">
        <v>40</v>
      </c>
      <c r="B10" s="38">
        <f t="shared" si="0"/>
        <v>2846.1701865080504</v>
      </c>
      <c r="C10" s="34"/>
      <c r="D10" s="38">
        <f>IF( ISERROR(IND_voed_gas_kWh/1000),0,IND_voed_gas_kWh/1000)*0.902</f>
        <v>1177.5882099955013</v>
      </c>
      <c r="E10" s="34">
        <f>C32*'E Balans VL '!I20/100/3.6*1000000</f>
        <v>27.985298945249461</v>
      </c>
      <c r="F10" s="34">
        <f>C32*'E Balans VL '!L20/100/3.6*1000000+C32*'E Balans VL '!N20/100/3.6*1000000</f>
        <v>316.10434925904144</v>
      </c>
      <c r="G10" s="35"/>
      <c r="H10" s="34"/>
      <c r="I10" s="34"/>
      <c r="J10" s="41">
        <f>C32*'E Balans VL '!D20/100/3.6*1000000+C32*'E Balans VL '!E20/100/3.6*1000000</f>
        <v>1.1218048788545263E-2</v>
      </c>
      <c r="K10" s="34"/>
      <c r="L10" s="34"/>
      <c r="M10" s="34"/>
      <c r="N10" s="34">
        <f>C32*'E Balans VL '!Y20/100/3.6*1000000</f>
        <v>42.145085564211598</v>
      </c>
      <c r="O10" s="34"/>
      <c r="P10" s="34"/>
      <c r="R10" s="33"/>
    </row>
    <row r="11" spans="1:18">
      <c r="A11" s="6" t="s">
        <v>39</v>
      </c>
      <c r="B11" s="38">
        <f t="shared" si="0"/>
        <v>21.764797247600999</v>
      </c>
      <c r="C11" s="34"/>
      <c r="D11" s="38">
        <f>IF( ISERROR(IND_textiel_gas_kWh/1000),0,IND_textiel_gas_kWh/1000)*0.902</f>
        <v>0</v>
      </c>
      <c r="E11" s="34">
        <f>C33*'E Balans VL '!I21/100/3.6*1000000</f>
        <v>4.2381114176002613E-2</v>
      </c>
      <c r="F11" s="34">
        <f>C33*'E Balans VL '!L21/100/3.6*1000000+C33*'E Balans VL '!N21/100/3.6*1000000</f>
        <v>0.7178744344860174</v>
      </c>
      <c r="G11" s="35"/>
      <c r="H11" s="34"/>
      <c r="I11" s="34"/>
      <c r="J11" s="41">
        <f>C33*'E Balans VL '!D21/100/3.6*1000000+C33*'E Balans VL '!E21/100/3.6*1000000</f>
        <v>0</v>
      </c>
      <c r="K11" s="34"/>
      <c r="L11" s="34"/>
      <c r="M11" s="34"/>
      <c r="N11" s="34">
        <f>C33*'E Balans VL '!Y21/100/3.6*1000000</f>
        <v>0.22575819273314579</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589.46558326381898</v>
      </c>
      <c r="C13" s="34"/>
      <c r="D13" s="38">
        <f>IF( ISERROR(IND_papier_gas_kWh/1000),0,IND_papier_gas_kWh/1000)*0.902</f>
        <v>267.5186340459482</v>
      </c>
      <c r="E13" s="34">
        <f>C35*'E Balans VL '!I23/100/3.6*1000000</f>
        <v>20.07805243580486</v>
      </c>
      <c r="F13" s="34">
        <f>C35*'E Balans VL '!L23/100/3.6*1000000+C35*'E Balans VL '!N23/100/3.6*1000000</f>
        <v>97.365879895738274</v>
      </c>
      <c r="G13" s="35"/>
      <c r="H13" s="34"/>
      <c r="I13" s="34"/>
      <c r="J13" s="41">
        <f>C35*'E Balans VL '!D23/100/3.6*1000000+C35*'E Balans VL '!E23/100/3.6*1000000</f>
        <v>0</v>
      </c>
      <c r="K13" s="34"/>
      <c r="L13" s="34"/>
      <c r="M13" s="34"/>
      <c r="N13" s="34">
        <f>C35*'E Balans VL '!Y23/100/3.6*1000000</f>
        <v>216.90752639959791</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12026.4180377873</v>
      </c>
      <c r="C15" s="34"/>
      <c r="D15" s="38">
        <f>IF( ISERROR(IND_rest_gas_kWh/1000),0,IND_rest_gas_kWh/1000)*0.902</f>
        <v>7472.010156723878</v>
      </c>
      <c r="E15" s="34">
        <f>C37*'E Balans VL '!I15/100/3.6*1000000</f>
        <v>108.06567567208251</v>
      </c>
      <c r="F15" s="34">
        <f>C37*'E Balans VL '!L15/100/3.6*1000000+C37*'E Balans VL '!N15/100/3.6*1000000</f>
        <v>2368.2478977156584</v>
      </c>
      <c r="G15" s="35"/>
      <c r="H15" s="34"/>
      <c r="I15" s="34"/>
      <c r="J15" s="41">
        <f>C37*'E Balans VL '!D15/100/3.6*1000000+C37*'E Balans VL '!E15/100/3.6*1000000</f>
        <v>60.478095083812129</v>
      </c>
      <c r="K15" s="34"/>
      <c r="L15" s="34"/>
      <c r="M15" s="34"/>
      <c r="N15" s="34">
        <f>C37*'E Balans VL '!Y15/100/3.6*1000000</f>
        <v>369.17935062176537</v>
      </c>
      <c r="O15" s="34"/>
      <c r="P15" s="34"/>
      <c r="R15" s="33"/>
    </row>
    <row r="16" spans="1:18">
      <c r="A16" s="17" t="s">
        <v>501</v>
      </c>
      <c r="B16" s="250">
        <f>'lokale energieproductie'!N39+'lokale energieproductie'!N32</f>
        <v>2812.5</v>
      </c>
      <c r="C16" s="250">
        <f>'lokale energieproductie'!O39+'lokale energieproductie'!O32</f>
        <v>4017.8571428571431</v>
      </c>
      <c r="D16" s="310">
        <f>('lokale energieproductie'!P32+'lokale energieproductie'!P39)*(-1)</f>
        <v>0</v>
      </c>
      <c r="E16" s="251"/>
      <c r="F16" s="310">
        <f>('lokale energieproductie'!S32+'lokale energieproductie'!S39)*(-1)</f>
        <v>0</v>
      </c>
      <c r="G16" s="252"/>
      <c r="H16" s="251"/>
      <c r="I16" s="251"/>
      <c r="J16" s="251"/>
      <c r="K16" s="251"/>
      <c r="L16" s="310">
        <f>('lokale energieproductie'!T32+'lokale energieproductie'!U32+'lokale energieproductie'!T39+'lokale energieproductie'!U39)*(-1)</f>
        <v>0</v>
      </c>
      <c r="M16" s="251"/>
      <c r="N16" s="310">
        <f>('lokale energieproductie'!Q32+'lokale energieproductie'!R32+'lokale energieproductie'!V32+'lokale energieproductie'!Q39+'lokale energieproductie'!R39+'lokale energieproductie'!V39)*(-1)</f>
        <v>-8035.7142857142862</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28607.79425803461</v>
      </c>
      <c r="C18" s="22">
        <f>C5+C16</f>
        <v>4017.8571428571431</v>
      </c>
      <c r="D18" s="22">
        <f>MAX((D5+D16),0)</f>
        <v>73796.637597828783</v>
      </c>
      <c r="E18" s="22">
        <f>MAX((E5+E16),0)</f>
        <v>239.82929688048847</v>
      </c>
      <c r="F18" s="22">
        <f>MAX((F5+F16),0)</f>
        <v>6186.6439906189025</v>
      </c>
      <c r="G18" s="22"/>
      <c r="H18" s="22"/>
      <c r="I18" s="22"/>
      <c r="J18" s="22">
        <f>MAX((J5+J16),0)</f>
        <v>179.3628332789437</v>
      </c>
      <c r="K18" s="22"/>
      <c r="L18" s="22">
        <f>MAX((L5+L16),0)</f>
        <v>0</v>
      </c>
      <c r="M18" s="22"/>
      <c r="N18" s="22">
        <f>MAX((N5+N16),0)</f>
        <v>0</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0.19302121580405243</v>
      </c>
      <c r="C20" s="26">
        <f ca="1">'EF ele_warmte'!B22</f>
        <v>0.1921695904326213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5521.9112291580304</v>
      </c>
      <c r="C22" s="24">
        <f ca="1">C18*C20</f>
        <v>772.10996155963926</v>
      </c>
      <c r="D22" s="24">
        <f>D18*D20</f>
        <v>14906.920794761416</v>
      </c>
      <c r="E22" s="24">
        <f>E18*E20</f>
        <v>54.441250391870888</v>
      </c>
      <c r="F22" s="24">
        <f>F18*F20</f>
        <v>1651.833945495247</v>
      </c>
      <c r="G22" s="24"/>
      <c r="H22" s="24"/>
      <c r="I22" s="24"/>
      <c r="J22" s="24">
        <f>J18*J20</f>
        <v>63.494442980746065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7231.2600840937803</v>
      </c>
      <c r="C30" s="40">
        <f>IF(ISERROR(B30*3.6/1000000/'E Balans VL '!Z18*100),0,B30*3.6/1000000/'E Balans VL '!Z18*100)</f>
        <v>0.40237126865851003</v>
      </c>
      <c r="D30" s="240" t="s">
        <v>703</v>
      </c>
    </row>
    <row r="31" spans="1:18">
      <c r="A31" s="6" t="s">
        <v>32</v>
      </c>
      <c r="B31" s="38">
        <f>IF( ISERROR(IND_ander_ele_kWh/1000),0,IND_ander_ele_kWh/1000)</f>
        <v>3080.2155691340599</v>
      </c>
      <c r="C31" s="40">
        <f>IF(ISERROR(B31*3.6/1000000/'E Balans VL '!Z19*100),0,B31*3.6/1000000/'E Balans VL '!Z19*100)</f>
        <v>0.14319113223052624</v>
      </c>
      <c r="D31" s="240" t="s">
        <v>703</v>
      </c>
    </row>
    <row r="32" spans="1:18">
      <c r="A32" s="174" t="s">
        <v>40</v>
      </c>
      <c r="B32" s="38">
        <f>IF( ISERROR(IND_voed_ele_kWh/1000),0,IND_voed_ele_kWh/1000)</f>
        <v>2846.1701865080504</v>
      </c>
      <c r="C32" s="40">
        <f>IF(ISERROR(B32*3.6/1000000/'E Balans VL '!Z20*100),0,B32*3.6/1000000/'E Balans VL '!Z20*100)</f>
        <v>0.10060636800893408</v>
      </c>
      <c r="D32" s="240" t="s">
        <v>703</v>
      </c>
    </row>
    <row r="33" spans="1:5">
      <c r="A33" s="174" t="s">
        <v>39</v>
      </c>
      <c r="B33" s="38">
        <f>IF( ISERROR(IND_textiel_ele_kWh/1000),0,IND_textiel_ele_kWh/1000)</f>
        <v>21.764797247600999</v>
      </c>
      <c r="C33" s="40">
        <f>IF(ISERROR(B33*3.6/1000000/'E Balans VL '!Z21*100),0,B33*3.6/1000000/'E Balans VL '!Z21*100)</f>
        <v>2.9396661259425069E-3</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589.46558326381898</v>
      </c>
      <c r="C35" s="40">
        <f>IF(ISERROR(B35*3.6/1000000/'E Balans VL '!Z22*100),0,B35*3.6/1000000/'E Balans VL '!Z22*100)</f>
        <v>0.1184659598681513</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12026.4180377873</v>
      </c>
      <c r="C37" s="40">
        <f>IF(ISERROR(B37*3.6/1000000/'E Balans VL '!Z15*100),0,B37*3.6/1000000/'E Balans VL '!Z15*100)</f>
        <v>9.0817221891176567E-2</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4500.6715352801239</v>
      </c>
      <c r="C5" s="18">
        <f>'Eigen informatie GS &amp; warmtenet'!B60</f>
        <v>0</v>
      </c>
      <c r="D5" s="31">
        <f>IF(ISERROR(SUM(LB_lb_gas_kWh,LB_rest_gas_kWh)/1000),0,SUM(LB_lb_gas_kWh,LB_rest_gas_kWh)/1000)*0.902</f>
        <v>43537.669216920978</v>
      </c>
      <c r="E5" s="18">
        <f>B17*'E Balans VL '!I25/3.6*1000000/100</f>
        <v>42.399341411186754</v>
      </c>
      <c r="F5" s="18">
        <f>B17*('E Balans VL '!L25/3.6*1000000+'E Balans VL '!N25/3.6*1000000)/100</f>
        <v>14687.184861325117</v>
      </c>
      <c r="G5" s="19"/>
      <c r="H5" s="18"/>
      <c r="I5" s="18"/>
      <c r="J5" s="18">
        <f>('E Balans VL '!D25+'E Balans VL '!E25)/3.6*1000000*landbouw!B17/100</f>
        <v>556.75496017629393</v>
      </c>
      <c r="K5" s="18"/>
      <c r="L5" s="18">
        <f>L6*(-1)</f>
        <v>0</v>
      </c>
      <c r="M5" s="18"/>
      <c r="N5" s="18">
        <f>N6*(-1)</f>
        <v>0</v>
      </c>
      <c r="O5" s="18"/>
      <c r="P5" s="18"/>
      <c r="R5" s="33"/>
    </row>
    <row r="6" spans="1:18">
      <c r="A6" s="17" t="s">
        <v>501</v>
      </c>
      <c r="B6" s="18" t="s">
        <v>210</v>
      </c>
      <c r="C6" s="18">
        <f>'lokale energieproductie'!O41+'lokale energieproductie'!O34</f>
        <v>16977.857142857145</v>
      </c>
      <c r="D6" s="310">
        <f>('lokale energieproductie'!P34+'lokale energieproductie'!P41)*(-1)</f>
        <v>-33955.71428571429</v>
      </c>
      <c r="E6" s="251"/>
      <c r="F6" s="310">
        <f>('lokale energieproductie'!S34+'lokale energieproductie'!S41)*(-1)</f>
        <v>0</v>
      </c>
      <c r="G6" s="252"/>
      <c r="H6" s="251"/>
      <c r="I6" s="251"/>
      <c r="J6" s="251"/>
      <c r="K6" s="251"/>
      <c r="L6" s="310">
        <f>('lokale energieproductie'!T34+'lokale energieproductie'!U34+'lokale energieproductie'!T41+'lokale energieproductie'!U41)*(-1)</f>
        <v>0</v>
      </c>
      <c r="M6" s="251"/>
      <c r="N6" s="310">
        <f>('lokale energieproductie'!V34+'lokale energieproductie'!R34+'lokale energieproductie'!Q34+'lokale energieproductie'!Q41+'lokale energieproductie'!R41+'lokale energieproductie'!V41)*(-1)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4500.6715352801239</v>
      </c>
      <c r="C8" s="22">
        <f>C5+C6</f>
        <v>16977.857142857145</v>
      </c>
      <c r="D8" s="22">
        <f>MAX((D5+D6),0)</f>
        <v>9581.9549312066883</v>
      </c>
      <c r="E8" s="22">
        <f>MAX((E5+E6),0)</f>
        <v>42.399341411186754</v>
      </c>
      <c r="F8" s="22">
        <f>MAX((F5+F6),0)</f>
        <v>14687.184861325117</v>
      </c>
      <c r="G8" s="22"/>
      <c r="H8" s="22"/>
      <c r="I8" s="22"/>
      <c r="J8" s="22">
        <f>MAX((J5+J6),0)</f>
        <v>556.75496017629393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0.19302121580405243</v>
      </c>
      <c r="C10" s="32">
        <f ca="1">'EF ele_warmte'!B22</f>
        <v>0.1921695904326213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868.72509167446071</v>
      </c>
      <c r="C12" s="24">
        <f ca="1">C8*C10</f>
        <v>3262.6278535664114</v>
      </c>
      <c r="D12" s="24">
        <f>D8*D10</f>
        <v>1935.5548961037512</v>
      </c>
      <c r="E12" s="24">
        <f>E8*E10</f>
        <v>9.6246505003393938</v>
      </c>
      <c r="F12" s="24">
        <f>F8*F10</f>
        <v>3921.4783579738064</v>
      </c>
      <c r="G12" s="24"/>
      <c r="H12" s="24"/>
      <c r="I12" s="24"/>
      <c r="J12" s="24">
        <f>J8*J10</f>
        <v>197.09125590240805</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0.60931900744480938</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739.7171661639984</v>
      </c>
      <c r="C26" s="250">
        <f>B26*'GWP N2O_CH4'!B5</f>
        <v>15534.060489443966</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427.03401968299863</v>
      </c>
      <c r="C27" s="250">
        <f>B27*'GWP N2O_CH4'!B5</f>
        <v>8967.714413342972</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11.85616649069477</v>
      </c>
      <c r="C28" s="250">
        <f>B28*'GWP N2O_CH4'!B4</f>
        <v>3675.4116121153788</v>
      </c>
      <c r="D28" s="51"/>
    </row>
    <row r="29" spans="1:4">
      <c r="A29" s="42" t="s">
        <v>276</v>
      </c>
      <c r="B29" s="250">
        <f>B34*'ha_N2O bodem landbouw'!B4</f>
        <v>19.562999137636236</v>
      </c>
      <c r="C29" s="250">
        <f>B29*'GWP N2O_CH4'!B4</f>
        <v>6064.5297326672335</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5.2813939187287724E-3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1.686457998958327E-5</v>
      </c>
      <c r="C5" s="443" t="s">
        <v>210</v>
      </c>
      <c r="D5" s="428">
        <f>SUM(D6:D11)</f>
        <v>3.7207162114261473E-5</v>
      </c>
      <c r="E5" s="428">
        <f>SUM(E6:E11)</f>
        <v>2.6366061639106161E-3</v>
      </c>
      <c r="F5" s="441" t="s">
        <v>210</v>
      </c>
      <c r="G5" s="428">
        <f>SUM(G6:G11)</f>
        <v>0.64020818577227789</v>
      </c>
      <c r="H5" s="428">
        <f>SUM(H6:H11)</f>
        <v>9.7284740263854655E-2</v>
      </c>
      <c r="I5" s="443" t="s">
        <v>210</v>
      </c>
      <c r="J5" s="443" t="s">
        <v>210</v>
      </c>
      <c r="K5" s="443" t="s">
        <v>210</v>
      </c>
      <c r="L5" s="443" t="s">
        <v>210</v>
      </c>
      <c r="M5" s="428">
        <f>SUM(M6:M11)</f>
        <v>3.2942644499895042E-2</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6.4194505859758395E-6</v>
      </c>
      <c r="C6" s="429"/>
      <c r="D6" s="429">
        <f>vkm_GW_PW*SUMIFS(TableVerdeelsleutelVkm[CNG],TableVerdeelsleutelVkm[Voertuigtype],"Lichte voertuigen")*SUMIFS(TableECFTransport[EnergieConsumptieFactor (PJ per km)],TableECFTransport[Index],CONCATENATE($A6,"_CNG_CNG"))</f>
        <v>1.2988235328214313E-5</v>
      </c>
      <c r="E6" s="431">
        <f>vkm_GW_PW*SUMIFS(TableVerdeelsleutelVkm[LPG],TableVerdeelsleutelVkm[Voertuigtype],"Lichte voertuigen")*SUMIFS(TableECFTransport[EnergieConsumptieFactor (PJ per km)],TableECFTransport[Index],CONCATENATE($A6,"_LPG_LPG"))</f>
        <v>8.385120685735465E-4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0.13389429456551069</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3.3551520172778813E-2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7.4945663024105144E-3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8.8459105290645865E-2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2.4195053487037326E-6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3.9361437149677677E-3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2.2764721561479101E-6</v>
      </c>
      <c r="C8" s="429"/>
      <c r="D8" s="431">
        <f>vkm_NGW_PW*SUMIFS(TableVerdeelsleutelVkm[CNG],TableVerdeelsleutelVkm[Voertuigtype],"Lichte voertuigen")*SUMIFS(TableECFTransport[EnergieConsumptieFactor (PJ per km)],TableECFTransport[Index],CONCATENATE($A8,"_CNG_CNG"))</f>
        <v>7.8175169724722432E-6</v>
      </c>
      <c r="E8" s="431">
        <f>vkm_NGW_PW*SUMIFS(TableVerdeelsleutelVkm[LPG],TableVerdeelsleutelVkm[Voertuigtype],"Lichte voertuigen")*SUMIFS(TableECFTransport[EnergieConsumptieFactor (PJ per km)],TableECFTransport[Index],CONCATENATE($A8,"_LPG_LPG"))</f>
        <v>4.7506068232676927E-4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7.2215289173347089E-2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1.9271733597935863E-2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4.0960231574394615E-3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1.3768506421090988E-2</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4.373336248968833E-7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6.1265672946565449E-4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8.1686572474595195E-6</v>
      </c>
      <c r="C10" s="429"/>
      <c r="D10" s="431">
        <f>vkm_SW_PW*SUMIFS(TableVerdeelsleutelVkm[CNG],TableVerdeelsleutelVkm[Voertuigtype],"Lichte voertuigen")*SUMIFS(TableECFTransport[EnergieConsumptieFactor (PJ per km)],TableECFTransport[Index],CONCATENATE($A10,"_CNG_CNG"))</f>
        <v>1.6401409813574915E-5</v>
      </c>
      <c r="E10" s="431">
        <f>vkm_SW_PW*SUMIFS(TableVerdeelsleutelVkm[LPG],TableVerdeelsleutelVkm[Voertuigtype],"Lichte voertuigen")*SUMIFS(TableECFTransport[EnergieConsumptieFactor (PJ per km)],TableECFTransport[Index],CONCATENATE($A10,"_LPG_LPG"))</f>
        <v>1.3230334130103004E-3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0.19312175631866685</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4.4454491421074244E-2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1.0629347293954452E-2</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0.13874923400301645</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4.1382330921243036E-6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6.1739073016571907E-3</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4.6846055526620196</v>
      </c>
      <c r="C14" s="22"/>
      <c r="D14" s="22">
        <f t="shared" ref="D14:M14" si="0">((D5)*10^9/3600)+D12</f>
        <v>10.335322809517077</v>
      </c>
      <c r="E14" s="22">
        <f t="shared" si="0"/>
        <v>732.39060108628223</v>
      </c>
      <c r="F14" s="22"/>
      <c r="G14" s="22">
        <f t="shared" si="0"/>
        <v>177835.6071589661</v>
      </c>
      <c r="H14" s="22">
        <f t="shared" si="0"/>
        <v>27023.538962181847</v>
      </c>
      <c r="I14" s="22"/>
      <c r="J14" s="22"/>
      <c r="K14" s="22"/>
      <c r="L14" s="22"/>
      <c r="M14" s="22">
        <f t="shared" si="0"/>
        <v>9150.7345833041782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0.19302121580405243</v>
      </c>
      <c r="C16" s="57">
        <f ca="1">'EF ele_warmte'!B22</f>
        <v>0.1921695904326213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0.90422825933723805</v>
      </c>
      <c r="C18" s="24"/>
      <c r="D18" s="24">
        <f t="shared" ref="D18:M18" si="1">D14*D16</f>
        <v>2.0877352075224498</v>
      </c>
      <c r="E18" s="24">
        <f t="shared" si="1"/>
        <v>166.25266644658606</v>
      </c>
      <c r="F18" s="24"/>
      <c r="G18" s="24">
        <f t="shared" si="1"/>
        <v>47482.107111443955</v>
      </c>
      <c r="H18" s="24">
        <f t="shared" si="1"/>
        <v>6728.8612015832796</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7.3350125307473776E-3</v>
      </c>
      <c r="H50" s="321">
        <f t="shared" si="2"/>
        <v>0</v>
      </c>
      <c r="I50" s="321">
        <f t="shared" si="2"/>
        <v>0</v>
      </c>
      <c r="J50" s="321">
        <f t="shared" si="2"/>
        <v>0</v>
      </c>
      <c r="K50" s="321">
        <f t="shared" si="2"/>
        <v>0</v>
      </c>
      <c r="L50" s="321">
        <f t="shared" si="2"/>
        <v>0</v>
      </c>
      <c r="M50" s="321">
        <f t="shared" si="2"/>
        <v>3.2183224194740366E-4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7.3350125307473776E-3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3.2183224194740366E-4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2037.5034807631603</v>
      </c>
      <c r="H54" s="22">
        <f t="shared" si="3"/>
        <v>0</v>
      </c>
      <c r="I54" s="22">
        <f t="shared" si="3"/>
        <v>0</v>
      </c>
      <c r="J54" s="22">
        <f t="shared" si="3"/>
        <v>0</v>
      </c>
      <c r="K54" s="22">
        <f t="shared" si="3"/>
        <v>0</v>
      </c>
      <c r="L54" s="22">
        <f t="shared" si="3"/>
        <v>0</v>
      </c>
      <c r="M54" s="22">
        <f t="shared" si="3"/>
        <v>89.397844985389895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0.19302121580405243</v>
      </c>
      <c r="C56" s="57">
        <f ca="1">'EF ele_warmte'!B22</f>
        <v>0.1921695904326213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544.01342936376386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24896.4449624673</v>
      </c>
      <c r="D10" s="684">
        <f ca="1">tertiair!C16</f>
        <v>0</v>
      </c>
      <c r="E10" s="684">
        <f ca="1">tertiair!D16</f>
        <v>27834.502331959033</v>
      </c>
      <c r="F10" s="684">
        <f>tertiair!E16</f>
        <v>224.78922529641358</v>
      </c>
      <c r="G10" s="684">
        <f ca="1">tertiair!F16</f>
        <v>4769.2445298647835</v>
      </c>
      <c r="H10" s="684">
        <f>tertiair!G16</f>
        <v>0</v>
      </c>
      <c r="I10" s="684">
        <f>tertiair!H16</f>
        <v>0</v>
      </c>
      <c r="J10" s="684">
        <f>tertiair!I16</f>
        <v>0</v>
      </c>
      <c r="K10" s="684">
        <f>tertiair!J16</f>
        <v>0</v>
      </c>
      <c r="L10" s="684">
        <f>tertiair!K16</f>
        <v>0</v>
      </c>
      <c r="M10" s="684">
        <f ca="1">tertiair!L16</f>
        <v>0</v>
      </c>
      <c r="N10" s="684">
        <f>tertiair!M16</f>
        <v>0</v>
      </c>
      <c r="O10" s="684">
        <f ca="1">tertiair!N16</f>
        <v>2673.5004668727502</v>
      </c>
      <c r="P10" s="684">
        <f>tertiair!O16</f>
        <v>1.5633333333333335</v>
      </c>
      <c r="Q10" s="685">
        <f>tertiair!P16</f>
        <v>38.133333333333333</v>
      </c>
      <c r="R10" s="687">
        <f ca="1">SUM(C10:Q10)</f>
        <v>60438.17818312694</v>
      </c>
      <c r="S10" s="68"/>
    </row>
    <row r="11" spans="1:19" s="453" customFormat="1">
      <c r="A11" s="799" t="s">
        <v>224</v>
      </c>
      <c r="B11" s="804"/>
      <c r="C11" s="684">
        <f>huishoudens!B8</f>
        <v>45878.105501381593</v>
      </c>
      <c r="D11" s="684">
        <f>huishoudens!C8</f>
        <v>0</v>
      </c>
      <c r="E11" s="684">
        <f>huishoudens!D8</f>
        <v>79270.434119006371</v>
      </c>
      <c r="F11" s="684">
        <f>huishoudens!E8</f>
        <v>7804.0093668963254</v>
      </c>
      <c r="G11" s="684">
        <f>huishoudens!F8</f>
        <v>32057.376440099837</v>
      </c>
      <c r="H11" s="684">
        <f>huishoudens!G8</f>
        <v>0</v>
      </c>
      <c r="I11" s="684">
        <f>huishoudens!H8</f>
        <v>0</v>
      </c>
      <c r="J11" s="684">
        <f>huishoudens!I8</f>
        <v>0</v>
      </c>
      <c r="K11" s="684">
        <f>huishoudens!J8</f>
        <v>3362.4756897473526</v>
      </c>
      <c r="L11" s="684">
        <f>huishoudens!K8</f>
        <v>0</v>
      </c>
      <c r="M11" s="684">
        <f>huishoudens!L8</f>
        <v>0</v>
      </c>
      <c r="N11" s="684">
        <f>huishoudens!M8</f>
        <v>0</v>
      </c>
      <c r="O11" s="684">
        <f>huishoudens!N8</f>
        <v>26405.223366166003</v>
      </c>
      <c r="P11" s="684">
        <f>huishoudens!O8</f>
        <v>128.19333333333336</v>
      </c>
      <c r="Q11" s="685">
        <f>huishoudens!P8</f>
        <v>228.8</v>
      </c>
      <c r="R11" s="687">
        <f>SUM(C11:Q11)</f>
        <v>195134.61781663081</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28607.79425803461</v>
      </c>
      <c r="D13" s="684">
        <f>industrie!C18</f>
        <v>4017.8571428571431</v>
      </c>
      <c r="E13" s="684">
        <f>industrie!D18</f>
        <v>73796.637597828783</v>
      </c>
      <c r="F13" s="684">
        <f>industrie!E18</f>
        <v>239.82929688048847</v>
      </c>
      <c r="G13" s="684">
        <f>industrie!F18</f>
        <v>6186.6439906189025</v>
      </c>
      <c r="H13" s="684">
        <f>industrie!G18</f>
        <v>0</v>
      </c>
      <c r="I13" s="684">
        <f>industrie!H18</f>
        <v>0</v>
      </c>
      <c r="J13" s="684">
        <f>industrie!I18</f>
        <v>0</v>
      </c>
      <c r="K13" s="684">
        <f>industrie!J18</f>
        <v>179.3628332789437</v>
      </c>
      <c r="L13" s="684">
        <f>industrie!K18</f>
        <v>0</v>
      </c>
      <c r="M13" s="684">
        <f>industrie!L18</f>
        <v>0</v>
      </c>
      <c r="N13" s="684">
        <f>industrie!M18</f>
        <v>0</v>
      </c>
      <c r="O13" s="684">
        <f>industrie!N18</f>
        <v>0</v>
      </c>
      <c r="P13" s="684">
        <f>industrie!O18</f>
        <v>0</v>
      </c>
      <c r="Q13" s="685">
        <f>industrie!P18</f>
        <v>0</v>
      </c>
      <c r="R13" s="687">
        <f>SUM(C13:Q13)</f>
        <v>113028.12511949886</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99382.344721883506</v>
      </c>
      <c r="D16" s="717">
        <f t="shared" ref="D16:R16" ca="1" si="0">SUM(D9:D15)</f>
        <v>4017.8571428571431</v>
      </c>
      <c r="E16" s="717">
        <f t="shared" ca="1" si="0"/>
        <v>180901.57404879419</v>
      </c>
      <c r="F16" s="717">
        <f t="shared" si="0"/>
        <v>8268.6278890732283</v>
      </c>
      <c r="G16" s="717">
        <f t="shared" ca="1" si="0"/>
        <v>43013.264960583525</v>
      </c>
      <c r="H16" s="717">
        <f t="shared" si="0"/>
        <v>0</v>
      </c>
      <c r="I16" s="717">
        <f t="shared" si="0"/>
        <v>0</v>
      </c>
      <c r="J16" s="717">
        <f t="shared" si="0"/>
        <v>0</v>
      </c>
      <c r="K16" s="717">
        <f t="shared" si="0"/>
        <v>3541.8385230262961</v>
      </c>
      <c r="L16" s="717">
        <f t="shared" si="0"/>
        <v>0</v>
      </c>
      <c r="M16" s="717">
        <f t="shared" ca="1" si="0"/>
        <v>0</v>
      </c>
      <c r="N16" s="717">
        <f t="shared" si="0"/>
        <v>0</v>
      </c>
      <c r="O16" s="717">
        <f t="shared" ca="1" si="0"/>
        <v>29078.723833038752</v>
      </c>
      <c r="P16" s="717">
        <f t="shared" si="0"/>
        <v>129.75666666666669</v>
      </c>
      <c r="Q16" s="717">
        <f t="shared" si="0"/>
        <v>266.93333333333334</v>
      </c>
      <c r="R16" s="717">
        <f t="shared" ca="1" si="0"/>
        <v>368600.92111925659</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2037.5034807631603</v>
      </c>
      <c r="I19" s="684">
        <f>transport!H54</f>
        <v>0</v>
      </c>
      <c r="J19" s="684">
        <f>transport!I54</f>
        <v>0</v>
      </c>
      <c r="K19" s="684">
        <f>transport!J54</f>
        <v>0</v>
      </c>
      <c r="L19" s="684">
        <f>transport!K54</f>
        <v>0</v>
      </c>
      <c r="M19" s="684">
        <f>transport!L54</f>
        <v>0</v>
      </c>
      <c r="N19" s="684">
        <f>transport!M54</f>
        <v>89.397844985389895</v>
      </c>
      <c r="O19" s="684">
        <f>transport!N54</f>
        <v>0</v>
      </c>
      <c r="P19" s="684">
        <f>transport!O54</f>
        <v>0</v>
      </c>
      <c r="Q19" s="685">
        <f>transport!P54</f>
        <v>0</v>
      </c>
      <c r="R19" s="687">
        <f>SUM(C19:Q19)</f>
        <v>2126.9013257485503</v>
      </c>
      <c r="S19" s="68"/>
    </row>
    <row r="20" spans="1:19" s="453" customFormat="1">
      <c r="A20" s="799" t="s">
        <v>306</v>
      </c>
      <c r="B20" s="804"/>
      <c r="C20" s="684">
        <f>transport!B14</f>
        <v>4.6846055526620196</v>
      </c>
      <c r="D20" s="684">
        <f>transport!C14</f>
        <v>0</v>
      </c>
      <c r="E20" s="684">
        <f>transport!D14</f>
        <v>10.335322809517077</v>
      </c>
      <c r="F20" s="684">
        <f>transport!E14</f>
        <v>732.39060108628223</v>
      </c>
      <c r="G20" s="684">
        <f>transport!F14</f>
        <v>0</v>
      </c>
      <c r="H20" s="684">
        <f>transport!G14</f>
        <v>177835.6071589661</v>
      </c>
      <c r="I20" s="684">
        <f>transport!H14</f>
        <v>27023.538962181847</v>
      </c>
      <c r="J20" s="684">
        <f>transport!I14</f>
        <v>0</v>
      </c>
      <c r="K20" s="684">
        <f>transport!J14</f>
        <v>0</v>
      </c>
      <c r="L20" s="684">
        <f>transport!K14</f>
        <v>0</v>
      </c>
      <c r="M20" s="684">
        <f>transport!L14</f>
        <v>0</v>
      </c>
      <c r="N20" s="684">
        <f>transport!M14</f>
        <v>9150.7345833041782</v>
      </c>
      <c r="O20" s="684">
        <f>transport!N14</f>
        <v>0</v>
      </c>
      <c r="P20" s="684">
        <f>transport!O14</f>
        <v>0</v>
      </c>
      <c r="Q20" s="685">
        <f>transport!P14</f>
        <v>0</v>
      </c>
      <c r="R20" s="687">
        <f>SUM(C20:Q20)</f>
        <v>214757.29123390056</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4.6846055526620196</v>
      </c>
      <c r="D22" s="802">
        <f t="shared" ref="D22:R22" si="1">SUM(D18:D21)</f>
        <v>0</v>
      </c>
      <c r="E22" s="802">
        <f t="shared" si="1"/>
        <v>10.335322809517077</v>
      </c>
      <c r="F22" s="802">
        <f t="shared" si="1"/>
        <v>732.39060108628223</v>
      </c>
      <c r="G22" s="802">
        <f t="shared" si="1"/>
        <v>0</v>
      </c>
      <c r="H22" s="802">
        <f t="shared" si="1"/>
        <v>179873.11063972928</v>
      </c>
      <c r="I22" s="802">
        <f t="shared" si="1"/>
        <v>27023.538962181847</v>
      </c>
      <c r="J22" s="802">
        <f t="shared" si="1"/>
        <v>0</v>
      </c>
      <c r="K22" s="802">
        <f t="shared" si="1"/>
        <v>0</v>
      </c>
      <c r="L22" s="802">
        <f t="shared" si="1"/>
        <v>0</v>
      </c>
      <c r="M22" s="802">
        <f t="shared" si="1"/>
        <v>0</v>
      </c>
      <c r="N22" s="802">
        <f t="shared" si="1"/>
        <v>9240.1324282895675</v>
      </c>
      <c r="O22" s="802">
        <f t="shared" si="1"/>
        <v>0</v>
      </c>
      <c r="P22" s="802">
        <f t="shared" si="1"/>
        <v>0</v>
      </c>
      <c r="Q22" s="802">
        <f t="shared" si="1"/>
        <v>0</v>
      </c>
      <c r="R22" s="802">
        <f t="shared" si="1"/>
        <v>216884.19255964912</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4500.6715352801239</v>
      </c>
      <c r="D24" s="684">
        <f>+landbouw!C8</f>
        <v>16977.857142857145</v>
      </c>
      <c r="E24" s="684">
        <f>+landbouw!D8</f>
        <v>9581.9549312066883</v>
      </c>
      <c r="F24" s="684">
        <f>+landbouw!E8</f>
        <v>42.399341411186754</v>
      </c>
      <c r="G24" s="684">
        <f>+landbouw!F8</f>
        <v>14687.184861325117</v>
      </c>
      <c r="H24" s="684">
        <f>+landbouw!G8</f>
        <v>0</v>
      </c>
      <c r="I24" s="684">
        <f>+landbouw!H8</f>
        <v>0</v>
      </c>
      <c r="J24" s="684">
        <f>+landbouw!I8</f>
        <v>0</v>
      </c>
      <c r="K24" s="684">
        <f>+landbouw!J8</f>
        <v>556.75496017629393</v>
      </c>
      <c r="L24" s="684">
        <f>+landbouw!K8</f>
        <v>0</v>
      </c>
      <c r="M24" s="684">
        <f>+landbouw!L8</f>
        <v>0</v>
      </c>
      <c r="N24" s="684">
        <f>+landbouw!M8</f>
        <v>0</v>
      </c>
      <c r="O24" s="684">
        <f>+landbouw!N8</f>
        <v>0</v>
      </c>
      <c r="P24" s="684">
        <f>+landbouw!O8</f>
        <v>0</v>
      </c>
      <c r="Q24" s="685">
        <f>+landbouw!P8</f>
        <v>0</v>
      </c>
      <c r="R24" s="687">
        <f>SUM(C24:Q24)</f>
        <v>46346.822772256557</v>
      </c>
      <c r="S24" s="68"/>
    </row>
    <row r="25" spans="1:19" s="453" customFormat="1" ht="15" thickBot="1">
      <c r="A25" s="821" t="s">
        <v>896</v>
      </c>
      <c r="B25" s="990"/>
      <c r="C25" s="991">
        <f>IF(Onbekend_ele_kWh="---",0,Onbekend_ele_kWh)/1000+IF(REST_rest_ele_kWh="---",0,REST_rest_ele_kWh)/1000</f>
        <v>1724.62428337397</v>
      </c>
      <c r="D25" s="991"/>
      <c r="E25" s="991">
        <f>IF(onbekend_gas_kWh="---",0,onbekend_gas_kWh)/1000+IF(REST_rest_gas_kWh="---",0,REST_rest_gas_kWh)/1000</f>
        <v>2820.0022318106603</v>
      </c>
      <c r="F25" s="991"/>
      <c r="G25" s="991"/>
      <c r="H25" s="991"/>
      <c r="I25" s="991"/>
      <c r="J25" s="991"/>
      <c r="K25" s="991"/>
      <c r="L25" s="991"/>
      <c r="M25" s="991"/>
      <c r="N25" s="991"/>
      <c r="O25" s="991"/>
      <c r="P25" s="991"/>
      <c r="Q25" s="992"/>
      <c r="R25" s="687">
        <f>SUM(C25:Q25)</f>
        <v>4544.6265151846301</v>
      </c>
      <c r="S25" s="68"/>
    </row>
    <row r="26" spans="1:19" s="453" customFormat="1" ht="15.75" thickBot="1">
      <c r="A26" s="690" t="s">
        <v>897</v>
      </c>
      <c r="B26" s="807"/>
      <c r="C26" s="802">
        <f>SUM(C24:C25)</f>
        <v>6225.2958186540936</v>
      </c>
      <c r="D26" s="802">
        <f t="shared" ref="D26:R26" si="2">SUM(D24:D25)</f>
        <v>16977.857142857145</v>
      </c>
      <c r="E26" s="802">
        <f t="shared" si="2"/>
        <v>12401.957163017349</v>
      </c>
      <c r="F26" s="802">
        <f t="shared" si="2"/>
        <v>42.399341411186754</v>
      </c>
      <c r="G26" s="802">
        <f t="shared" si="2"/>
        <v>14687.184861325117</v>
      </c>
      <c r="H26" s="802">
        <f t="shared" si="2"/>
        <v>0</v>
      </c>
      <c r="I26" s="802">
        <f t="shared" si="2"/>
        <v>0</v>
      </c>
      <c r="J26" s="802">
        <f t="shared" si="2"/>
        <v>0</v>
      </c>
      <c r="K26" s="802">
        <f t="shared" si="2"/>
        <v>556.75496017629393</v>
      </c>
      <c r="L26" s="802">
        <f t="shared" si="2"/>
        <v>0</v>
      </c>
      <c r="M26" s="802">
        <f t="shared" si="2"/>
        <v>0</v>
      </c>
      <c r="N26" s="802">
        <f t="shared" si="2"/>
        <v>0</v>
      </c>
      <c r="O26" s="802">
        <f t="shared" si="2"/>
        <v>0</v>
      </c>
      <c r="P26" s="802">
        <f t="shared" si="2"/>
        <v>0</v>
      </c>
      <c r="Q26" s="802">
        <f t="shared" si="2"/>
        <v>0</v>
      </c>
      <c r="R26" s="802">
        <f t="shared" si="2"/>
        <v>50891.449287441188</v>
      </c>
      <c r="S26" s="68"/>
    </row>
    <row r="27" spans="1:19" s="453" customFormat="1" ht="17.25" thickTop="1" thickBot="1">
      <c r="A27" s="691" t="s">
        <v>115</v>
      </c>
      <c r="B27" s="794"/>
      <c r="C27" s="692">
        <f ca="1">C22+C16+C26</f>
        <v>105612.32514609025</v>
      </c>
      <c r="D27" s="692">
        <f t="shared" ref="D27:R27" ca="1" si="3">D22+D16+D26</f>
        <v>20995.71428571429</v>
      </c>
      <c r="E27" s="692">
        <f t="shared" ca="1" si="3"/>
        <v>193313.86653462108</v>
      </c>
      <c r="F27" s="692">
        <f t="shared" si="3"/>
        <v>9043.4178315706977</v>
      </c>
      <c r="G27" s="692">
        <f t="shared" ca="1" si="3"/>
        <v>57700.449821908638</v>
      </c>
      <c r="H27" s="692">
        <f t="shared" si="3"/>
        <v>179873.11063972928</v>
      </c>
      <c r="I27" s="692">
        <f t="shared" si="3"/>
        <v>27023.538962181847</v>
      </c>
      <c r="J27" s="692">
        <f t="shared" si="3"/>
        <v>0</v>
      </c>
      <c r="K27" s="692">
        <f t="shared" si="3"/>
        <v>4098.5934832025905</v>
      </c>
      <c r="L27" s="692">
        <f t="shared" si="3"/>
        <v>0</v>
      </c>
      <c r="M27" s="692">
        <f t="shared" ca="1" si="3"/>
        <v>0</v>
      </c>
      <c r="N27" s="692">
        <f t="shared" si="3"/>
        <v>9240.1324282895675</v>
      </c>
      <c r="O27" s="692">
        <f t="shared" ca="1" si="3"/>
        <v>29078.723833038752</v>
      </c>
      <c r="P27" s="692">
        <f t="shared" si="3"/>
        <v>129.75666666666669</v>
      </c>
      <c r="Q27" s="692">
        <f t="shared" si="3"/>
        <v>266.93333333333334</v>
      </c>
      <c r="R27" s="692">
        <f t="shared" ca="1" si="3"/>
        <v>636376.56296634686</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4805.542075854115</v>
      </c>
      <c r="D40" s="684">
        <f ca="1">tertiair!C20</f>
        <v>0</v>
      </c>
      <c r="E40" s="684">
        <f ca="1">tertiair!D20</f>
        <v>5622.5694710557245</v>
      </c>
      <c r="F40" s="684">
        <f>tertiair!E20</f>
        <v>51.02715414228588</v>
      </c>
      <c r="G40" s="684">
        <f ca="1">tertiair!F20</f>
        <v>1273.3882894738972</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11752.526990526025</v>
      </c>
    </row>
    <row r="41" spans="1:18">
      <c r="A41" s="812" t="s">
        <v>224</v>
      </c>
      <c r="B41" s="819"/>
      <c r="C41" s="684">
        <f ca="1">huishoudens!B12</f>
        <v>8855.4477026632612</v>
      </c>
      <c r="D41" s="684">
        <f ca="1">huishoudens!C12</f>
        <v>0</v>
      </c>
      <c r="E41" s="684">
        <f>huishoudens!D12</f>
        <v>16012.627692039288</v>
      </c>
      <c r="F41" s="684">
        <f>huishoudens!E12</f>
        <v>1771.510126285466</v>
      </c>
      <c r="G41" s="684">
        <f>huishoudens!F12</f>
        <v>8559.3195095066567</v>
      </c>
      <c r="H41" s="684">
        <f>huishoudens!G12</f>
        <v>0</v>
      </c>
      <c r="I41" s="684">
        <f>huishoudens!H12</f>
        <v>0</v>
      </c>
      <c r="J41" s="684">
        <f>huishoudens!I12</f>
        <v>0</v>
      </c>
      <c r="K41" s="684">
        <f>huishoudens!J12</f>
        <v>1190.3163941705627</v>
      </c>
      <c r="L41" s="684">
        <f>huishoudens!K12</f>
        <v>0</v>
      </c>
      <c r="M41" s="684">
        <f>huishoudens!L12</f>
        <v>0</v>
      </c>
      <c r="N41" s="684">
        <f>huishoudens!M12</f>
        <v>0</v>
      </c>
      <c r="O41" s="684">
        <f>huishoudens!N12</f>
        <v>0</v>
      </c>
      <c r="P41" s="684">
        <f>huishoudens!O12</f>
        <v>0</v>
      </c>
      <c r="Q41" s="759">
        <f>huishoudens!P12</f>
        <v>0</v>
      </c>
      <c r="R41" s="840">
        <f t="shared" ca="1" si="4"/>
        <v>36389.221424665237</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5521.9112291580304</v>
      </c>
      <c r="D43" s="684">
        <f ca="1">industrie!C22</f>
        <v>772.10996155963926</v>
      </c>
      <c r="E43" s="684">
        <f>industrie!D22</f>
        <v>14906.920794761416</v>
      </c>
      <c r="F43" s="684">
        <f>industrie!E22</f>
        <v>54.441250391870888</v>
      </c>
      <c r="G43" s="684">
        <f>industrie!F22</f>
        <v>1651.833945495247</v>
      </c>
      <c r="H43" s="684">
        <f>industrie!G22</f>
        <v>0</v>
      </c>
      <c r="I43" s="684">
        <f>industrie!H22</f>
        <v>0</v>
      </c>
      <c r="J43" s="684">
        <f>industrie!I22</f>
        <v>0</v>
      </c>
      <c r="K43" s="684">
        <f>industrie!J22</f>
        <v>63.494442980746065</v>
      </c>
      <c r="L43" s="684">
        <f>industrie!K22</f>
        <v>0</v>
      </c>
      <c r="M43" s="684">
        <f>industrie!L22</f>
        <v>0</v>
      </c>
      <c r="N43" s="684">
        <f>industrie!M22</f>
        <v>0</v>
      </c>
      <c r="O43" s="684">
        <f>industrie!N22</f>
        <v>0</v>
      </c>
      <c r="P43" s="684">
        <f>industrie!O22</f>
        <v>0</v>
      </c>
      <c r="Q43" s="759">
        <f>industrie!P22</f>
        <v>0</v>
      </c>
      <c r="R43" s="839">
        <f t="shared" ca="1" si="4"/>
        <v>22970.711624346954</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19182.901007675406</v>
      </c>
      <c r="D46" s="717">
        <f t="shared" ref="D46:Q46" ca="1" si="5">SUM(D39:D45)</f>
        <v>772.10996155963926</v>
      </c>
      <c r="E46" s="717">
        <f t="shared" ca="1" si="5"/>
        <v>36542.117957856433</v>
      </c>
      <c r="F46" s="717">
        <f t="shared" si="5"/>
        <v>1876.9785308196226</v>
      </c>
      <c r="G46" s="717">
        <f t="shared" ca="1" si="5"/>
        <v>11484.541744475802</v>
      </c>
      <c r="H46" s="717">
        <f t="shared" si="5"/>
        <v>0</v>
      </c>
      <c r="I46" s="717">
        <f t="shared" si="5"/>
        <v>0</v>
      </c>
      <c r="J46" s="717">
        <f t="shared" si="5"/>
        <v>0</v>
      </c>
      <c r="K46" s="717">
        <f t="shared" si="5"/>
        <v>1253.8108371513088</v>
      </c>
      <c r="L46" s="717">
        <f t="shared" si="5"/>
        <v>0</v>
      </c>
      <c r="M46" s="717">
        <f t="shared" ca="1" si="5"/>
        <v>0</v>
      </c>
      <c r="N46" s="717">
        <f t="shared" si="5"/>
        <v>0</v>
      </c>
      <c r="O46" s="717">
        <f t="shared" ca="1" si="5"/>
        <v>0</v>
      </c>
      <c r="P46" s="717">
        <f t="shared" si="5"/>
        <v>0</v>
      </c>
      <c r="Q46" s="717">
        <f t="shared" si="5"/>
        <v>0</v>
      </c>
      <c r="R46" s="717">
        <f ca="1">SUM(R39:R45)</f>
        <v>71112.460039538215</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544.01342936376386</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544.01342936376386</v>
      </c>
    </row>
    <row r="50" spans="1:18">
      <c r="A50" s="815" t="s">
        <v>306</v>
      </c>
      <c r="B50" s="825"/>
      <c r="C50" s="997">
        <f ca="1">transport!B18</f>
        <v>0.90422825933723805</v>
      </c>
      <c r="D50" s="997">
        <f>transport!C18</f>
        <v>0</v>
      </c>
      <c r="E50" s="997">
        <f>transport!D18</f>
        <v>2.0877352075224498</v>
      </c>
      <c r="F50" s="997">
        <f>transport!E18</f>
        <v>166.25266644658606</v>
      </c>
      <c r="G50" s="997">
        <f>transport!F18</f>
        <v>0</v>
      </c>
      <c r="H50" s="997">
        <f>transport!G18</f>
        <v>47482.107111443955</v>
      </c>
      <c r="I50" s="997">
        <f>transport!H18</f>
        <v>6728.8612015832796</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54380.212942940678</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0.90422825933723805</v>
      </c>
      <c r="D52" s="717">
        <f t="shared" ref="D52:Q52" ca="1" si="6">SUM(D48:D51)</f>
        <v>0</v>
      </c>
      <c r="E52" s="717">
        <f t="shared" si="6"/>
        <v>2.0877352075224498</v>
      </c>
      <c r="F52" s="717">
        <f t="shared" si="6"/>
        <v>166.25266644658606</v>
      </c>
      <c r="G52" s="717">
        <f t="shared" si="6"/>
        <v>0</v>
      </c>
      <c r="H52" s="717">
        <f t="shared" si="6"/>
        <v>48026.120540807722</v>
      </c>
      <c r="I52" s="717">
        <f t="shared" si="6"/>
        <v>6728.8612015832796</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54924.226372304445</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868.72509167446071</v>
      </c>
      <c r="D54" s="997">
        <f ca="1">+landbouw!C12</f>
        <v>3262.6278535664114</v>
      </c>
      <c r="E54" s="997">
        <f>+landbouw!D12</f>
        <v>1935.5548961037512</v>
      </c>
      <c r="F54" s="997">
        <f>+landbouw!E12</f>
        <v>9.6246505003393938</v>
      </c>
      <c r="G54" s="997">
        <f>+landbouw!F12</f>
        <v>3921.4783579738064</v>
      </c>
      <c r="H54" s="997">
        <f>+landbouw!G12</f>
        <v>0</v>
      </c>
      <c r="I54" s="997">
        <f>+landbouw!H12</f>
        <v>0</v>
      </c>
      <c r="J54" s="997">
        <f>+landbouw!I12</f>
        <v>0</v>
      </c>
      <c r="K54" s="997">
        <f>+landbouw!J12</f>
        <v>197.09125590240805</v>
      </c>
      <c r="L54" s="997">
        <f>+landbouw!K12</f>
        <v>0</v>
      </c>
      <c r="M54" s="997">
        <f>+landbouw!L12</f>
        <v>0</v>
      </c>
      <c r="N54" s="997">
        <f>+landbouw!M12</f>
        <v>0</v>
      </c>
      <c r="O54" s="997">
        <f>+landbouw!N12</f>
        <v>0</v>
      </c>
      <c r="P54" s="997">
        <f>+landbouw!O12</f>
        <v>0</v>
      </c>
      <c r="Q54" s="998">
        <f>+landbouw!P12</f>
        <v>0</v>
      </c>
      <c r="R54" s="716">
        <f ca="1">SUM(C54:Q54)</f>
        <v>10195.102105721176</v>
      </c>
    </row>
    <row r="55" spans="1:18" ht="15" thickBot="1">
      <c r="A55" s="815" t="s">
        <v>896</v>
      </c>
      <c r="B55" s="825"/>
      <c r="C55" s="997">
        <f ca="1">C25*'EF ele_warmte'!B12</f>
        <v>332.88907598203633</v>
      </c>
      <c r="D55" s="997"/>
      <c r="E55" s="997">
        <f>E25*EF_CO2_aardgas</f>
        <v>569.64045082575342</v>
      </c>
      <c r="F55" s="997"/>
      <c r="G55" s="997"/>
      <c r="H55" s="997"/>
      <c r="I55" s="997"/>
      <c r="J55" s="997"/>
      <c r="K55" s="997"/>
      <c r="L55" s="997"/>
      <c r="M55" s="997"/>
      <c r="N55" s="997"/>
      <c r="O55" s="997"/>
      <c r="P55" s="997"/>
      <c r="Q55" s="998"/>
      <c r="R55" s="716">
        <f ca="1">SUM(C55:Q55)</f>
        <v>902.52952680778981</v>
      </c>
    </row>
    <row r="56" spans="1:18" ht="15.75" thickBot="1">
      <c r="A56" s="813" t="s">
        <v>897</v>
      </c>
      <c r="B56" s="826"/>
      <c r="C56" s="717">
        <f ca="1">SUM(C54:C55)</f>
        <v>1201.6141676564971</v>
      </c>
      <c r="D56" s="717">
        <f t="shared" ref="D56:Q56" ca="1" si="7">SUM(D54:D55)</f>
        <v>3262.6278535664114</v>
      </c>
      <c r="E56" s="717">
        <f t="shared" si="7"/>
        <v>2505.1953469295045</v>
      </c>
      <c r="F56" s="717">
        <f t="shared" si="7"/>
        <v>9.6246505003393938</v>
      </c>
      <c r="G56" s="717">
        <f t="shared" si="7"/>
        <v>3921.4783579738064</v>
      </c>
      <c r="H56" s="717">
        <f t="shared" si="7"/>
        <v>0</v>
      </c>
      <c r="I56" s="717">
        <f t="shared" si="7"/>
        <v>0</v>
      </c>
      <c r="J56" s="717">
        <f t="shared" si="7"/>
        <v>0</v>
      </c>
      <c r="K56" s="717">
        <f t="shared" si="7"/>
        <v>197.09125590240805</v>
      </c>
      <c r="L56" s="717">
        <f t="shared" si="7"/>
        <v>0</v>
      </c>
      <c r="M56" s="717">
        <f t="shared" si="7"/>
        <v>0</v>
      </c>
      <c r="N56" s="717">
        <f t="shared" si="7"/>
        <v>0</v>
      </c>
      <c r="O56" s="717">
        <f t="shared" si="7"/>
        <v>0</v>
      </c>
      <c r="P56" s="717">
        <f t="shared" si="7"/>
        <v>0</v>
      </c>
      <c r="Q56" s="718">
        <f t="shared" si="7"/>
        <v>0</v>
      </c>
      <c r="R56" s="719">
        <f ca="1">SUM(R54:R55)</f>
        <v>11097.631632528966</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20385.419403591241</v>
      </c>
      <c r="D61" s="725">
        <f t="shared" ref="D61:Q61" ca="1" si="8">D46+D52+D56</f>
        <v>4034.7378151260509</v>
      </c>
      <c r="E61" s="725">
        <f t="shared" ca="1" si="8"/>
        <v>39049.401039993463</v>
      </c>
      <c r="F61" s="725">
        <f t="shared" si="8"/>
        <v>2052.8558477665483</v>
      </c>
      <c r="G61" s="725">
        <f t="shared" ca="1" si="8"/>
        <v>15406.020102449609</v>
      </c>
      <c r="H61" s="725">
        <f t="shared" si="8"/>
        <v>48026.120540807722</v>
      </c>
      <c r="I61" s="725">
        <f t="shared" si="8"/>
        <v>6728.8612015832796</v>
      </c>
      <c r="J61" s="725">
        <f t="shared" si="8"/>
        <v>0</v>
      </c>
      <c r="K61" s="725">
        <f t="shared" si="8"/>
        <v>1450.9020930537167</v>
      </c>
      <c r="L61" s="725">
        <f t="shared" si="8"/>
        <v>0</v>
      </c>
      <c r="M61" s="725">
        <f t="shared" ca="1" si="8"/>
        <v>0</v>
      </c>
      <c r="N61" s="725">
        <f t="shared" si="8"/>
        <v>0</v>
      </c>
      <c r="O61" s="725">
        <f t="shared" ca="1" si="8"/>
        <v>0</v>
      </c>
      <c r="P61" s="725">
        <f t="shared" si="8"/>
        <v>0</v>
      </c>
      <c r="Q61" s="725">
        <f t="shared" si="8"/>
        <v>0</v>
      </c>
      <c r="R61" s="725">
        <f ca="1">R46+R52+R56</f>
        <v>137134.31804437161</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0.19302121580405243</v>
      </c>
      <c r="D63" s="769">
        <f t="shared" ca="1" si="9"/>
        <v>0.1921695904326213</v>
      </c>
      <c r="E63" s="999">
        <f t="shared" ca="1" si="9"/>
        <v>0.20200000000000004</v>
      </c>
      <c r="F63" s="769">
        <f t="shared" si="9"/>
        <v>0.22700000000000001</v>
      </c>
      <c r="G63" s="769">
        <f t="shared" ca="1" si="9"/>
        <v>0.26700000000000007</v>
      </c>
      <c r="H63" s="769">
        <f t="shared" si="9"/>
        <v>0.26700000000000002</v>
      </c>
      <c r="I63" s="769">
        <f t="shared" si="9"/>
        <v>0.249</v>
      </c>
      <c r="J63" s="769">
        <f t="shared" si="9"/>
        <v>0</v>
      </c>
      <c r="K63" s="769">
        <f t="shared" si="9"/>
        <v>0.35399999999999993</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2979.8416899012332</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8473.4792344559555</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2812.5</v>
      </c>
      <c r="C76" s="735">
        <f>'lokale energieproductie'!B8*IFERROR(SUM(D76:H76)/SUM(D76:O76),0)</f>
        <v>11884.5</v>
      </c>
      <c r="D76" s="1009">
        <f>'lokale energieproductie'!C8</f>
        <v>13981.764705882351</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3308.8235294117644</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2824.316470588235</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14265.820924357189</v>
      </c>
      <c r="C78" s="740">
        <f>SUM(C72:C77)</f>
        <v>11884.5</v>
      </c>
      <c r="D78" s="741">
        <f t="shared" ref="D78:H78" si="10">SUM(D76:D77)</f>
        <v>13981.764705882351</v>
      </c>
      <c r="E78" s="741">
        <f t="shared" si="10"/>
        <v>0</v>
      </c>
      <c r="F78" s="741">
        <f t="shared" si="10"/>
        <v>0</v>
      </c>
      <c r="G78" s="741">
        <f t="shared" si="10"/>
        <v>0</v>
      </c>
      <c r="H78" s="741">
        <f t="shared" si="10"/>
        <v>0</v>
      </c>
      <c r="I78" s="741">
        <f>SUM(I76:I77)</f>
        <v>0</v>
      </c>
      <c r="J78" s="741">
        <f>SUM(J76:J77)</f>
        <v>3308.8235294117644</v>
      </c>
      <c r="K78" s="741">
        <f t="shared" ref="K78:L78" si="11">SUM(K76:K77)</f>
        <v>0</v>
      </c>
      <c r="L78" s="741">
        <f t="shared" si="11"/>
        <v>0</v>
      </c>
      <c r="M78" s="741">
        <f>SUM(M76:M77)</f>
        <v>0</v>
      </c>
      <c r="N78" s="741">
        <f>SUM(N76:N77)</f>
        <v>0</v>
      </c>
      <c r="O78" s="850">
        <f>SUM(O76:O77)</f>
        <v>0</v>
      </c>
      <c r="P78" s="742">
        <v>0</v>
      </c>
      <c r="Q78" s="742">
        <f>SUM(Q76:Q77)</f>
        <v>2824.316470588235</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4017.8571428571422</v>
      </c>
      <c r="C87" s="751">
        <f>'lokale energieproductie'!B17*IFERROR(SUM(D87:H87)/SUM(D87:O87),0)</f>
        <v>16977.857142857145</v>
      </c>
      <c r="D87" s="762">
        <f>'lokale energieproductie'!C17</f>
        <v>19973.949579831933</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4726.8907563025205</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4034.7378151260509</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4017.8571428571422</v>
      </c>
      <c r="C90" s="740">
        <f>SUM(C87:C89)</f>
        <v>16977.857142857145</v>
      </c>
      <c r="D90" s="740">
        <f t="shared" ref="D90:H90" si="12">SUM(D87:D89)</f>
        <v>19973.949579831933</v>
      </c>
      <c r="E90" s="740">
        <f t="shared" si="12"/>
        <v>0</v>
      </c>
      <c r="F90" s="740">
        <f t="shared" si="12"/>
        <v>0</v>
      </c>
      <c r="G90" s="740">
        <f t="shared" si="12"/>
        <v>0</v>
      </c>
      <c r="H90" s="740">
        <f t="shared" si="12"/>
        <v>0</v>
      </c>
      <c r="I90" s="740">
        <f>SUM(I87:I89)</f>
        <v>0</v>
      </c>
      <c r="J90" s="740">
        <f>SUM(J87:J89)</f>
        <v>4726.8907563025205</v>
      </c>
      <c r="K90" s="740">
        <f t="shared" ref="K90:L90" si="13">SUM(K87:K89)</f>
        <v>0</v>
      </c>
      <c r="L90" s="740">
        <f t="shared" si="13"/>
        <v>0</v>
      </c>
      <c r="M90" s="740">
        <f>SUM(M87:M89)</f>
        <v>0</v>
      </c>
      <c r="N90" s="740">
        <f>SUM(N87:N89)</f>
        <v>0</v>
      </c>
      <c r="O90" s="740">
        <f>SUM(O87:O89)</f>
        <v>0</v>
      </c>
      <c r="P90" s="740">
        <v>0</v>
      </c>
      <c r="Q90" s="740">
        <f>SUM(Q87:Q89)</f>
        <v>4034.7378151260509</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B297" zoomScale="65" zoomScaleNormal="65" workbookViewId="0">
      <selection activeCell="M30" sqref="M30"/>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2979.8416899012332</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8473.4792344559555</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N31</f>
        <v>14697</v>
      </c>
      <c r="C8" s="554">
        <f>B50</f>
        <v>13981.764705882351</v>
      </c>
      <c r="D8" s="980"/>
      <c r="E8" s="980">
        <f>E50</f>
        <v>0</v>
      </c>
      <c r="F8" s="981"/>
      <c r="G8" s="555"/>
      <c r="H8" s="980">
        <f>I50</f>
        <v>0</v>
      </c>
      <c r="I8" s="980">
        <f>G50+F50</f>
        <v>0</v>
      </c>
      <c r="J8" s="980">
        <f>H50+D50+C50</f>
        <v>3308.8235294117644</v>
      </c>
      <c r="K8" s="980"/>
      <c r="L8" s="980"/>
      <c r="M8" s="980"/>
      <c r="N8" s="556"/>
      <c r="O8" s="557">
        <f>C8*$C$12+D8*$D$12+E8*$E$12+F8*$F$12+G8*$G$12+H8*$H$12+I8*$I$12+J8*$J$12</f>
        <v>2824.316470588235</v>
      </c>
      <c r="P8" s="1256"/>
      <c r="Q8" s="1257"/>
      <c r="S8" s="1017"/>
      <c r="T8" s="1231"/>
      <c r="U8" s="1231"/>
    </row>
    <row r="9" spans="1:21" s="542" customFormat="1" ht="17.45" customHeight="1" thickBot="1">
      <c r="A9" s="558" t="s">
        <v>247</v>
      </c>
      <c r="B9" s="982">
        <f>N38+'Eigen informatie GS &amp; warmtenet'!B12</f>
        <v>0</v>
      </c>
      <c r="C9" s="559">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26150.320924357191</v>
      </c>
      <c r="C10" s="566">
        <f t="shared" ref="C10:L10" si="0">SUM(C8:C9)</f>
        <v>13981.764705882351</v>
      </c>
      <c r="D10" s="566">
        <f t="shared" si="0"/>
        <v>0</v>
      </c>
      <c r="E10" s="566">
        <f t="shared" si="0"/>
        <v>0</v>
      </c>
      <c r="F10" s="566">
        <f t="shared" si="0"/>
        <v>0</v>
      </c>
      <c r="G10" s="566">
        <f t="shared" si="0"/>
        <v>0</v>
      </c>
      <c r="H10" s="566">
        <f t="shared" si="0"/>
        <v>0</v>
      </c>
      <c r="I10" s="566">
        <f t="shared" si="0"/>
        <v>0</v>
      </c>
      <c r="J10" s="566">
        <f t="shared" si="0"/>
        <v>3308.8235294117644</v>
      </c>
      <c r="K10" s="566">
        <f t="shared" si="0"/>
        <v>0</v>
      </c>
      <c r="L10" s="566">
        <f t="shared" si="0"/>
        <v>0</v>
      </c>
      <c r="M10" s="984"/>
      <c r="N10" s="984"/>
      <c r="O10" s="567">
        <f>SUM(O4:O9)</f>
        <v>2824.316470588235</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O31</f>
        <v>20995.714285714286</v>
      </c>
      <c r="C17" s="578">
        <f>B51</f>
        <v>19973.949579831933</v>
      </c>
      <c r="D17" s="579"/>
      <c r="E17" s="579">
        <f>E51</f>
        <v>0</v>
      </c>
      <c r="F17" s="580"/>
      <c r="G17" s="581"/>
      <c r="H17" s="578">
        <f>I51</f>
        <v>0</v>
      </c>
      <c r="I17" s="579">
        <f>G51+F51</f>
        <v>0</v>
      </c>
      <c r="J17" s="579">
        <f>H51+D51+C51</f>
        <v>4726.8907563025205</v>
      </c>
      <c r="K17" s="579"/>
      <c r="L17" s="579"/>
      <c r="M17" s="579"/>
      <c r="N17" s="987"/>
      <c r="O17" s="582">
        <f>C17*$C$22+E17*$E$22+H17*$H$22+I17*$I$22+J17*$J$22+D17*$D$22+F17*$F$22+G17*$G$22+K17*$K$22+L17*$L$22</f>
        <v>4034.7378151260509</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20995.714285714286</v>
      </c>
      <c r="C20" s="565">
        <f>SUM(C17:C19)</f>
        <v>19973.949579831933</v>
      </c>
      <c r="D20" s="565">
        <f t="shared" ref="D20:L20" si="1">SUM(D17:D19)</f>
        <v>0</v>
      </c>
      <c r="E20" s="565">
        <f t="shared" si="1"/>
        <v>0</v>
      </c>
      <c r="F20" s="565">
        <f t="shared" si="1"/>
        <v>0</v>
      </c>
      <c r="G20" s="565">
        <f t="shared" si="1"/>
        <v>0</v>
      </c>
      <c r="H20" s="565">
        <f t="shared" si="1"/>
        <v>0</v>
      </c>
      <c r="I20" s="565">
        <f t="shared" si="1"/>
        <v>0</v>
      </c>
      <c r="J20" s="565">
        <f t="shared" si="1"/>
        <v>4726.8907563025205</v>
      </c>
      <c r="K20" s="565">
        <f t="shared" si="1"/>
        <v>0</v>
      </c>
      <c r="L20" s="565">
        <f t="shared" si="1"/>
        <v>0</v>
      </c>
      <c r="M20" s="565"/>
      <c r="N20" s="565"/>
      <c r="O20" s="586">
        <f>SUM(O17:O19)</f>
        <v>4034.7378151260509</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25.5">
      <c r="A28" s="590"/>
      <c r="B28" s="785">
        <v>31040</v>
      </c>
      <c r="C28" s="785">
        <v>8210</v>
      </c>
      <c r="D28" s="638" t="s">
        <v>954</v>
      </c>
      <c r="E28" s="637" t="s">
        <v>955</v>
      </c>
      <c r="F28" s="637" t="s">
        <v>956</v>
      </c>
      <c r="G28" s="637" t="s">
        <v>957</v>
      </c>
      <c r="H28" s="637" t="s">
        <v>958</v>
      </c>
      <c r="I28" s="637" t="s">
        <v>959</v>
      </c>
      <c r="J28" s="784">
        <v>39828</v>
      </c>
      <c r="K28" s="784">
        <v>39814</v>
      </c>
      <c r="L28" s="637" t="s">
        <v>960</v>
      </c>
      <c r="M28" s="637">
        <v>625</v>
      </c>
      <c r="N28" s="637">
        <v>2812.5</v>
      </c>
      <c r="O28" s="637">
        <v>4017.8571428571431</v>
      </c>
      <c r="P28" s="637">
        <v>0</v>
      </c>
      <c r="Q28" s="637">
        <v>8035.7142857142862</v>
      </c>
      <c r="R28" s="637">
        <v>0</v>
      </c>
      <c r="S28" s="637">
        <v>0</v>
      </c>
      <c r="T28" s="637">
        <v>0</v>
      </c>
      <c r="U28" s="637">
        <v>0</v>
      </c>
      <c r="V28" s="637">
        <v>0</v>
      </c>
      <c r="W28" s="637"/>
      <c r="X28" s="637">
        <v>500</v>
      </c>
      <c r="Y28" s="637" t="s">
        <v>40</v>
      </c>
      <c r="Z28" s="639" t="s">
        <v>390</v>
      </c>
    </row>
    <row r="29" spans="1:26" s="591" customFormat="1" ht="25.5">
      <c r="A29" s="590"/>
      <c r="B29" s="785">
        <v>31040</v>
      </c>
      <c r="C29" s="785">
        <v>8210</v>
      </c>
      <c r="D29" s="638" t="s">
        <v>961</v>
      </c>
      <c r="E29" s="637" t="s">
        <v>962</v>
      </c>
      <c r="F29" s="637" t="s">
        <v>963</v>
      </c>
      <c r="G29" s="637" t="s">
        <v>957</v>
      </c>
      <c r="H29" s="637" t="s">
        <v>958</v>
      </c>
      <c r="I29" s="637" t="s">
        <v>962</v>
      </c>
      <c r="J29" s="784">
        <v>40626</v>
      </c>
      <c r="K29" s="784">
        <v>40641</v>
      </c>
      <c r="L29" s="637" t="s">
        <v>960</v>
      </c>
      <c r="M29" s="637">
        <v>1485</v>
      </c>
      <c r="N29" s="637">
        <v>6682.5</v>
      </c>
      <c r="O29" s="637">
        <v>9546.4285714285725</v>
      </c>
      <c r="P29" s="637">
        <v>19092.857142857145</v>
      </c>
      <c r="Q29" s="637">
        <v>0</v>
      </c>
      <c r="R29" s="637">
        <v>0</v>
      </c>
      <c r="S29" s="637">
        <v>0</v>
      </c>
      <c r="T29" s="637">
        <v>0</v>
      </c>
      <c r="U29" s="637">
        <v>0</v>
      </c>
      <c r="V29" s="637">
        <v>0</v>
      </c>
      <c r="W29" s="637"/>
      <c r="X29" s="637">
        <v>10</v>
      </c>
      <c r="Y29" s="637" t="s">
        <v>111</v>
      </c>
      <c r="Z29" s="639" t="s">
        <v>111</v>
      </c>
    </row>
    <row r="30" spans="1:26" s="591" customFormat="1" ht="25.5">
      <c r="A30" s="590"/>
      <c r="B30" s="785">
        <v>31040</v>
      </c>
      <c r="C30" s="785">
        <v>8210</v>
      </c>
      <c r="D30" s="638" t="s">
        <v>964</v>
      </c>
      <c r="E30" s="637" t="s">
        <v>965</v>
      </c>
      <c r="F30" s="637" t="s">
        <v>966</v>
      </c>
      <c r="G30" s="637" t="s">
        <v>957</v>
      </c>
      <c r="H30" s="637" t="s">
        <v>958</v>
      </c>
      <c r="I30" s="637" t="s">
        <v>965</v>
      </c>
      <c r="J30" s="784">
        <v>41039</v>
      </c>
      <c r="K30" s="784">
        <v>38899</v>
      </c>
      <c r="L30" s="637" t="s">
        <v>960</v>
      </c>
      <c r="M30" s="637">
        <v>1156</v>
      </c>
      <c r="N30" s="637">
        <v>5202</v>
      </c>
      <c r="O30" s="637">
        <v>7431.4285714285716</v>
      </c>
      <c r="P30" s="637">
        <v>14862.857142857143</v>
      </c>
      <c r="Q30" s="637">
        <v>0</v>
      </c>
      <c r="R30" s="637">
        <v>0</v>
      </c>
      <c r="S30" s="637">
        <v>0</v>
      </c>
      <c r="T30" s="637">
        <v>0</v>
      </c>
      <c r="U30" s="637">
        <v>0</v>
      </c>
      <c r="V30" s="637">
        <v>0</v>
      </c>
      <c r="W30" s="637"/>
      <c r="X30" s="637">
        <v>10</v>
      </c>
      <c r="Y30" s="637" t="s">
        <v>111</v>
      </c>
      <c r="Z30" s="639" t="s">
        <v>111</v>
      </c>
    </row>
    <row r="31" spans="1:26" s="573" customFormat="1">
      <c r="A31" s="593" t="s">
        <v>279</v>
      </c>
      <c r="B31" s="594"/>
      <c r="C31" s="594"/>
      <c r="D31" s="594"/>
      <c r="E31" s="594"/>
      <c r="F31" s="594"/>
      <c r="G31" s="594"/>
      <c r="H31" s="594"/>
      <c r="I31" s="594"/>
      <c r="J31" s="594"/>
      <c r="K31" s="594"/>
      <c r="L31" s="595"/>
      <c r="M31" s="595">
        <f>SUM(M28:M30)</f>
        <v>3266</v>
      </c>
      <c r="N31" s="595">
        <f>SUM(N28:N30)</f>
        <v>14697</v>
      </c>
      <c r="O31" s="595">
        <f>SUM(O28:O30)</f>
        <v>20995.714285714286</v>
      </c>
      <c r="P31" s="595">
        <f>SUM(P28:P30)</f>
        <v>33955.71428571429</v>
      </c>
      <c r="Q31" s="595">
        <f>SUM(Q28:Q30)</f>
        <v>8035.7142857142862</v>
      </c>
      <c r="R31" s="595">
        <f>SUM(R28:R30)</f>
        <v>0</v>
      </c>
      <c r="S31" s="595">
        <f>SUM(S28:S30)</f>
        <v>0</v>
      </c>
      <c r="T31" s="595">
        <f>SUM(T28:T30)</f>
        <v>0</v>
      </c>
      <c r="U31" s="595">
        <f>SUM(U28:U30)</f>
        <v>0</v>
      </c>
      <c r="V31" s="595">
        <f>SUM(V28:V30)</f>
        <v>0</v>
      </c>
      <c r="W31" s="595">
        <f>SUM(W28:W30)</f>
        <v>0</v>
      </c>
      <c r="X31" s="596"/>
      <c r="Y31" s="596"/>
      <c r="Z31" s="597"/>
    </row>
    <row r="32" spans="1:26" s="573" customFormat="1">
      <c r="A32" s="593" t="s">
        <v>286</v>
      </c>
      <c r="B32" s="594"/>
      <c r="C32" s="594"/>
      <c r="D32" s="594"/>
      <c r="E32" s="594"/>
      <c r="F32" s="594"/>
      <c r="G32" s="594"/>
      <c r="H32" s="594"/>
      <c r="I32" s="594"/>
      <c r="J32" s="594"/>
      <c r="K32" s="594"/>
      <c r="L32" s="595"/>
      <c r="M32" s="595">
        <f>SUMIF($Z$28:$Z$30,"industrie",M28:M30)</f>
        <v>625</v>
      </c>
      <c r="N32" s="595">
        <f>SUMIF($Z$28:$Z$30,"industrie",N28:N30)</f>
        <v>2812.5</v>
      </c>
      <c r="O32" s="595">
        <f>SUMIF($Z$28:$Z$30,"industrie",O28:O30)</f>
        <v>4017.8571428571431</v>
      </c>
      <c r="P32" s="595">
        <f>SUMIF($Z$28:$Z$30,"industrie",P28:P30)</f>
        <v>0</v>
      </c>
      <c r="Q32" s="595">
        <f>SUMIF($Z$28:$Z$30,"industrie",Q28:Q30)</f>
        <v>8035.7142857142862</v>
      </c>
      <c r="R32" s="595">
        <f>SUMIF($Z$28:$Z$30,"industrie",R28:R30)</f>
        <v>0</v>
      </c>
      <c r="S32" s="595">
        <f>SUMIF($Z$28:$Z$30,"industrie",S28:S30)</f>
        <v>0</v>
      </c>
      <c r="T32" s="595">
        <f>SUMIF($Z$28:$Z$30,"industrie",T28:T30)</f>
        <v>0</v>
      </c>
      <c r="U32" s="595">
        <f>SUMIF($Z$28:$Z$30,"industrie",U28:U30)</f>
        <v>0</v>
      </c>
      <c r="V32" s="595">
        <f>SUMIF($Z$28:$Z$30,"industrie",V28:V30)</f>
        <v>0</v>
      </c>
      <c r="W32" s="595">
        <f>SUMIF($Z$28:$Z$30,"industrie",W28:W30)</f>
        <v>0</v>
      </c>
      <c r="X32" s="596"/>
      <c r="Y32" s="596"/>
      <c r="Z32" s="597"/>
    </row>
    <row r="33" spans="1:27" s="573" customFormat="1">
      <c r="A33" s="593" t="s">
        <v>287</v>
      </c>
      <c r="B33" s="594"/>
      <c r="C33" s="594"/>
      <c r="D33" s="594"/>
      <c r="E33" s="594"/>
      <c r="F33" s="594"/>
      <c r="G33" s="594"/>
      <c r="H33" s="594"/>
      <c r="I33" s="594"/>
      <c r="J33" s="594"/>
      <c r="K33" s="594"/>
      <c r="L33" s="595"/>
      <c r="M33" s="595">
        <f ca="1">SUMIF($Z$28:AC30,"tertiair",M28:M30)</f>
        <v>0</v>
      </c>
      <c r="N33" s="595">
        <f ca="1">SUMIF($Z$28:AD30,"tertiair",N28:N30)</f>
        <v>0</v>
      </c>
      <c r="O33" s="595">
        <f ca="1">SUMIF($Z$28:AE30,"tertiair",O28:O30)</f>
        <v>0</v>
      </c>
      <c r="P33" s="595">
        <f ca="1">SUMIF($Z$28:AF30,"tertiair",P28:P30)</f>
        <v>0</v>
      </c>
      <c r="Q33" s="595">
        <f ca="1">SUMIF($Z$28:AG30,"tertiair",Q28:Q30)</f>
        <v>0</v>
      </c>
      <c r="R33" s="595">
        <f ca="1">SUMIF($Z$28:AH30,"tertiair",R28:R30)</f>
        <v>0</v>
      </c>
      <c r="S33" s="595">
        <f ca="1">SUMIF($Z$28:AI30,"tertiair",S28:S30)</f>
        <v>0</v>
      </c>
      <c r="T33" s="595">
        <f ca="1">SUMIF($Z$28:AJ30,"tertiair",T28:T30)</f>
        <v>0</v>
      </c>
      <c r="U33" s="595">
        <f ca="1">SUMIF($Z$28:AK30,"tertiair",U28:U30)</f>
        <v>0</v>
      </c>
      <c r="V33" s="595">
        <f ca="1">SUMIF($Z$28:AL30,"tertiair",V28:V30)</f>
        <v>0</v>
      </c>
      <c r="W33" s="595">
        <f ca="1">SUMIF($Z$28:AM30,"tertiair",W28:W30)</f>
        <v>0</v>
      </c>
      <c r="X33" s="596"/>
      <c r="Y33" s="596"/>
      <c r="Z33" s="597"/>
    </row>
    <row r="34" spans="1:27" s="573" customFormat="1" ht="15.75" thickBot="1">
      <c r="A34" s="598" t="s">
        <v>288</v>
      </c>
      <c r="B34" s="599"/>
      <c r="C34" s="599"/>
      <c r="D34" s="599"/>
      <c r="E34" s="599"/>
      <c r="F34" s="599"/>
      <c r="G34" s="599"/>
      <c r="H34" s="599"/>
      <c r="I34" s="599"/>
      <c r="J34" s="599"/>
      <c r="K34" s="599"/>
      <c r="L34" s="600"/>
      <c r="M34" s="600">
        <f>SUMIF($Z$28:$Z$30,"landbouw",M28:M30)</f>
        <v>2641</v>
      </c>
      <c r="N34" s="600">
        <f>SUMIF($Z$28:$Z$30,"landbouw",N28:N30)</f>
        <v>11884.5</v>
      </c>
      <c r="O34" s="600">
        <f>SUMIF($Z$28:$Z$30,"landbouw",O28:O30)</f>
        <v>16977.857142857145</v>
      </c>
      <c r="P34" s="600">
        <f>SUMIF($Z$28:$Z$30,"landbouw",P28:P30)</f>
        <v>33955.71428571429</v>
      </c>
      <c r="Q34" s="600">
        <f>SUMIF($Z$28:$Z$30,"landbouw",Q28:Q30)</f>
        <v>0</v>
      </c>
      <c r="R34" s="600">
        <f>SUMIF($Z$28:$Z$30,"landbouw",R28:R30)</f>
        <v>0</v>
      </c>
      <c r="S34" s="600">
        <f>SUMIF($Z$28:$Z$30,"landbouw",S28:S30)</f>
        <v>0</v>
      </c>
      <c r="T34" s="600">
        <f>SUMIF($Z$28:$Z$30,"landbouw",T28:T30)</f>
        <v>0</v>
      </c>
      <c r="U34" s="600">
        <f>SUMIF($Z$28:$Z$30,"landbouw",U28:U30)</f>
        <v>0</v>
      </c>
      <c r="V34" s="600">
        <f>SUMIF($Z$28:$Z$30,"landbouw",V28:V30)</f>
        <v>0</v>
      </c>
      <c r="W34" s="600">
        <f>SUMIF($Z$28:$Z$30,"landbouw",W28:W30)</f>
        <v>0</v>
      </c>
      <c r="X34" s="601"/>
      <c r="Y34" s="601"/>
      <c r="Z34" s="602"/>
    </row>
    <row r="35" spans="1:27" s="542" customFormat="1" ht="15.75" thickBot="1">
      <c r="A35" s="603"/>
      <c r="B35" s="604"/>
      <c r="C35" s="604"/>
      <c r="D35" s="604"/>
      <c r="E35" s="604"/>
      <c r="F35" s="604"/>
      <c r="G35" s="604"/>
      <c r="H35" s="604"/>
      <c r="I35" s="604"/>
      <c r="J35" s="604"/>
      <c r="K35" s="604"/>
      <c r="L35" s="587"/>
      <c r="M35" s="587"/>
      <c r="N35" s="587"/>
      <c r="O35" s="588"/>
      <c r="P35" s="588"/>
    </row>
    <row r="36" spans="1:27" s="542" customFormat="1" ht="45">
      <c r="A36" s="605" t="s">
        <v>280</v>
      </c>
      <c r="B36" s="634" t="s">
        <v>89</v>
      </c>
      <c r="C36" s="634" t="s">
        <v>90</v>
      </c>
      <c r="D36" s="634" t="s">
        <v>91</v>
      </c>
      <c r="E36" s="634" t="s">
        <v>92</v>
      </c>
      <c r="F36" s="634" t="s">
        <v>93</v>
      </c>
      <c r="G36" s="634" t="s">
        <v>94</v>
      </c>
      <c r="H36" s="634" t="s">
        <v>95</v>
      </c>
      <c r="I36" s="634" t="s">
        <v>96</v>
      </c>
      <c r="J36" s="634" t="s">
        <v>97</v>
      </c>
      <c r="K36" s="634" t="s">
        <v>98</v>
      </c>
      <c r="L36" s="634" t="s">
        <v>99</v>
      </c>
      <c r="M36" s="635" t="s">
        <v>297</v>
      </c>
      <c r="N36" s="635" t="s">
        <v>100</v>
      </c>
      <c r="O36" s="635" t="s">
        <v>101</v>
      </c>
      <c r="P36" s="635" t="s">
        <v>551</v>
      </c>
      <c r="Q36" s="635" t="s">
        <v>102</v>
      </c>
      <c r="R36" s="635" t="s">
        <v>103</v>
      </c>
      <c r="S36" s="635" t="s">
        <v>104</v>
      </c>
      <c r="T36" s="635" t="s">
        <v>105</v>
      </c>
      <c r="U36" s="635" t="s">
        <v>106</v>
      </c>
      <c r="V36" s="635" t="s">
        <v>107</v>
      </c>
      <c r="W36" s="634" t="s">
        <v>108</v>
      </c>
      <c r="X36" s="634" t="s">
        <v>298</v>
      </c>
      <c r="Y36" s="634" t="s">
        <v>109</v>
      </c>
      <c r="Z36" s="636" t="s">
        <v>299</v>
      </c>
    </row>
    <row r="37" spans="1:27" s="606" customFormat="1" ht="12.75">
      <c r="A37" s="592"/>
      <c r="B37" s="785"/>
      <c r="C37" s="785"/>
      <c r="D37" s="640"/>
      <c r="E37" s="640"/>
      <c r="F37" s="640"/>
      <c r="G37" s="640"/>
      <c r="H37" s="640"/>
      <c r="I37" s="640"/>
      <c r="J37" s="784"/>
      <c r="K37" s="784"/>
      <c r="L37" s="640"/>
      <c r="M37" s="640"/>
      <c r="N37" s="640"/>
      <c r="O37" s="640"/>
      <c r="P37" s="640"/>
      <c r="Q37" s="640"/>
      <c r="R37" s="640"/>
      <c r="S37" s="640"/>
      <c r="T37" s="640"/>
      <c r="U37" s="640"/>
      <c r="V37" s="640"/>
      <c r="W37" s="640"/>
      <c r="X37" s="640"/>
      <c r="Y37" s="640"/>
      <c r="Z37" s="641"/>
    </row>
    <row r="38" spans="1:27" s="573" customFormat="1">
      <c r="A38" s="593" t="s">
        <v>279</v>
      </c>
      <c r="B38" s="594"/>
      <c r="C38" s="594"/>
      <c r="D38" s="594"/>
      <c r="E38" s="594"/>
      <c r="F38" s="594"/>
      <c r="G38" s="594"/>
      <c r="H38" s="594"/>
      <c r="I38" s="594"/>
      <c r="J38" s="594"/>
      <c r="K38" s="594"/>
      <c r="L38" s="595"/>
      <c r="M38" s="595">
        <f>SUM(M37:M37)</f>
        <v>0</v>
      </c>
      <c r="N38" s="595">
        <f>SUM(N37:N37)</f>
        <v>0</v>
      </c>
      <c r="O38" s="595">
        <f>SUM(O37:O37)</f>
        <v>0</v>
      </c>
      <c r="P38" s="595">
        <f>SUM(P37:P37)</f>
        <v>0</v>
      </c>
      <c r="Q38" s="595">
        <f>SUM(Q37:Q37)</f>
        <v>0</v>
      </c>
      <c r="R38" s="595">
        <f>SUM(R37:R37)</f>
        <v>0</v>
      </c>
      <c r="S38" s="595">
        <f>SUM(S37:S37)</f>
        <v>0</v>
      </c>
      <c r="T38" s="595">
        <f>SUM(T37:T37)</f>
        <v>0</v>
      </c>
      <c r="U38" s="595">
        <f>SUM(U37:U37)</f>
        <v>0</v>
      </c>
      <c r="V38" s="595">
        <f>SUM(V37:V37)</f>
        <v>0</v>
      </c>
      <c r="W38" s="595">
        <f>SUM(W37:W37)</f>
        <v>0</v>
      </c>
      <c r="X38" s="596"/>
      <c r="Y38" s="596"/>
      <c r="Z38" s="597"/>
    </row>
    <row r="39" spans="1:27" s="573" customFormat="1">
      <c r="A39" s="593" t="s">
        <v>286</v>
      </c>
      <c r="B39" s="594"/>
      <c r="C39" s="594"/>
      <c r="D39" s="594"/>
      <c r="E39" s="594"/>
      <c r="F39" s="594"/>
      <c r="G39" s="594"/>
      <c r="H39" s="594"/>
      <c r="I39" s="594"/>
      <c r="J39" s="594"/>
      <c r="K39" s="594"/>
      <c r="L39" s="595"/>
      <c r="M39" s="595">
        <f>SUMIF($Z$37:$Z$37,"industrie",M37:M37)</f>
        <v>0</v>
      </c>
      <c r="N39" s="595">
        <f>SUMIF($Z$37:$Z$37,"industrie",N37:N37)</f>
        <v>0</v>
      </c>
      <c r="O39" s="595">
        <f>SUMIF($Z$37:$Z$37,"industrie",O37:O37)</f>
        <v>0</v>
      </c>
      <c r="P39" s="595">
        <f>SUMIF($Z$37:$Z$37,"industrie",P37:P37)</f>
        <v>0</v>
      </c>
      <c r="Q39" s="595">
        <f>SUMIF($Z$37:$Z$37,"industrie",Q37:Q37)</f>
        <v>0</v>
      </c>
      <c r="R39" s="595">
        <f>SUMIF($Z$37:$Z$37,"industrie",R37:R37)</f>
        <v>0</v>
      </c>
      <c r="S39" s="595">
        <f>SUMIF($Z$37:$Z$37,"industrie",S37:S37)</f>
        <v>0</v>
      </c>
      <c r="T39" s="595">
        <f>SUMIF($Z$37:$Z$37,"industrie",T37:T37)</f>
        <v>0</v>
      </c>
      <c r="U39" s="595">
        <f>SUMIF($Z$37:$Z$37,"industrie",U37:U37)</f>
        <v>0</v>
      </c>
      <c r="V39" s="595">
        <f>SUMIF($Z$37:$Z$37,"industrie",V37:V37)</f>
        <v>0</v>
      </c>
      <c r="W39" s="595">
        <f>SUMIF($Z$37:$Z$37,"industrie",W37:W37)</f>
        <v>0</v>
      </c>
      <c r="X39" s="596"/>
      <c r="Y39" s="596"/>
      <c r="Z39" s="597"/>
    </row>
    <row r="40" spans="1:27" s="573" customFormat="1">
      <c r="A40" s="593" t="s">
        <v>287</v>
      </c>
      <c r="B40" s="594"/>
      <c r="C40" s="594"/>
      <c r="D40" s="594"/>
      <c r="E40" s="594"/>
      <c r="F40" s="594"/>
      <c r="G40" s="594"/>
      <c r="H40" s="594"/>
      <c r="I40" s="594"/>
      <c r="J40" s="594"/>
      <c r="K40" s="594"/>
      <c r="L40" s="595"/>
      <c r="M40" s="595">
        <f>SUMIF($Z$37:$Z$38,"tertiair",M37:M38)</f>
        <v>0</v>
      </c>
      <c r="N40" s="595">
        <f>SUMIF($Z$37:$Z$38,"tertiair",N37:N38)</f>
        <v>0</v>
      </c>
      <c r="O40" s="595">
        <f>SUMIF($Z$37:$Z$38,"tertiair",O37:O38)</f>
        <v>0</v>
      </c>
      <c r="P40" s="595">
        <f>SUMIF($Z$37:$Z$38,"tertiair",P37:P38)</f>
        <v>0</v>
      </c>
      <c r="Q40" s="595">
        <f>SUMIF($Z$37:$Z$38,"tertiair",Q37:Q38)</f>
        <v>0</v>
      </c>
      <c r="R40" s="595">
        <f>SUMIF($Z$37:$Z$38,"tertiair",R37:R38)</f>
        <v>0</v>
      </c>
      <c r="S40" s="595">
        <f>SUMIF($Z$37:$Z$38,"tertiair",S37:S38)</f>
        <v>0</v>
      </c>
      <c r="T40" s="595">
        <f>SUMIF($Z$37:$Z$38,"tertiair",T37:T38)</f>
        <v>0</v>
      </c>
      <c r="U40" s="595">
        <f>SUMIF($Z$37:$Z$38,"tertiair",U37:U38)</f>
        <v>0</v>
      </c>
      <c r="V40" s="595">
        <f>SUMIF($Z$37:$Z$38,"tertiair",V37:V38)</f>
        <v>0</v>
      </c>
      <c r="W40" s="595">
        <f>SUMIF($Z$37:$Z$38,"tertiair",W37:W38)</f>
        <v>0</v>
      </c>
      <c r="X40" s="596"/>
      <c r="Y40" s="596"/>
      <c r="Z40" s="597"/>
    </row>
    <row r="41" spans="1:27" s="573" customFormat="1" ht="15.75" thickBot="1">
      <c r="A41" s="598" t="s">
        <v>288</v>
      </c>
      <c r="B41" s="599"/>
      <c r="C41" s="599"/>
      <c r="D41" s="599"/>
      <c r="E41" s="599"/>
      <c r="F41" s="599"/>
      <c r="G41" s="599"/>
      <c r="H41" s="599"/>
      <c r="I41" s="599"/>
      <c r="J41" s="599"/>
      <c r="K41" s="599"/>
      <c r="L41" s="600"/>
      <c r="M41" s="600">
        <f>SUMIF($Z$37:$Z$39,"landbouw",M37:M39)</f>
        <v>0</v>
      </c>
      <c r="N41" s="600">
        <f>SUMIF($Z$37:$Z$39,"landbouw",N37:N39)</f>
        <v>0</v>
      </c>
      <c r="O41" s="600">
        <f>SUMIF($Z$37:$Z$39,"landbouw",O37:O39)</f>
        <v>0</v>
      </c>
      <c r="P41" s="600">
        <f>SUMIF($Z$37:$Z$39,"landbouw",P37:P39)</f>
        <v>0</v>
      </c>
      <c r="Q41" s="600">
        <f>SUMIF($Z$37:$Z$39,"landbouw",Q37:Q39)</f>
        <v>0</v>
      </c>
      <c r="R41" s="600">
        <f>SUMIF($Z$37:$Z$39,"landbouw",R37:R39)</f>
        <v>0</v>
      </c>
      <c r="S41" s="600">
        <f>SUMIF($Z$37:$Z$39,"landbouw",S37:S39)</f>
        <v>0</v>
      </c>
      <c r="T41" s="600">
        <f>SUMIF($Z$37:$Z$39,"landbouw",T37:T39)</f>
        <v>0</v>
      </c>
      <c r="U41" s="600">
        <f>SUMIF($Z$37:$Z$39,"landbouw",U37:U39)</f>
        <v>0</v>
      </c>
      <c r="V41" s="600">
        <f>SUMIF($Z$37:$Z$39,"landbouw",V37:V39)</f>
        <v>0</v>
      </c>
      <c r="W41" s="600">
        <f>SUMIF($Z$37:$Z$39,"landbouw",W37:W39)</f>
        <v>0</v>
      </c>
      <c r="X41" s="601"/>
      <c r="Y41" s="601"/>
      <c r="Z41" s="602"/>
    </row>
    <row r="42" spans="1:27" s="607" customFormat="1">
      <c r="A42" s="603"/>
      <c r="B42" s="587"/>
      <c r="C42" s="587"/>
      <c r="D42" s="587"/>
      <c r="E42" s="587"/>
      <c r="F42" s="587"/>
      <c r="G42" s="587"/>
      <c r="H42" s="587"/>
      <c r="I42" s="587"/>
      <c r="J42" s="587"/>
      <c r="K42" s="587"/>
      <c r="L42" s="587"/>
      <c r="M42" s="587"/>
      <c r="N42" s="587"/>
      <c r="O42" s="587"/>
      <c r="P42" s="587"/>
      <c r="Q42" s="587"/>
      <c r="R42" s="587"/>
      <c r="S42" s="587"/>
      <c r="T42" s="587"/>
      <c r="U42" s="587"/>
      <c r="V42" s="587"/>
      <c r="W42" s="587"/>
      <c r="X42" s="587"/>
      <c r="Y42" s="587"/>
    </row>
    <row r="43" spans="1:27" s="607" customFormat="1" ht="15.75" thickBot="1">
      <c r="A43" s="603"/>
      <c r="B43" s="587"/>
      <c r="C43" s="587"/>
      <c r="D43" s="587"/>
      <c r="E43" s="587"/>
      <c r="F43" s="587"/>
      <c r="G43" s="587"/>
      <c r="H43" s="587"/>
      <c r="I43" s="587"/>
      <c r="J43" s="587"/>
      <c r="K43" s="587"/>
      <c r="L43" s="587"/>
      <c r="M43" s="587"/>
      <c r="N43" s="587"/>
      <c r="O43" s="587"/>
      <c r="P43" s="587"/>
      <c r="Q43" s="587"/>
      <c r="R43" s="587"/>
      <c r="S43" s="587"/>
      <c r="T43" s="587"/>
      <c r="U43" s="587"/>
      <c r="V43" s="587"/>
      <c r="W43" s="587"/>
      <c r="X43" s="587"/>
      <c r="Y43" s="587"/>
      <c r="Z43" s="587"/>
      <c r="AA43" s="587"/>
    </row>
    <row r="44" spans="1:27">
      <c r="A44" s="608" t="s">
        <v>281</v>
      </c>
      <c r="B44" s="609"/>
      <c r="C44" s="609"/>
      <c r="D44" s="609"/>
      <c r="E44" s="609"/>
      <c r="F44" s="609"/>
      <c r="G44" s="609"/>
      <c r="H44" s="609"/>
      <c r="I44" s="610"/>
      <c r="J44" s="611"/>
      <c r="K44" s="611"/>
      <c r="L44" s="612"/>
      <c r="M44" s="612"/>
      <c r="N44" s="612"/>
      <c r="O44" s="612"/>
      <c r="P44" s="612"/>
    </row>
    <row r="45" spans="1:27">
      <c r="A45" s="614"/>
      <c r="B45" s="604"/>
      <c r="C45" s="604"/>
      <c r="D45" s="604"/>
      <c r="E45" s="604"/>
      <c r="F45" s="604"/>
      <c r="G45" s="604"/>
      <c r="H45" s="604"/>
      <c r="I45" s="615"/>
      <c r="J45" s="604"/>
      <c r="K45" s="604"/>
      <c r="L45" s="612"/>
      <c r="M45" s="612"/>
      <c r="N45" s="612"/>
      <c r="O45" s="612"/>
      <c r="P45" s="612"/>
    </row>
    <row r="46" spans="1:27">
      <c r="A46" s="616"/>
      <c r="B46" s="617" t="s">
        <v>282</v>
      </c>
      <c r="C46" s="617" t="s">
        <v>283</v>
      </c>
      <c r="D46" s="617"/>
      <c r="E46" s="617"/>
      <c r="F46" s="617"/>
      <c r="G46" s="617"/>
      <c r="H46" s="617"/>
      <c r="I46" s="618"/>
      <c r="J46" s="617"/>
      <c r="K46" s="617"/>
      <c r="L46" s="617"/>
      <c r="M46" s="617"/>
      <c r="N46" s="617"/>
      <c r="O46" s="617"/>
      <c r="P46" s="612"/>
    </row>
    <row r="47" spans="1:27">
      <c r="A47" s="614" t="s">
        <v>279</v>
      </c>
      <c r="B47" s="619">
        <f>IF(ISERROR(O31/(O31+N31)),0,O31/(O31+N31))</f>
        <v>0.58823529411764697</v>
      </c>
      <c r="C47" s="620">
        <f>IF(ISERROR(N31/(O31+N31)),0,N31/(N31+O31))</f>
        <v>0.41176470588235287</v>
      </c>
      <c r="D47" s="587"/>
      <c r="E47" s="587"/>
      <c r="F47" s="587"/>
      <c r="G47" s="587"/>
      <c r="H47" s="587"/>
      <c r="I47" s="621"/>
      <c r="J47" s="587"/>
      <c r="K47" s="587"/>
      <c r="L47" s="622"/>
      <c r="M47" s="622"/>
      <c r="N47" s="622"/>
      <c r="O47" s="622"/>
      <c r="P47" s="612"/>
    </row>
    <row r="48" spans="1:27">
      <c r="A48" s="614"/>
      <c r="B48" s="623"/>
      <c r="C48" s="623"/>
      <c r="D48" s="623"/>
      <c r="E48" s="623"/>
      <c r="F48" s="623"/>
      <c r="G48" s="623"/>
      <c r="H48" s="623"/>
      <c r="I48" s="624"/>
      <c r="J48" s="623"/>
      <c r="K48" s="623"/>
      <c r="L48" s="625"/>
      <c r="M48" s="625"/>
      <c r="N48" s="625"/>
      <c r="O48" s="625"/>
      <c r="P48" s="612"/>
    </row>
    <row r="49" spans="1:16" ht="30">
      <c r="A49" s="626"/>
      <c r="B49" s="627" t="s">
        <v>551</v>
      </c>
      <c r="C49" s="627" t="s">
        <v>102</v>
      </c>
      <c r="D49" s="627" t="s">
        <v>103</v>
      </c>
      <c r="E49" s="627" t="s">
        <v>104</v>
      </c>
      <c r="F49" s="627" t="s">
        <v>105</v>
      </c>
      <c r="G49" s="627" t="s">
        <v>106</v>
      </c>
      <c r="H49" s="627" t="s">
        <v>107</v>
      </c>
      <c r="I49" s="628" t="s">
        <v>108</v>
      </c>
      <c r="J49" s="617"/>
      <c r="K49" s="617"/>
      <c r="L49" s="625"/>
      <c r="M49" s="625"/>
      <c r="N49" s="625"/>
      <c r="O49" s="612"/>
      <c r="P49" s="612"/>
    </row>
    <row r="50" spans="1:16">
      <c r="A50" s="616" t="s">
        <v>284</v>
      </c>
      <c r="B50" s="629">
        <f t="shared" ref="B50:I50" si="2">$C$47*P31</f>
        <v>13981.764705882351</v>
      </c>
      <c r="C50" s="629">
        <f t="shared" si="2"/>
        <v>3308.8235294117644</v>
      </c>
      <c r="D50" s="629">
        <f t="shared" si="2"/>
        <v>0</v>
      </c>
      <c r="E50" s="629">
        <f t="shared" si="2"/>
        <v>0</v>
      </c>
      <c r="F50" s="629">
        <f t="shared" si="2"/>
        <v>0</v>
      </c>
      <c r="G50" s="629">
        <f t="shared" si="2"/>
        <v>0</v>
      </c>
      <c r="H50" s="629">
        <f t="shared" si="2"/>
        <v>0</v>
      </c>
      <c r="I50" s="630">
        <f t="shared" si="2"/>
        <v>0</v>
      </c>
      <c r="J50" s="587"/>
      <c r="K50" s="587"/>
      <c r="L50" s="625"/>
      <c r="M50" s="625"/>
      <c r="N50" s="625"/>
      <c r="O50" s="612"/>
      <c r="P50" s="612"/>
    </row>
    <row r="51" spans="1:16" ht="15.75" thickBot="1">
      <c r="A51" s="631" t="s">
        <v>285</v>
      </c>
      <c r="B51" s="632">
        <f t="shared" ref="B51:I51" si="3">$B$47*P31</f>
        <v>19973.949579831933</v>
      </c>
      <c r="C51" s="632">
        <f t="shared" si="3"/>
        <v>4726.8907563025205</v>
      </c>
      <c r="D51" s="632">
        <f t="shared" si="3"/>
        <v>0</v>
      </c>
      <c r="E51" s="632">
        <f t="shared" si="3"/>
        <v>0</v>
      </c>
      <c r="F51" s="632">
        <f t="shared" si="3"/>
        <v>0</v>
      </c>
      <c r="G51" s="632">
        <f t="shared" si="3"/>
        <v>0</v>
      </c>
      <c r="H51" s="632">
        <f t="shared" si="3"/>
        <v>0</v>
      </c>
      <c r="I51" s="633">
        <f t="shared" si="3"/>
        <v>0</v>
      </c>
      <c r="J51" s="587"/>
      <c r="K51" s="587"/>
      <c r="L51" s="625"/>
      <c r="M51" s="625"/>
      <c r="N51" s="625"/>
      <c r="O51" s="612"/>
      <c r="P51" s="612"/>
    </row>
    <row r="52" spans="1:16">
      <c r="J52" s="571"/>
      <c r="K52" s="571"/>
      <c r="L52" s="571"/>
      <c r="M52" s="571"/>
      <c r="N52" s="571"/>
    </row>
    <row r="53" spans="1:16">
      <c r="J53" s="571"/>
      <c r="K53" s="571"/>
      <c r="L53" s="571"/>
      <c r="M53" s="571"/>
      <c r="N53"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45878.105501381593</v>
      </c>
      <c r="C4" s="457">
        <f>huishoudens!C8</f>
        <v>0</v>
      </c>
      <c r="D4" s="457">
        <f>huishoudens!D8</f>
        <v>79270.434119006371</v>
      </c>
      <c r="E4" s="457">
        <f>huishoudens!E8</f>
        <v>7804.0093668963254</v>
      </c>
      <c r="F4" s="457">
        <f>huishoudens!F8</f>
        <v>32057.376440099837</v>
      </c>
      <c r="G4" s="457">
        <f>huishoudens!G8</f>
        <v>0</v>
      </c>
      <c r="H4" s="457">
        <f>huishoudens!H8</f>
        <v>0</v>
      </c>
      <c r="I4" s="457">
        <f>huishoudens!I8</f>
        <v>0</v>
      </c>
      <c r="J4" s="457">
        <f>huishoudens!J8</f>
        <v>3362.4756897473526</v>
      </c>
      <c r="K4" s="457">
        <f>huishoudens!K8</f>
        <v>0</v>
      </c>
      <c r="L4" s="457">
        <f>huishoudens!L8</f>
        <v>0</v>
      </c>
      <c r="M4" s="457">
        <f>huishoudens!M8</f>
        <v>0</v>
      </c>
      <c r="N4" s="457">
        <f>huishoudens!N8</f>
        <v>26405.223366166003</v>
      </c>
      <c r="O4" s="457">
        <f>huishoudens!O8</f>
        <v>128.19333333333336</v>
      </c>
      <c r="P4" s="458">
        <f>huishoudens!P8</f>
        <v>228.8</v>
      </c>
      <c r="Q4" s="459">
        <f>SUM(B4:P4)</f>
        <v>195134.61781663081</v>
      </c>
    </row>
    <row r="5" spans="1:17">
      <c r="A5" s="456" t="s">
        <v>155</v>
      </c>
      <c r="B5" s="457">
        <f ca="1">tertiair!B16</f>
        <v>22933.7329624673</v>
      </c>
      <c r="C5" s="457">
        <f ca="1">tertiair!C16</f>
        <v>0</v>
      </c>
      <c r="D5" s="457">
        <f ca="1">tertiair!D16</f>
        <v>27834.502331959033</v>
      </c>
      <c r="E5" s="457">
        <f>tertiair!E16</f>
        <v>224.78922529641358</v>
      </c>
      <c r="F5" s="457">
        <f ca="1">tertiair!F16</f>
        <v>4769.2445298647835</v>
      </c>
      <c r="G5" s="457">
        <f>tertiair!G16</f>
        <v>0</v>
      </c>
      <c r="H5" s="457">
        <f>tertiair!H16</f>
        <v>0</v>
      </c>
      <c r="I5" s="457">
        <f>tertiair!I16</f>
        <v>0</v>
      </c>
      <c r="J5" s="457">
        <f>tertiair!J16</f>
        <v>0</v>
      </c>
      <c r="K5" s="457">
        <f>tertiair!K16</f>
        <v>0</v>
      </c>
      <c r="L5" s="457">
        <f ca="1">tertiair!L16</f>
        <v>0</v>
      </c>
      <c r="M5" s="457">
        <f>tertiair!M16</f>
        <v>0</v>
      </c>
      <c r="N5" s="457">
        <f ca="1">tertiair!N16</f>
        <v>2673.5004668727502</v>
      </c>
      <c r="O5" s="457">
        <f>tertiair!O16</f>
        <v>1.5633333333333335</v>
      </c>
      <c r="P5" s="458">
        <f>tertiair!P16</f>
        <v>38.133333333333333</v>
      </c>
      <c r="Q5" s="456">
        <f t="shared" ref="Q5:Q14" ca="1" si="0">SUM(B5:P5)</f>
        <v>58475.46618312694</v>
      </c>
    </row>
    <row r="6" spans="1:17">
      <c r="A6" s="456" t="s">
        <v>193</v>
      </c>
      <c r="B6" s="457">
        <f>'openbare verlichting'!B8</f>
        <v>1962.712</v>
      </c>
      <c r="C6" s="457"/>
      <c r="D6" s="457"/>
      <c r="E6" s="457"/>
      <c r="F6" s="457"/>
      <c r="G6" s="457"/>
      <c r="H6" s="457"/>
      <c r="I6" s="457"/>
      <c r="J6" s="457"/>
      <c r="K6" s="457"/>
      <c r="L6" s="457"/>
      <c r="M6" s="457"/>
      <c r="N6" s="457"/>
      <c r="O6" s="457"/>
      <c r="P6" s="458"/>
      <c r="Q6" s="456">
        <f t="shared" si="0"/>
        <v>1962.712</v>
      </c>
    </row>
    <row r="7" spans="1:17">
      <c r="A7" s="456" t="s">
        <v>111</v>
      </c>
      <c r="B7" s="457">
        <f>landbouw!B8</f>
        <v>4500.6715352801239</v>
      </c>
      <c r="C7" s="457">
        <f>landbouw!C8</f>
        <v>16977.857142857145</v>
      </c>
      <c r="D7" s="457">
        <f>landbouw!D8</f>
        <v>9581.9549312066883</v>
      </c>
      <c r="E7" s="457">
        <f>landbouw!E8</f>
        <v>42.399341411186754</v>
      </c>
      <c r="F7" s="457">
        <f>landbouw!F8</f>
        <v>14687.184861325117</v>
      </c>
      <c r="G7" s="457">
        <f>landbouw!G8</f>
        <v>0</v>
      </c>
      <c r="H7" s="457">
        <f>landbouw!H8</f>
        <v>0</v>
      </c>
      <c r="I7" s="457">
        <f>landbouw!I8</f>
        <v>0</v>
      </c>
      <c r="J7" s="457">
        <f>landbouw!J8</f>
        <v>556.75496017629393</v>
      </c>
      <c r="K7" s="457">
        <f>landbouw!K8</f>
        <v>0</v>
      </c>
      <c r="L7" s="457">
        <f>landbouw!L8</f>
        <v>0</v>
      </c>
      <c r="M7" s="457">
        <f>landbouw!M8</f>
        <v>0</v>
      </c>
      <c r="N7" s="457">
        <f>landbouw!N8</f>
        <v>0</v>
      </c>
      <c r="O7" s="457">
        <f>landbouw!O8</f>
        <v>0</v>
      </c>
      <c r="P7" s="458">
        <f>landbouw!P8</f>
        <v>0</v>
      </c>
      <c r="Q7" s="456">
        <f t="shared" si="0"/>
        <v>46346.822772256557</v>
      </c>
    </row>
    <row r="8" spans="1:17">
      <c r="A8" s="456" t="s">
        <v>682</v>
      </c>
      <c r="B8" s="457">
        <f>industrie!B18</f>
        <v>28607.79425803461</v>
      </c>
      <c r="C8" s="457">
        <f>industrie!C18</f>
        <v>4017.8571428571431</v>
      </c>
      <c r="D8" s="457">
        <f>industrie!D18</f>
        <v>73796.637597828783</v>
      </c>
      <c r="E8" s="457">
        <f>industrie!E18</f>
        <v>239.82929688048847</v>
      </c>
      <c r="F8" s="457">
        <f>industrie!F18</f>
        <v>6186.6439906189025</v>
      </c>
      <c r="G8" s="457">
        <f>industrie!G18</f>
        <v>0</v>
      </c>
      <c r="H8" s="457">
        <f>industrie!H18</f>
        <v>0</v>
      </c>
      <c r="I8" s="457">
        <f>industrie!I18</f>
        <v>0</v>
      </c>
      <c r="J8" s="457">
        <f>industrie!J18</f>
        <v>179.3628332789437</v>
      </c>
      <c r="K8" s="457">
        <f>industrie!K18</f>
        <v>0</v>
      </c>
      <c r="L8" s="457">
        <f>industrie!L18</f>
        <v>0</v>
      </c>
      <c r="M8" s="457">
        <f>industrie!M18</f>
        <v>0</v>
      </c>
      <c r="N8" s="457">
        <f>industrie!N18</f>
        <v>0</v>
      </c>
      <c r="O8" s="457">
        <f>industrie!O18</f>
        <v>0</v>
      </c>
      <c r="P8" s="458">
        <f>industrie!P18</f>
        <v>0</v>
      </c>
      <c r="Q8" s="456">
        <f t="shared" si="0"/>
        <v>113028.12511949886</v>
      </c>
    </row>
    <row r="9" spans="1:17" s="462" customFormat="1">
      <c r="A9" s="460" t="s">
        <v>578</v>
      </c>
      <c r="B9" s="461">
        <f>transport!B14</f>
        <v>4.6846055526620196</v>
      </c>
      <c r="C9" s="461">
        <f>transport!C14</f>
        <v>0</v>
      </c>
      <c r="D9" s="461">
        <f>transport!D14</f>
        <v>10.335322809517077</v>
      </c>
      <c r="E9" s="461">
        <f>transport!E14</f>
        <v>732.39060108628223</v>
      </c>
      <c r="F9" s="461">
        <f>transport!F14</f>
        <v>0</v>
      </c>
      <c r="G9" s="461">
        <f>transport!G14</f>
        <v>177835.6071589661</v>
      </c>
      <c r="H9" s="461">
        <f>transport!H14</f>
        <v>27023.538962181847</v>
      </c>
      <c r="I9" s="461">
        <f>transport!I14</f>
        <v>0</v>
      </c>
      <c r="J9" s="461">
        <f>transport!J14</f>
        <v>0</v>
      </c>
      <c r="K9" s="461">
        <f>transport!K14</f>
        <v>0</v>
      </c>
      <c r="L9" s="461">
        <f>transport!L14</f>
        <v>0</v>
      </c>
      <c r="M9" s="461">
        <f>transport!M14</f>
        <v>9150.7345833041782</v>
      </c>
      <c r="N9" s="461">
        <f>transport!N14</f>
        <v>0</v>
      </c>
      <c r="O9" s="461">
        <f>transport!O14</f>
        <v>0</v>
      </c>
      <c r="P9" s="461">
        <f>transport!P14</f>
        <v>0</v>
      </c>
      <c r="Q9" s="460">
        <f>SUM(B9:P9)</f>
        <v>214757.29123390056</v>
      </c>
    </row>
    <row r="10" spans="1:17">
      <c r="A10" s="456" t="s">
        <v>568</v>
      </c>
      <c r="B10" s="457">
        <f>transport!B54</f>
        <v>0</v>
      </c>
      <c r="C10" s="457">
        <f>transport!C54</f>
        <v>0</v>
      </c>
      <c r="D10" s="457">
        <f>transport!D54</f>
        <v>0</v>
      </c>
      <c r="E10" s="457">
        <f>transport!E54</f>
        <v>0</v>
      </c>
      <c r="F10" s="457">
        <f>transport!F54</f>
        <v>0</v>
      </c>
      <c r="G10" s="457">
        <f>transport!G54</f>
        <v>2037.5034807631603</v>
      </c>
      <c r="H10" s="457">
        <f>transport!H54</f>
        <v>0</v>
      </c>
      <c r="I10" s="457">
        <f>transport!I54</f>
        <v>0</v>
      </c>
      <c r="J10" s="457">
        <f>transport!J54</f>
        <v>0</v>
      </c>
      <c r="K10" s="457">
        <f>transport!K54</f>
        <v>0</v>
      </c>
      <c r="L10" s="457">
        <f>transport!L54</f>
        <v>0</v>
      </c>
      <c r="M10" s="457">
        <f>transport!M54</f>
        <v>89.397844985389895</v>
      </c>
      <c r="N10" s="457">
        <f>transport!N54</f>
        <v>0</v>
      </c>
      <c r="O10" s="457">
        <f>transport!O54</f>
        <v>0</v>
      </c>
      <c r="P10" s="458">
        <f>transport!P54</f>
        <v>0</v>
      </c>
      <c r="Q10" s="456">
        <f t="shared" si="0"/>
        <v>2126.9013257485503</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1724.62428337397</v>
      </c>
      <c r="C14" s="464"/>
      <c r="D14" s="464">
        <f>'SEAP template'!E25</f>
        <v>2820.0022318106603</v>
      </c>
      <c r="E14" s="464"/>
      <c r="F14" s="464"/>
      <c r="G14" s="464"/>
      <c r="H14" s="464"/>
      <c r="I14" s="464"/>
      <c r="J14" s="464"/>
      <c r="K14" s="464"/>
      <c r="L14" s="464"/>
      <c r="M14" s="464"/>
      <c r="N14" s="464"/>
      <c r="O14" s="464"/>
      <c r="P14" s="465"/>
      <c r="Q14" s="456">
        <f t="shared" si="0"/>
        <v>4544.6265151846301</v>
      </c>
    </row>
    <row r="15" spans="1:17" s="469" customFormat="1">
      <c r="A15" s="466" t="s">
        <v>572</v>
      </c>
      <c r="B15" s="467">
        <f ca="1">SUM(B4:B14)</f>
        <v>105612.32514609025</v>
      </c>
      <c r="C15" s="467">
        <f t="shared" ref="C15:Q15" ca="1" si="1">SUM(C4:C14)</f>
        <v>20995.71428571429</v>
      </c>
      <c r="D15" s="467">
        <f t="shared" ca="1" si="1"/>
        <v>193313.86653462105</v>
      </c>
      <c r="E15" s="467">
        <f t="shared" si="1"/>
        <v>9043.4178315706977</v>
      </c>
      <c r="F15" s="467">
        <f t="shared" ca="1" si="1"/>
        <v>57700.449821908638</v>
      </c>
      <c r="G15" s="467">
        <f t="shared" si="1"/>
        <v>179873.11063972928</v>
      </c>
      <c r="H15" s="467">
        <f t="shared" si="1"/>
        <v>27023.538962181847</v>
      </c>
      <c r="I15" s="467">
        <f t="shared" si="1"/>
        <v>0</v>
      </c>
      <c r="J15" s="467">
        <f t="shared" si="1"/>
        <v>4098.5934832025905</v>
      </c>
      <c r="K15" s="467">
        <f t="shared" si="1"/>
        <v>0</v>
      </c>
      <c r="L15" s="467">
        <f t="shared" ca="1" si="1"/>
        <v>0</v>
      </c>
      <c r="M15" s="467">
        <f t="shared" si="1"/>
        <v>9240.1324282895675</v>
      </c>
      <c r="N15" s="467">
        <f t="shared" ca="1" si="1"/>
        <v>29078.723833038752</v>
      </c>
      <c r="O15" s="467">
        <f t="shared" si="1"/>
        <v>129.75666666666669</v>
      </c>
      <c r="P15" s="467">
        <f t="shared" si="1"/>
        <v>266.93333333333334</v>
      </c>
      <c r="Q15" s="467">
        <f t="shared" ca="1" si="1"/>
        <v>636376.56296634686</v>
      </c>
    </row>
    <row r="17" spans="1:17">
      <c r="A17" s="470" t="s">
        <v>573</v>
      </c>
      <c r="B17" s="774">
        <f ca="1">huishoudens!B10</f>
        <v>0.19302121580405243</v>
      </c>
      <c r="C17" s="774">
        <f ca="1">huishoudens!C10</f>
        <v>0.1921695904326213</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8855.4477026632612</v>
      </c>
      <c r="C22" s="457">
        <f t="shared" ref="C22:C32" ca="1" si="3">C4*$C$17</f>
        <v>0</v>
      </c>
      <c r="D22" s="457">
        <f t="shared" ref="D22:D32" si="4">D4*$D$17</f>
        <v>16012.627692039288</v>
      </c>
      <c r="E22" s="457">
        <f t="shared" ref="E22:E32" si="5">E4*$E$17</f>
        <v>1771.510126285466</v>
      </c>
      <c r="F22" s="457">
        <f t="shared" ref="F22:F32" si="6">F4*$F$17</f>
        <v>8559.3195095066567</v>
      </c>
      <c r="G22" s="457">
        <f t="shared" ref="G22:G32" si="7">G4*$G$17</f>
        <v>0</v>
      </c>
      <c r="H22" s="457">
        <f t="shared" ref="H22:H32" si="8">H4*$H$17</f>
        <v>0</v>
      </c>
      <c r="I22" s="457">
        <f t="shared" ref="I22:I32" si="9">I4*$I$17</f>
        <v>0</v>
      </c>
      <c r="J22" s="457">
        <f t="shared" ref="J22:J32" si="10">J4*$J$17</f>
        <v>1190.3163941705627</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36389.221424665237</v>
      </c>
    </row>
    <row r="23" spans="1:17">
      <c r="A23" s="456" t="s">
        <v>155</v>
      </c>
      <c r="B23" s="457">
        <f t="shared" ca="1" si="2"/>
        <v>4426.6970193409115</v>
      </c>
      <c r="C23" s="457">
        <f t="shared" ca="1" si="3"/>
        <v>0</v>
      </c>
      <c r="D23" s="457">
        <f t="shared" ca="1" si="4"/>
        <v>5622.5694710557245</v>
      </c>
      <c r="E23" s="457">
        <f t="shared" si="5"/>
        <v>51.02715414228588</v>
      </c>
      <c r="F23" s="457">
        <f t="shared" ca="1" si="6"/>
        <v>1273.3882894738972</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11373.68193401282</v>
      </c>
    </row>
    <row r="24" spans="1:17">
      <c r="A24" s="456" t="s">
        <v>193</v>
      </c>
      <c r="B24" s="457">
        <f t="shared" ca="1" si="2"/>
        <v>378.84505651320336</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378.84505651320336</v>
      </c>
    </row>
    <row r="25" spans="1:17">
      <c r="A25" s="456" t="s">
        <v>111</v>
      </c>
      <c r="B25" s="457">
        <f t="shared" ca="1" si="2"/>
        <v>868.72509167446071</v>
      </c>
      <c r="C25" s="457">
        <f t="shared" ca="1" si="3"/>
        <v>3262.6278535664114</v>
      </c>
      <c r="D25" s="457">
        <f t="shared" si="4"/>
        <v>1935.5548961037512</v>
      </c>
      <c r="E25" s="457">
        <f t="shared" si="5"/>
        <v>9.6246505003393938</v>
      </c>
      <c r="F25" s="457">
        <f t="shared" si="6"/>
        <v>3921.4783579738064</v>
      </c>
      <c r="G25" s="457">
        <f t="shared" si="7"/>
        <v>0</v>
      </c>
      <c r="H25" s="457">
        <f t="shared" si="8"/>
        <v>0</v>
      </c>
      <c r="I25" s="457">
        <f t="shared" si="9"/>
        <v>0</v>
      </c>
      <c r="J25" s="457">
        <f t="shared" si="10"/>
        <v>197.09125590240805</v>
      </c>
      <c r="K25" s="457">
        <f t="shared" si="11"/>
        <v>0</v>
      </c>
      <c r="L25" s="457">
        <f t="shared" si="12"/>
        <v>0</v>
      </c>
      <c r="M25" s="457">
        <f t="shared" si="13"/>
        <v>0</v>
      </c>
      <c r="N25" s="457">
        <f t="shared" si="14"/>
        <v>0</v>
      </c>
      <c r="O25" s="457">
        <f t="shared" si="15"/>
        <v>0</v>
      </c>
      <c r="P25" s="458">
        <f t="shared" si="16"/>
        <v>0</v>
      </c>
      <c r="Q25" s="456">
        <f t="shared" ca="1" si="17"/>
        <v>10195.102105721176</v>
      </c>
    </row>
    <row r="26" spans="1:17">
      <c r="A26" s="456" t="s">
        <v>682</v>
      </c>
      <c r="B26" s="457">
        <f t="shared" ca="1" si="2"/>
        <v>5521.9112291580304</v>
      </c>
      <c r="C26" s="457">
        <f t="shared" ca="1" si="3"/>
        <v>772.10996155963926</v>
      </c>
      <c r="D26" s="457">
        <f t="shared" si="4"/>
        <v>14906.920794761416</v>
      </c>
      <c r="E26" s="457">
        <f t="shared" si="5"/>
        <v>54.441250391870888</v>
      </c>
      <c r="F26" s="457">
        <f t="shared" si="6"/>
        <v>1651.833945495247</v>
      </c>
      <c r="G26" s="457">
        <f t="shared" si="7"/>
        <v>0</v>
      </c>
      <c r="H26" s="457">
        <f t="shared" si="8"/>
        <v>0</v>
      </c>
      <c r="I26" s="457">
        <f t="shared" si="9"/>
        <v>0</v>
      </c>
      <c r="J26" s="457">
        <f t="shared" si="10"/>
        <v>63.494442980746065</v>
      </c>
      <c r="K26" s="457">
        <f t="shared" si="11"/>
        <v>0</v>
      </c>
      <c r="L26" s="457">
        <f t="shared" si="12"/>
        <v>0</v>
      </c>
      <c r="M26" s="457">
        <f t="shared" si="13"/>
        <v>0</v>
      </c>
      <c r="N26" s="457">
        <f t="shared" si="14"/>
        <v>0</v>
      </c>
      <c r="O26" s="457">
        <f t="shared" si="15"/>
        <v>0</v>
      </c>
      <c r="P26" s="458">
        <f t="shared" si="16"/>
        <v>0</v>
      </c>
      <c r="Q26" s="456">
        <f t="shared" ca="1" si="17"/>
        <v>22970.711624346954</v>
      </c>
    </row>
    <row r="27" spans="1:17" s="462" customFormat="1">
      <c r="A27" s="460" t="s">
        <v>578</v>
      </c>
      <c r="B27" s="768">
        <f t="shared" ca="1" si="2"/>
        <v>0.90422825933723805</v>
      </c>
      <c r="C27" s="461">
        <f t="shared" ca="1" si="3"/>
        <v>0</v>
      </c>
      <c r="D27" s="461">
        <f t="shared" si="4"/>
        <v>2.0877352075224498</v>
      </c>
      <c r="E27" s="461">
        <f t="shared" si="5"/>
        <v>166.25266644658606</v>
      </c>
      <c r="F27" s="461">
        <f t="shared" si="6"/>
        <v>0</v>
      </c>
      <c r="G27" s="461">
        <f t="shared" si="7"/>
        <v>47482.107111443955</v>
      </c>
      <c r="H27" s="461">
        <f t="shared" si="8"/>
        <v>6728.8612015832796</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54380.212942940678</v>
      </c>
    </row>
    <row r="28" spans="1:17">
      <c r="A28" s="456" t="s">
        <v>568</v>
      </c>
      <c r="B28" s="457">
        <f t="shared" ca="1" si="2"/>
        <v>0</v>
      </c>
      <c r="C28" s="457">
        <f t="shared" ca="1" si="3"/>
        <v>0</v>
      </c>
      <c r="D28" s="457">
        <f t="shared" si="4"/>
        <v>0</v>
      </c>
      <c r="E28" s="457">
        <f t="shared" si="5"/>
        <v>0</v>
      </c>
      <c r="F28" s="457">
        <f t="shared" si="6"/>
        <v>0</v>
      </c>
      <c r="G28" s="457">
        <f t="shared" si="7"/>
        <v>544.01342936376386</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544.01342936376386</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332.88907598203633</v>
      </c>
      <c r="C32" s="457">
        <f t="shared" ca="1" si="3"/>
        <v>0</v>
      </c>
      <c r="D32" s="457">
        <f t="shared" si="4"/>
        <v>569.64045082575342</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902.52952680778981</v>
      </c>
    </row>
    <row r="33" spans="1:17" s="469" customFormat="1">
      <c r="A33" s="466" t="s">
        <v>572</v>
      </c>
      <c r="B33" s="467">
        <f ca="1">SUM(B22:B32)</f>
        <v>20385.419403591241</v>
      </c>
      <c r="C33" s="467">
        <f t="shared" ref="C33:Q33" ca="1" si="18">SUM(C22:C32)</f>
        <v>4034.7378151260509</v>
      </c>
      <c r="D33" s="467">
        <f t="shared" ca="1" si="18"/>
        <v>39049.401039993456</v>
      </c>
      <c r="E33" s="467">
        <f t="shared" si="18"/>
        <v>2052.8558477665479</v>
      </c>
      <c r="F33" s="467">
        <f t="shared" ca="1" si="18"/>
        <v>15406.020102449609</v>
      </c>
      <c r="G33" s="467">
        <f t="shared" si="18"/>
        <v>48026.120540807722</v>
      </c>
      <c r="H33" s="467">
        <f t="shared" si="18"/>
        <v>6728.8612015832796</v>
      </c>
      <c r="I33" s="467">
        <f t="shared" si="18"/>
        <v>0</v>
      </c>
      <c r="J33" s="467">
        <f t="shared" si="18"/>
        <v>1450.9020930537167</v>
      </c>
      <c r="K33" s="467">
        <f t="shared" si="18"/>
        <v>0</v>
      </c>
      <c r="L33" s="467">
        <f t="shared" ca="1" si="18"/>
        <v>0</v>
      </c>
      <c r="M33" s="467">
        <f t="shared" si="18"/>
        <v>0</v>
      </c>
      <c r="N33" s="467">
        <f t="shared" ca="1" si="18"/>
        <v>0</v>
      </c>
      <c r="O33" s="467">
        <f t="shared" si="18"/>
        <v>0</v>
      </c>
      <c r="P33" s="467">
        <f t="shared" si="18"/>
        <v>0</v>
      </c>
      <c r="Q33" s="467">
        <f t="shared" ca="1" si="18"/>
        <v>137134.31804437161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2979.8416899012332</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8473.4792344559555</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2812.5</v>
      </c>
      <c r="C8" s="1026">
        <f>'SEAP template'!C76</f>
        <v>11884.5</v>
      </c>
      <c r="D8" s="1026">
        <f>'SEAP template'!D76</f>
        <v>13981.764705882351</v>
      </c>
      <c r="E8" s="1026">
        <f>'SEAP template'!E76</f>
        <v>0</v>
      </c>
      <c r="F8" s="1026">
        <f>'SEAP template'!F76</f>
        <v>0</v>
      </c>
      <c r="G8" s="1026">
        <f>'SEAP template'!G76</f>
        <v>0</v>
      </c>
      <c r="H8" s="1026">
        <f>'SEAP template'!H76</f>
        <v>0</v>
      </c>
      <c r="I8" s="1026">
        <f>'SEAP template'!I76</f>
        <v>0</v>
      </c>
      <c r="J8" s="1026">
        <f>'SEAP template'!J76</f>
        <v>3308.8235294117644</v>
      </c>
      <c r="K8" s="1026">
        <f>'SEAP template'!K76</f>
        <v>0</v>
      </c>
      <c r="L8" s="1026">
        <f>'SEAP template'!L76</f>
        <v>0</v>
      </c>
      <c r="M8" s="1026">
        <f>'SEAP template'!M76</f>
        <v>0</v>
      </c>
      <c r="N8" s="1026">
        <f>'SEAP template'!N76</f>
        <v>0</v>
      </c>
      <c r="O8" s="1026">
        <f>'SEAP template'!O76</f>
        <v>0</v>
      </c>
      <c r="P8" s="1027">
        <f>'SEAP template'!Q76</f>
        <v>2824.316470588235</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14265.820924357189</v>
      </c>
      <c r="C10" s="1030">
        <f>SUM(C4:C9)</f>
        <v>11884.5</v>
      </c>
      <c r="D10" s="1030">
        <f t="shared" ref="D10:H10" si="0">SUM(D8:D9)</f>
        <v>13981.764705882351</v>
      </c>
      <c r="E10" s="1030">
        <f t="shared" si="0"/>
        <v>0</v>
      </c>
      <c r="F10" s="1030">
        <f t="shared" si="0"/>
        <v>0</v>
      </c>
      <c r="G10" s="1030">
        <f t="shared" si="0"/>
        <v>0</v>
      </c>
      <c r="H10" s="1030">
        <f t="shared" si="0"/>
        <v>0</v>
      </c>
      <c r="I10" s="1030">
        <f>SUM(I8:I9)</f>
        <v>0</v>
      </c>
      <c r="J10" s="1030">
        <f>SUM(J8:J9)</f>
        <v>3308.8235294117644</v>
      </c>
      <c r="K10" s="1030">
        <f t="shared" ref="K10:L10" si="1">SUM(K8:K9)</f>
        <v>0</v>
      </c>
      <c r="L10" s="1030">
        <f t="shared" si="1"/>
        <v>0</v>
      </c>
      <c r="M10" s="1030">
        <f>SUM(M8:M9)</f>
        <v>0</v>
      </c>
      <c r="N10" s="1030">
        <f>SUM(N8:N9)</f>
        <v>0</v>
      </c>
      <c r="O10" s="1030">
        <f>SUM(O8:O9)</f>
        <v>0</v>
      </c>
      <c r="P10" s="1030">
        <f>SUM(P8:P9)</f>
        <v>2824.316470588235</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0.19302121580405243</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4017.8571428571422</v>
      </c>
      <c r="C17" s="1033">
        <f>'SEAP template'!C87</f>
        <v>16977.857142857145</v>
      </c>
      <c r="D17" s="1027">
        <f>'SEAP template'!D87</f>
        <v>19973.949579831933</v>
      </c>
      <c r="E17" s="1027">
        <f>'SEAP template'!E87</f>
        <v>0</v>
      </c>
      <c r="F17" s="1027">
        <f>'SEAP template'!F87</f>
        <v>0</v>
      </c>
      <c r="G17" s="1027">
        <f>'SEAP template'!G87</f>
        <v>0</v>
      </c>
      <c r="H17" s="1027">
        <f>'SEAP template'!H87</f>
        <v>0</v>
      </c>
      <c r="I17" s="1027">
        <f>'SEAP template'!I87</f>
        <v>0</v>
      </c>
      <c r="J17" s="1027">
        <f>'SEAP template'!J87</f>
        <v>4726.8907563025205</v>
      </c>
      <c r="K17" s="1027">
        <f>'SEAP template'!K87</f>
        <v>0</v>
      </c>
      <c r="L17" s="1027">
        <f>'SEAP template'!L87</f>
        <v>0</v>
      </c>
      <c r="M17" s="1027">
        <f>'SEAP template'!M87</f>
        <v>0</v>
      </c>
      <c r="N17" s="1027">
        <f>'SEAP template'!N87</f>
        <v>0</v>
      </c>
      <c r="O17" s="1027">
        <f>'SEAP template'!O87</f>
        <v>0</v>
      </c>
      <c r="P17" s="1027">
        <f>'SEAP template'!Q87</f>
        <v>4034.7378151260509</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4017.8571428571422</v>
      </c>
      <c r="C20" s="1030">
        <f>SUM(C17:C19)</f>
        <v>16977.857142857145</v>
      </c>
      <c r="D20" s="1030">
        <f t="shared" ref="D20:H20" si="2">SUM(D17:D19)</f>
        <v>19973.949579831933</v>
      </c>
      <c r="E20" s="1030">
        <f t="shared" si="2"/>
        <v>0</v>
      </c>
      <c r="F20" s="1030">
        <f t="shared" si="2"/>
        <v>0</v>
      </c>
      <c r="G20" s="1030">
        <f t="shared" si="2"/>
        <v>0</v>
      </c>
      <c r="H20" s="1030">
        <f t="shared" si="2"/>
        <v>0</v>
      </c>
      <c r="I20" s="1030">
        <f>SUM(I17:I19)</f>
        <v>0</v>
      </c>
      <c r="J20" s="1030">
        <f>SUM(J17:J19)</f>
        <v>4726.8907563025205</v>
      </c>
      <c r="K20" s="1030">
        <f t="shared" ref="K20:L20" si="3">SUM(K17:K19)</f>
        <v>0</v>
      </c>
      <c r="L20" s="1030">
        <f t="shared" si="3"/>
        <v>0</v>
      </c>
      <c r="M20" s="1030">
        <f>SUM(M17:M19)</f>
        <v>0</v>
      </c>
      <c r="N20" s="1030">
        <f>SUM(N17:N19)</f>
        <v>0</v>
      </c>
      <c r="O20" s="1030">
        <f>SUM(O17:O19)</f>
        <v>0</v>
      </c>
      <c r="P20" s="1030">
        <f>SUM(P17:P19)</f>
        <v>4034.7378151260509</v>
      </c>
    </row>
    <row r="22" spans="1:16">
      <c r="A22" s="470" t="s">
        <v>916</v>
      </c>
      <c r="B22" s="774" t="s">
        <v>910</v>
      </c>
      <c r="C22" s="774">
        <f ca="1">'EF ele_warmte'!B22</f>
        <v>0.1921695904326213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0.19302121580405243</v>
      </c>
      <c r="C17" s="506">
        <f ca="1">'EF ele_warmte'!B22</f>
        <v>0.1921695904326213</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2020-06-20T16:29:30Z</dcterms:modified>
</cp:coreProperties>
</file>