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9.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0.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2\"/>
    </mc:Choice>
  </mc:AlternateContent>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E42" i="22" l="1"/>
  <c r="E78" i="22"/>
  <c r="E34" i="50"/>
  <c r="E32" i="50"/>
  <c r="E30" i="50"/>
  <c r="E28" i="50"/>
  <c r="E29" i="50"/>
  <c r="E31" i="50"/>
  <c r="E33" i="50"/>
  <c r="E35" i="50"/>
  <c r="P7" i="56" l="1"/>
  <c r="P6" i="56"/>
  <c r="P5" i="56"/>
  <c r="P4" i="56"/>
  <c r="K22" i="18" l="1"/>
  <c r="J22" i="18"/>
  <c r="I22" i="18"/>
  <c r="H22" i="18"/>
  <c r="K12" i="18"/>
  <c r="J12" i="18"/>
  <c r="I12" i="18"/>
  <c r="H12" i="18"/>
  <c r="L19" i="18"/>
  <c r="K19" i="18"/>
  <c r="J19" i="18"/>
  <c r="I19" i="18"/>
  <c r="H19" i="18"/>
  <c r="G19" i="18"/>
  <c r="F19" i="18"/>
  <c r="E19" i="18"/>
  <c r="D19" i="18"/>
  <c r="C19" i="18"/>
  <c r="B19" i="18"/>
  <c r="N18" i="18"/>
  <c r="M18" i="18"/>
  <c r="L18" i="18"/>
  <c r="L20" i="18" s="1"/>
  <c r="K18" i="18"/>
  <c r="J18" i="18"/>
  <c r="I18" i="18"/>
  <c r="H18" i="18"/>
  <c r="G18" i="18"/>
  <c r="F18" i="18"/>
  <c r="E18" i="18"/>
  <c r="D18" i="18"/>
  <c r="D20" i="18" s="1"/>
  <c r="C18" i="18"/>
  <c r="B18" i="18"/>
  <c r="L9" i="18"/>
  <c r="K9" i="18"/>
  <c r="G9" i="18"/>
  <c r="G10" i="18" s="1"/>
  <c r="F9" i="18"/>
  <c r="F10" i="18" s="1"/>
  <c r="E9" i="18"/>
  <c r="D9"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V36" i="18"/>
  <c r="J9" i="18" s="1"/>
  <c r="U36" i="18"/>
  <c r="T36" i="18"/>
  <c r="I9" i="18" s="1"/>
  <c r="S36" i="18"/>
  <c r="R36" i="18"/>
  <c r="Q36" i="18"/>
  <c r="P36" i="18"/>
  <c r="C9" i="18" s="1"/>
  <c r="O36" i="18"/>
  <c r="N36" i="18"/>
  <c r="B9" i="18" s="1"/>
  <c r="M36" i="18"/>
  <c r="W32" i="18"/>
  <c r="V32" i="18"/>
  <c r="U32" i="18"/>
  <c r="T32" i="18"/>
  <c r="S32" i="18"/>
  <c r="R32" i="18"/>
  <c r="Q32" i="18"/>
  <c r="P32" i="18"/>
  <c r="O32" i="18"/>
  <c r="N32" i="18"/>
  <c r="M32" i="18"/>
  <c r="W31" i="18"/>
  <c r="V31" i="18"/>
  <c r="U31" i="18"/>
  <c r="T31" i="18"/>
  <c r="S31" i="18"/>
  <c r="R31" i="18"/>
  <c r="Q31" i="18"/>
  <c r="P31" i="18"/>
  <c r="O31" i="18"/>
  <c r="N31" i="18"/>
  <c r="M31" i="18"/>
  <c r="W30" i="18"/>
  <c r="V30" i="18"/>
  <c r="U30" i="18"/>
  <c r="T30" i="18"/>
  <c r="S30" i="18"/>
  <c r="R30" i="18"/>
  <c r="Q30" i="18"/>
  <c r="P30" i="18"/>
  <c r="O30" i="18"/>
  <c r="N30" i="18"/>
  <c r="M30" i="18"/>
  <c r="W29" i="18"/>
  <c r="V29" i="18"/>
  <c r="U29" i="18"/>
  <c r="T29" i="18"/>
  <c r="S29" i="18"/>
  <c r="R29" i="18"/>
  <c r="Q29" i="18"/>
  <c r="P29" i="18"/>
  <c r="O29" i="18"/>
  <c r="B45" i="18" s="1"/>
  <c r="N29" i="18"/>
  <c r="M29" i="18"/>
  <c r="G22" i="18"/>
  <c r="F22" i="18"/>
  <c r="E22" i="18"/>
  <c r="D22" i="18"/>
  <c r="C22" i="18"/>
  <c r="B17" i="18"/>
  <c r="G12" i="18"/>
  <c r="F12" i="18"/>
  <c r="E12" i="18"/>
  <c r="D12" i="18"/>
  <c r="C12" i="18"/>
  <c r="L10" i="18"/>
  <c r="K10" i="18"/>
  <c r="D10" i="18"/>
  <c r="B8" i="18"/>
  <c r="B6" i="18"/>
  <c r="B5" i="18"/>
  <c r="B4" i="18"/>
  <c r="F20" i="18" l="1"/>
  <c r="C45" i="18"/>
  <c r="B48" i="18" s="1"/>
  <c r="C8" i="18" s="1"/>
  <c r="G20" i="18"/>
  <c r="K20" i="18"/>
  <c r="B10" i="18"/>
  <c r="O9" i="18"/>
  <c r="O19" i="18"/>
  <c r="O18" i="18"/>
  <c r="B20" i="18"/>
  <c r="I49" i="18"/>
  <c r="H17" i="18" s="1"/>
  <c r="H20" i="18" s="1"/>
  <c r="E49" i="18"/>
  <c r="E17" i="18" s="1"/>
  <c r="E20" i="18" s="1"/>
  <c r="G49" i="18"/>
  <c r="C49" i="18"/>
  <c r="H49" i="18"/>
  <c r="D49" i="18"/>
  <c r="F49" i="18"/>
  <c r="B49" i="18"/>
  <c r="C17" i="18" s="1"/>
  <c r="I48" i="18"/>
  <c r="H8" i="18" s="1"/>
  <c r="H10" i="18" s="1"/>
  <c r="E48" i="18"/>
  <c r="E8" i="18" s="1"/>
  <c r="E10" i="18" s="1"/>
  <c r="G48" i="18"/>
  <c r="C48" i="18"/>
  <c r="H48" i="18"/>
  <c r="D48" i="18"/>
  <c r="F48" i="18"/>
  <c r="N6" i="17"/>
  <c r="L6" i="17"/>
  <c r="F6" i="17"/>
  <c r="D6" i="17"/>
  <c r="C6" i="17"/>
  <c r="N16" i="16"/>
  <c r="L16" i="16"/>
  <c r="F16" i="16"/>
  <c r="D16" i="16"/>
  <c r="C16" i="16"/>
  <c r="B16" i="16"/>
  <c r="B13" i="15"/>
  <c r="C10" i="18" l="1"/>
  <c r="C20" i="18"/>
  <c r="I8" i="18"/>
  <c r="I10" i="18" s="1"/>
  <c r="I17" i="18"/>
  <c r="I20" i="18" s="1"/>
  <c r="J8" i="18"/>
  <c r="J10" i="18" s="1"/>
  <c r="J17" i="18"/>
  <c r="J20" i="18" s="1"/>
  <c r="B19" i="6"/>
  <c r="B18" i="6"/>
  <c r="B5" i="6"/>
  <c r="C29" i="14" s="1"/>
  <c r="B6" i="6"/>
  <c r="C64" i="14" s="1"/>
  <c r="D14" i="48"/>
  <c r="D32" i="48" s="1"/>
  <c r="P7" i="48"/>
  <c r="O7" i="48"/>
  <c r="M7" i="48"/>
  <c r="K7" i="48"/>
  <c r="I7" i="48"/>
  <c r="H7" i="48"/>
  <c r="G7" i="48"/>
  <c r="P10" i="48"/>
  <c r="O10" i="48"/>
  <c r="N10" i="48"/>
  <c r="L10" i="48"/>
  <c r="K10" i="48"/>
  <c r="J10" i="48"/>
  <c r="I10" i="48"/>
  <c r="H10" i="48"/>
  <c r="F10" i="48"/>
  <c r="E10" i="48"/>
  <c r="D10" i="48"/>
  <c r="C10" i="48"/>
  <c r="P9" i="48"/>
  <c r="O9" i="48"/>
  <c r="N9" i="48"/>
  <c r="L9" i="48"/>
  <c r="K9" i="48"/>
  <c r="J9" i="48"/>
  <c r="I9" i="48"/>
  <c r="F9" i="48"/>
  <c r="C9" i="48"/>
  <c r="P13" i="48"/>
  <c r="O13" i="48"/>
  <c r="N13" i="48"/>
  <c r="L13" i="48"/>
  <c r="K13" i="48"/>
  <c r="J13" i="48"/>
  <c r="I13" i="48"/>
  <c r="F13" i="48"/>
  <c r="E13" i="48"/>
  <c r="D13" i="48"/>
  <c r="C13" i="48"/>
  <c r="B13" i="48"/>
  <c r="M8" i="48"/>
  <c r="K8" i="48"/>
  <c r="I8" i="48"/>
  <c r="H8" i="48"/>
  <c r="G8" i="48"/>
  <c r="B12" i="48"/>
  <c r="P17" i="48"/>
  <c r="O17" i="48"/>
  <c r="N17" i="48"/>
  <c r="M17" i="48"/>
  <c r="L17" i="48"/>
  <c r="K17" i="48"/>
  <c r="J17" i="48"/>
  <c r="I17" i="48"/>
  <c r="H17" i="48"/>
  <c r="G17" i="48"/>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D11" i="48"/>
  <c r="C11" i="48"/>
  <c r="B11" i="48"/>
  <c r="N32" i="48"/>
  <c r="J32" i="48"/>
  <c r="F32" i="48"/>
  <c r="N31" i="48"/>
  <c r="J31" i="48"/>
  <c r="F31" i="48"/>
  <c r="N30" i="48"/>
  <c r="J30" i="48"/>
  <c r="F30" i="48"/>
  <c r="N24" i="48"/>
  <c r="J24" i="48"/>
  <c r="F24" i="48"/>
  <c r="P32" i="48"/>
  <c r="O32" i="48"/>
  <c r="M32" i="48"/>
  <c r="L32" i="48"/>
  <c r="K32" i="48"/>
  <c r="I32" i="48"/>
  <c r="H32" i="48"/>
  <c r="G32" i="48"/>
  <c r="E32" i="48"/>
  <c r="D30" i="48"/>
  <c r="I15" i="48"/>
  <c r="P31" i="48"/>
  <c r="O31" i="48"/>
  <c r="L31" i="48"/>
  <c r="K31" i="48"/>
  <c r="I31" i="48"/>
  <c r="E31" i="48"/>
  <c r="D31" i="48"/>
  <c r="Q12" i="48"/>
  <c r="P29" i="48"/>
  <c r="O29" i="48"/>
  <c r="N29" i="48"/>
  <c r="M29" i="48"/>
  <c r="L29" i="48"/>
  <c r="K29" i="48"/>
  <c r="J29" i="48"/>
  <c r="I29" i="48"/>
  <c r="H29" i="48"/>
  <c r="G29" i="48"/>
  <c r="F29" i="48"/>
  <c r="E29" i="48"/>
  <c r="D29" i="48"/>
  <c r="Q11" i="48"/>
  <c r="P28" i="48"/>
  <c r="O28" i="48"/>
  <c r="N28" i="48"/>
  <c r="L28" i="48"/>
  <c r="K28" i="48"/>
  <c r="J28" i="48"/>
  <c r="I28" i="48"/>
  <c r="H28" i="48"/>
  <c r="F28" i="48"/>
  <c r="E28" i="48"/>
  <c r="D28" i="48"/>
  <c r="P27" i="48"/>
  <c r="O27" i="48"/>
  <c r="N27" i="48"/>
  <c r="L27" i="48"/>
  <c r="K27" i="48"/>
  <c r="J27" i="48"/>
  <c r="I27" i="48"/>
  <c r="F27" i="48"/>
  <c r="M26" i="48"/>
  <c r="K26" i="48"/>
  <c r="I26" i="48"/>
  <c r="H26" i="48"/>
  <c r="G26" i="48"/>
  <c r="P25" i="48"/>
  <c r="O25" i="48"/>
  <c r="M25" i="48"/>
  <c r="K25" i="48"/>
  <c r="I25" i="48"/>
  <c r="H25" i="48"/>
  <c r="G25" i="48"/>
  <c r="M23" i="48"/>
  <c r="K23" i="48"/>
  <c r="I23" i="48"/>
  <c r="H23" i="48"/>
  <c r="G23" i="48"/>
  <c r="M22" i="48"/>
  <c r="K15" i="48"/>
  <c r="I22" i="48"/>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i="14"/>
  <c r="N18" i="56" s="1"/>
  <c r="M88" i="14"/>
  <c r="M18" i="56" s="1"/>
  <c r="L88" i="14"/>
  <c r="L18" i="56" s="1"/>
  <c r="K88" i="14"/>
  <c r="J88" i="14"/>
  <c r="J18" i="56" s="1"/>
  <c r="I88" i="14"/>
  <c r="I18" i="56" s="1"/>
  <c r="H88" i="14"/>
  <c r="H18" i="56" s="1"/>
  <c r="G88" i="14"/>
  <c r="F88" i="14"/>
  <c r="F18" i="56" s="1"/>
  <c r="E88" i="14"/>
  <c r="E18" i="56" s="1"/>
  <c r="D88" i="14"/>
  <c r="O87" i="14"/>
  <c r="O17" i="56" s="1"/>
  <c r="N87" i="14"/>
  <c r="N17" i="56" s="1"/>
  <c r="M87" i="14"/>
  <c r="M17" i="56" s="1"/>
  <c r="L87" i="14"/>
  <c r="K87" i="14"/>
  <c r="K17" i="56" s="1"/>
  <c r="I87" i="14"/>
  <c r="I17" i="56" s="1"/>
  <c r="H87" i="14"/>
  <c r="H17" i="56" s="1"/>
  <c r="G87" i="14"/>
  <c r="G17" i="56" s="1"/>
  <c r="F87" i="14"/>
  <c r="F17" i="56" s="1"/>
  <c r="E87" i="14"/>
  <c r="E17" i="56" s="1"/>
  <c r="D87" i="14"/>
  <c r="O77" i="14"/>
  <c r="N77" i="14"/>
  <c r="N9" i="56" s="1"/>
  <c r="M77" i="14"/>
  <c r="M9" i="56" s="1"/>
  <c r="L77" i="14"/>
  <c r="L9" i="56" s="1"/>
  <c r="K77" i="14"/>
  <c r="K9" i="56" s="1"/>
  <c r="J77" i="14"/>
  <c r="J9" i="56" s="1"/>
  <c r="I77" i="14"/>
  <c r="I9" i="56" s="1"/>
  <c r="H77" i="14"/>
  <c r="G77" i="14"/>
  <c r="G9" i="56" s="1"/>
  <c r="F77" i="14"/>
  <c r="F9" i="56" s="1"/>
  <c r="E77" i="14"/>
  <c r="E9" i="56" s="1"/>
  <c r="D77" i="14"/>
  <c r="O76" i="14"/>
  <c r="O8" i="56" s="1"/>
  <c r="N76" i="14"/>
  <c r="M76" i="14"/>
  <c r="L76" i="14"/>
  <c r="L8" i="56" s="1"/>
  <c r="K76" i="14"/>
  <c r="I76" i="14"/>
  <c r="I8" i="56" s="1"/>
  <c r="I10" i="56" s="1"/>
  <c r="H76" i="14"/>
  <c r="H8" i="56" s="1"/>
  <c r="G76" i="14"/>
  <c r="G8" i="56" s="1"/>
  <c r="F76" i="14"/>
  <c r="F8" i="56" s="1"/>
  <c r="F10" i="56" s="1"/>
  <c r="E76" i="14"/>
  <c r="D76" i="14"/>
  <c r="D8" i="56" s="1"/>
  <c r="B75" i="14"/>
  <c r="B7" i="56" s="1"/>
  <c r="B74" i="14"/>
  <c r="B6" i="56" s="1"/>
  <c r="B73" i="14"/>
  <c r="B5" i="56" s="1"/>
  <c r="B72" i="14"/>
  <c r="B4" i="56" s="1"/>
  <c r="Q54" i="14"/>
  <c r="P54" i="14"/>
  <c r="N54" i="14"/>
  <c r="L54" i="14"/>
  <c r="J54" i="14"/>
  <c r="I54" i="14"/>
  <c r="H54" i="14"/>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O20" i="14"/>
  <c r="M20" i="14"/>
  <c r="L20" i="14"/>
  <c r="K20" i="14"/>
  <c r="J20" i="14"/>
  <c r="G20" i="14"/>
  <c r="D20" i="14"/>
  <c r="Q19" i="14"/>
  <c r="P19" i="14"/>
  <c r="O19" i="14"/>
  <c r="M19" i="14"/>
  <c r="L19" i="14"/>
  <c r="K19" i="14"/>
  <c r="J19" i="14"/>
  <c r="I19" i="14"/>
  <c r="G19" i="14"/>
  <c r="F19" i="14"/>
  <c r="E19" i="14"/>
  <c r="D19" i="14"/>
  <c r="Q48" i="14"/>
  <c r="P48" i="14"/>
  <c r="O48" i="14"/>
  <c r="M48" i="14"/>
  <c r="L48" i="14"/>
  <c r="K48" i="14"/>
  <c r="J48" i="14"/>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I40" i="14"/>
  <c r="H40" i="14"/>
  <c r="N10" i="14"/>
  <c r="L10" i="14"/>
  <c r="J10" i="14"/>
  <c r="I10" i="14"/>
  <c r="H10" i="14"/>
  <c r="Q39" i="14"/>
  <c r="P39" i="14"/>
  <c r="O39" i="14"/>
  <c r="N39" i="14"/>
  <c r="M39" i="14"/>
  <c r="L39" i="14"/>
  <c r="K39" i="14"/>
  <c r="J39" i="14"/>
  <c r="I39" i="14"/>
  <c r="H39" i="14"/>
  <c r="G39" i="14"/>
  <c r="F39" i="14"/>
  <c r="E39" i="14"/>
  <c r="Q9" i="14"/>
  <c r="P9" i="14"/>
  <c r="O9" i="14"/>
  <c r="N9" i="14"/>
  <c r="M9" i="14"/>
  <c r="L9" i="14"/>
  <c r="K9" i="14"/>
  <c r="J9" i="14"/>
  <c r="I9" i="14"/>
  <c r="H9" i="14"/>
  <c r="G9" i="14"/>
  <c r="F9" i="14"/>
  <c r="E9" i="14"/>
  <c r="D9" i="14"/>
  <c r="C9" i="14"/>
  <c r="R90" i="14"/>
  <c r="R78" i="14"/>
  <c r="P56" i="14"/>
  <c r="N56" i="14"/>
  <c r="L56" i="14"/>
  <c r="J56" i="14"/>
  <c r="H56" i="14"/>
  <c r="Q56" i="14"/>
  <c r="I56" i="14"/>
  <c r="Q52" i="14"/>
  <c r="P52" i="14"/>
  <c r="O52" i="14"/>
  <c r="M52" i="14"/>
  <c r="L52" i="14"/>
  <c r="K52" i="14"/>
  <c r="J52" i="14"/>
  <c r="G52" i="14"/>
  <c r="I46" i="14"/>
  <c r="R44" i="14"/>
  <c r="N46" i="14"/>
  <c r="J46" i="14"/>
  <c r="J61" i="14" s="1"/>
  <c r="L46" i="14"/>
  <c r="L61" i="14" s="1"/>
  <c r="H46" i="14"/>
  <c r="Q26" i="14"/>
  <c r="N26" i="14"/>
  <c r="J26" i="14"/>
  <c r="I26" i="14"/>
  <c r="E25" i="14"/>
  <c r="C25" i="14"/>
  <c r="B14" i="48" s="1"/>
  <c r="Q14" i="48" s="1"/>
  <c r="P26" i="14"/>
  <c r="L26" i="14"/>
  <c r="H26" i="14"/>
  <c r="Q22" i="14"/>
  <c r="P22" i="14"/>
  <c r="O22" i="14"/>
  <c r="M22" i="14"/>
  <c r="L22" i="14"/>
  <c r="K22" i="14"/>
  <c r="J22" i="14"/>
  <c r="G22" i="14"/>
  <c r="D22" i="14"/>
  <c r="H16" i="14"/>
  <c r="L16" i="14"/>
  <c r="I16" i="14"/>
  <c r="R12" i="14"/>
  <c r="N16" i="14"/>
  <c r="J16" i="14"/>
  <c r="F13" i="15"/>
  <c r="D13" i="15"/>
  <c r="C13" i="15"/>
  <c r="G10" i="56" l="1"/>
  <c r="J76" i="14"/>
  <c r="J8" i="56" s="1"/>
  <c r="J10" i="56" s="1"/>
  <c r="E20" i="56"/>
  <c r="F20" i="56"/>
  <c r="I20" i="56"/>
  <c r="J78" i="14"/>
  <c r="H20" i="56"/>
  <c r="F90" i="14"/>
  <c r="C88" i="14"/>
  <c r="C18" i="56" s="1"/>
  <c r="F78" i="14"/>
  <c r="N90" i="14"/>
  <c r="M20" i="56"/>
  <c r="H90" i="14"/>
  <c r="N20" i="56"/>
  <c r="C77" i="14"/>
  <c r="C9" i="56" s="1"/>
  <c r="D9" i="56"/>
  <c r="D10" i="56" s="1"/>
  <c r="H78" i="14"/>
  <c r="H9" i="56"/>
  <c r="H10" i="56" s="1"/>
  <c r="Q87" i="14"/>
  <c r="P17" i="56" s="1"/>
  <c r="D17" i="56"/>
  <c r="Q88" i="14"/>
  <c r="P18" i="56" s="1"/>
  <c r="D18" i="56"/>
  <c r="G78" i="14"/>
  <c r="Q89" i="14"/>
  <c r="P19" i="56" s="1"/>
  <c r="C76" i="14"/>
  <c r="C8" i="56" s="1"/>
  <c r="E8" i="56"/>
  <c r="E10" i="56" s="1"/>
  <c r="M78" i="14"/>
  <c r="M8" i="56"/>
  <c r="M10" i="56" s="1"/>
  <c r="K78" i="14"/>
  <c r="K8" i="56"/>
  <c r="K10" i="56" s="1"/>
  <c r="O78" i="14"/>
  <c r="O9" i="56"/>
  <c r="O10" i="56" s="1"/>
  <c r="L90" i="14"/>
  <c r="L17" i="56"/>
  <c r="L20" i="56" s="1"/>
  <c r="G90" i="14"/>
  <c r="G18" i="56"/>
  <c r="G20" i="56" s="1"/>
  <c r="K90" i="14"/>
  <c r="K18" i="56"/>
  <c r="K20" i="56" s="1"/>
  <c r="O90" i="14"/>
  <c r="O18" i="56"/>
  <c r="O20" i="56" s="1"/>
  <c r="Q76" i="14"/>
  <c r="P8" i="56" s="1"/>
  <c r="L10" i="56"/>
  <c r="L78" i="14"/>
  <c r="N78" i="14"/>
  <c r="N8" i="56"/>
  <c r="N10" i="56" s="1"/>
  <c r="D78" i="14"/>
  <c r="B76" i="14"/>
  <c r="B8" i="56" s="1"/>
  <c r="Q77" i="14"/>
  <c r="O17" i="18"/>
  <c r="O20" i="18" s="1"/>
  <c r="J87" i="14"/>
  <c r="B88" i="14"/>
  <c r="B18" i="56" s="1"/>
  <c r="C89" i="14"/>
  <c r="C19" i="56" s="1"/>
  <c r="B89" i="14"/>
  <c r="B19" i="56" s="1"/>
  <c r="B77" i="14"/>
  <c r="B9" i="56" s="1"/>
  <c r="O8" i="18"/>
  <c r="O10" i="18" s="1"/>
  <c r="N13" i="15"/>
  <c r="L13" i="15"/>
  <c r="G22" i="48"/>
  <c r="K22" i="48"/>
  <c r="G24" i="48"/>
  <c r="K24" i="48"/>
  <c r="O24" i="48"/>
  <c r="G30" i="48"/>
  <c r="K30" i="48"/>
  <c r="O30" i="48"/>
  <c r="H22" i="48"/>
  <c r="L22" i="48"/>
  <c r="D24" i="48"/>
  <c r="H24" i="48"/>
  <c r="L24" i="48"/>
  <c r="P24" i="48"/>
  <c r="H30" i="48"/>
  <c r="L30" i="48"/>
  <c r="P30" i="48"/>
  <c r="E24" i="48"/>
  <c r="I24" i="48"/>
  <c r="I33" i="48" s="1"/>
  <c r="M24" i="48"/>
  <c r="E30" i="48"/>
  <c r="I30" i="48"/>
  <c r="M30" i="48"/>
  <c r="L27" i="14"/>
  <c r="L63" i="14" s="1"/>
  <c r="R9" i="14"/>
  <c r="E78" i="14"/>
  <c r="I78" i="14"/>
  <c r="E55" i="14"/>
  <c r="R25" i="14"/>
  <c r="J27" i="14"/>
  <c r="J63" i="14" s="1"/>
  <c r="E90" i="14"/>
  <c r="I90" i="14"/>
  <c r="M90" i="14"/>
  <c r="D90" i="14"/>
  <c r="C78" i="14" l="1"/>
  <c r="B10" i="56"/>
  <c r="C10" i="56"/>
  <c r="B78" i="14"/>
  <c r="B4" i="6" s="1"/>
  <c r="D20" i="56"/>
  <c r="Q78" i="14"/>
  <c r="B9" i="6" s="1"/>
  <c r="P9" i="56"/>
  <c r="P10" i="56" s="1"/>
  <c r="J90" i="14"/>
  <c r="J17" i="56"/>
  <c r="J20" i="56" s="1"/>
  <c r="Q90" i="14"/>
  <c r="B17" i="6" s="1"/>
  <c r="C87" i="14"/>
  <c r="C17" i="56" s="1"/>
  <c r="C20" i="56" s="1"/>
  <c r="P20" i="56"/>
  <c r="B87" i="14"/>
  <c r="K33" i="48"/>
  <c r="C90" i="14" l="1"/>
  <c r="B90" i="14"/>
  <c r="B17" i="56"/>
  <c r="B20" i="56" s="1"/>
  <c r="D5" i="17"/>
  <c r="H14" i="15" l="1"/>
  <c r="H16" i="15" s="1"/>
  <c r="G14" i="15"/>
  <c r="G16" i="15" s="1"/>
  <c r="A32" i="23" l="1"/>
  <c r="A33" i="23"/>
  <c r="G56" i="22" l="1"/>
  <c r="N25" i="22" l="1"/>
  <c r="N24" i="22"/>
  <c r="A6" i="23" l="1"/>
  <c r="A5" i="23"/>
  <c r="A3" i="23"/>
  <c r="A4" i="23"/>
  <c r="A7" i="23"/>
  <c r="A8" i="23"/>
  <c r="A9" i="23"/>
  <c r="A10" i="23"/>
  <c r="A11" i="23"/>
  <c r="A12" i="23"/>
  <c r="A13" i="23"/>
  <c r="A14" i="23"/>
  <c r="A15" i="23"/>
  <c r="A16" i="23"/>
  <c r="A17" i="23"/>
  <c r="A18" i="23"/>
  <c r="A19" i="23"/>
  <c r="A20" i="23"/>
  <c r="A21" i="23"/>
  <c r="A22" i="23"/>
  <c r="A23" i="23"/>
  <c r="A24" i="23"/>
  <c r="A25" i="23"/>
  <c r="A26" i="23"/>
  <c r="A27" i="23"/>
  <c r="A28" i="23"/>
  <c r="A29" i="23"/>
  <c r="A30" i="23"/>
  <c r="A31" i="23"/>
  <c r="A2" i="23"/>
  <c r="D11" i="22" l="1"/>
  <c r="D9" i="22"/>
  <c r="D7" i="22"/>
  <c r="D10" i="22"/>
  <c r="D8" i="22"/>
  <c r="E11" i="22"/>
  <c r="B10" i="22"/>
  <c r="E7" i="22"/>
  <c r="B6" i="22"/>
  <c r="B11" i="22"/>
  <c r="E10" i="22"/>
  <c r="B9" i="22"/>
  <c r="E8" i="22"/>
  <c r="B7" i="22"/>
  <c r="E6" i="22"/>
  <c r="D6" i="22"/>
  <c r="E9" i="22"/>
  <c r="B8" i="22"/>
  <c r="B52" i="22"/>
  <c r="M15" i="19" l="1"/>
  <c r="M14" i="15" s="1"/>
  <c r="M16" i="15" s="1"/>
  <c r="O15" i="19"/>
  <c r="P15" i="19"/>
  <c r="B28" i="17" l="1"/>
  <c r="B27" i="17"/>
  <c r="B26" i="17"/>
  <c r="B31" i="19" l="1"/>
  <c r="B24" i="19"/>
  <c r="V32" i="5" l="1"/>
  <c r="R32" i="5"/>
  <c r="F32" i="5"/>
  <c r="W32" i="5" s="1"/>
  <c r="AC32" i="5" s="1"/>
  <c r="V31" i="5"/>
  <c r="R31" i="5"/>
  <c r="F31" i="5"/>
  <c r="V30" i="5"/>
  <c r="R30" i="5"/>
  <c r="F30" i="5"/>
  <c r="V29" i="5"/>
  <c r="R29" i="5"/>
  <c r="F29" i="5"/>
  <c r="V28" i="5"/>
  <c r="R28" i="5"/>
  <c r="F28" i="5"/>
  <c r="V27" i="5"/>
  <c r="R27" i="5"/>
  <c r="F27" i="5"/>
  <c r="V24" i="5"/>
  <c r="R24" i="5"/>
  <c r="F24" i="5"/>
  <c r="V23" i="5"/>
  <c r="R23" i="5"/>
  <c r="F23" i="5"/>
  <c r="V22" i="5"/>
  <c r="R22" i="5"/>
  <c r="F22" i="5"/>
  <c r="V21" i="5"/>
  <c r="R21" i="5"/>
  <c r="F21" i="5"/>
  <c r="V20" i="5"/>
  <c r="R20" i="5"/>
  <c r="F20" i="5"/>
  <c r="V19" i="5"/>
  <c r="R19" i="5"/>
  <c r="F19" i="5"/>
  <c r="V18" i="5"/>
  <c r="R18" i="5"/>
  <c r="F18" i="5"/>
  <c r="V17" i="5"/>
  <c r="R17" i="5"/>
  <c r="F17" i="5"/>
  <c r="V16" i="5"/>
  <c r="R16" i="5"/>
  <c r="F16" i="5"/>
  <c r="AB15" i="5"/>
  <c r="AA15" i="5"/>
  <c r="Z15" i="5"/>
  <c r="Y15" i="5"/>
  <c r="X15" i="5"/>
  <c r="U15" i="5"/>
  <c r="T15" i="5"/>
  <c r="S15" i="5"/>
  <c r="Q15" i="5"/>
  <c r="P15" i="5"/>
  <c r="O15" i="5"/>
  <c r="N15" i="5"/>
  <c r="M15" i="5"/>
  <c r="L15" i="5"/>
  <c r="K15" i="5"/>
  <c r="J15" i="5"/>
  <c r="I15" i="5"/>
  <c r="H15" i="5"/>
  <c r="G15" i="5"/>
  <c r="E15" i="5"/>
  <c r="D15" i="5"/>
  <c r="C15" i="5"/>
  <c r="V14" i="5"/>
  <c r="R14" i="5"/>
  <c r="F14" i="5"/>
  <c r="V13" i="5"/>
  <c r="R13" i="5"/>
  <c r="F13" i="5"/>
  <c r="V12" i="5"/>
  <c r="R12" i="5"/>
  <c r="F12" i="5"/>
  <c r="V11" i="5"/>
  <c r="R11" i="5"/>
  <c r="F11" i="5"/>
  <c r="V10" i="5"/>
  <c r="R10" i="5"/>
  <c r="F10" i="5"/>
  <c r="V9" i="5"/>
  <c r="R9" i="5"/>
  <c r="F9" i="5"/>
  <c r="AB8" i="5"/>
  <c r="AA8" i="5"/>
  <c r="Z8" i="5"/>
  <c r="Y8" i="5"/>
  <c r="X8" i="5"/>
  <c r="U8" i="5"/>
  <c r="T8" i="5"/>
  <c r="S8" i="5"/>
  <c r="Q8" i="5"/>
  <c r="P8" i="5"/>
  <c r="O8" i="5"/>
  <c r="N8" i="5"/>
  <c r="M8" i="5"/>
  <c r="L8" i="5"/>
  <c r="K8" i="5"/>
  <c r="J8" i="5"/>
  <c r="I8" i="5"/>
  <c r="H8" i="5"/>
  <c r="G8" i="5"/>
  <c r="E8" i="5"/>
  <c r="D8" i="5"/>
  <c r="C8" i="5"/>
  <c r="V7" i="5"/>
  <c r="R7" i="5"/>
  <c r="F7" i="5"/>
  <c r="W12" i="5" l="1"/>
  <c r="AC12" i="5" s="1"/>
  <c r="W24" i="5"/>
  <c r="AC24" i="5" s="1"/>
  <c r="W29" i="5"/>
  <c r="AC29" i="5" s="1"/>
  <c r="W10" i="5"/>
  <c r="AC10" i="5" s="1"/>
  <c r="W17" i="5"/>
  <c r="AC17" i="5" s="1"/>
  <c r="W21" i="5"/>
  <c r="AC21" i="5" s="1"/>
  <c r="W18" i="5"/>
  <c r="AC18" i="5" s="1"/>
  <c r="W22" i="5"/>
  <c r="AC22" i="5" s="1"/>
  <c r="W28" i="5"/>
  <c r="AC28" i="5" s="1"/>
  <c r="W7" i="5"/>
  <c r="AC7" i="5" s="1"/>
  <c r="V8" i="5"/>
  <c r="W11" i="5"/>
  <c r="AC11" i="5" s="1"/>
  <c r="R15" i="5"/>
  <c r="W23" i="5"/>
  <c r="AC23" i="5" s="1"/>
  <c r="W30" i="5"/>
  <c r="AC30" i="5" s="1"/>
  <c r="W14" i="5"/>
  <c r="AC14" i="5" s="1"/>
  <c r="W19" i="5"/>
  <c r="AC19" i="5" s="1"/>
  <c r="W13" i="5"/>
  <c r="AC13" i="5" s="1"/>
  <c r="V15" i="5"/>
  <c r="W20" i="5"/>
  <c r="AC20" i="5" s="1"/>
  <c r="W31" i="5"/>
  <c r="AC31" i="5" s="1"/>
  <c r="W9" i="5"/>
  <c r="F8" i="5"/>
  <c r="R8" i="5"/>
  <c r="W16" i="5"/>
  <c r="W27" i="5"/>
  <c r="F15" i="5"/>
  <c r="AC16" i="5" l="1"/>
  <c r="AC15" i="5" s="1"/>
  <c r="W15" i="5"/>
  <c r="AC27" i="5"/>
  <c r="W8" i="5"/>
  <c r="AC9" i="5"/>
  <c r="AC8" i="5" s="1"/>
  <c r="B69" i="13" l="1"/>
  <c r="B35" i="19" l="1"/>
  <c r="B26" i="19"/>
  <c r="B27" i="19" s="1"/>
  <c r="B6" i="13" l="1"/>
  <c r="B17" i="17" l="1"/>
  <c r="B34" i="17" l="1"/>
  <c r="B18" i="13" l="1"/>
  <c r="B19" i="13"/>
  <c r="B20" i="13"/>
  <c r="B21" i="13"/>
  <c r="B6" i="16" l="1"/>
  <c r="A78" i="22" l="1"/>
  <c r="A77" i="22"/>
  <c r="A76" i="22"/>
  <c r="A75" i="22"/>
  <c r="A74" i="22"/>
  <c r="B64" i="22"/>
  <c r="N56" i="22"/>
  <c r="M56" i="22"/>
  <c r="L56" i="22"/>
  <c r="K56" i="22"/>
  <c r="J56" i="22"/>
  <c r="I56" i="22"/>
  <c r="H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M12" i="13" s="1"/>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D26" i="20"/>
  <c r="D27" i="20" s="1"/>
  <c r="B26" i="20"/>
  <c r="B27" i="20" s="1"/>
  <c r="N17" i="49"/>
  <c r="M17" i="49"/>
  <c r="L17" i="49"/>
  <c r="K17" i="49"/>
  <c r="J17" i="49"/>
  <c r="I17" i="49"/>
  <c r="F17" i="49"/>
  <c r="E17" i="49"/>
  <c r="D17" i="49"/>
  <c r="B15" i="49"/>
  <c r="B6" i="9" s="1"/>
  <c r="N17" i="19"/>
  <c r="M17" i="19"/>
  <c r="M19" i="19" s="1"/>
  <c r="L17" i="19"/>
  <c r="K17" i="19"/>
  <c r="J17" i="19"/>
  <c r="J19" i="19" s="1"/>
  <c r="I17" i="19"/>
  <c r="F17" i="19"/>
  <c r="E17" i="19"/>
  <c r="D17" i="19"/>
  <c r="P19" i="19"/>
  <c r="O19" i="19"/>
  <c r="N15" i="19"/>
  <c r="N14" i="15" s="1"/>
  <c r="L15" i="19"/>
  <c r="L14" i="15" s="1"/>
  <c r="K15" i="19"/>
  <c r="K14" i="15" s="1"/>
  <c r="K16" i="15" s="1"/>
  <c r="J15" i="19"/>
  <c r="J14" i="15" s="1"/>
  <c r="I15" i="19"/>
  <c r="I14" i="15" s="1"/>
  <c r="I16" i="15" s="1"/>
  <c r="F15" i="19"/>
  <c r="F14" i="15" s="1"/>
  <c r="E15" i="19"/>
  <c r="E14" i="15" s="1"/>
  <c r="D15" i="19"/>
  <c r="C15" i="19"/>
  <c r="C14" i="15" s="1"/>
  <c r="B15" i="19"/>
  <c r="B14" i="15" s="1"/>
  <c r="A7" i="31"/>
  <c r="A6" i="31"/>
  <c r="B4" i="48" l="1"/>
  <c r="C11" i="14"/>
  <c r="P11" i="14"/>
  <c r="O4" i="48"/>
  <c r="O22" i="48" s="1"/>
  <c r="B38" i="13"/>
  <c r="C24" i="14"/>
  <c r="C26" i="14" s="1"/>
  <c r="B7" i="48"/>
  <c r="E11" i="14"/>
  <c r="D4" i="48"/>
  <c r="D22" i="48" s="1"/>
  <c r="Q11" i="14"/>
  <c r="P4" i="48"/>
  <c r="P22" i="48" s="1"/>
  <c r="P5" i="48"/>
  <c r="Q10" i="14"/>
  <c r="B10" i="48"/>
  <c r="C19" i="14"/>
  <c r="D8" i="17"/>
  <c r="D12" i="17" s="1"/>
  <c r="E54" i="14" s="1"/>
  <c r="E56" i="14" s="1"/>
  <c r="K19" i="19"/>
  <c r="C18" i="16"/>
  <c r="E8" i="16"/>
  <c r="J15" i="16"/>
  <c r="F11" i="15"/>
  <c r="D12" i="22"/>
  <c r="D31" i="20"/>
  <c r="E12" i="22"/>
  <c r="N19" i="19"/>
  <c r="B8" i="9"/>
  <c r="B6" i="48" s="1"/>
  <c r="Q6" i="48" s="1"/>
  <c r="P18" i="16"/>
  <c r="F8" i="17"/>
  <c r="F7" i="48" s="1"/>
  <c r="J8" i="17"/>
  <c r="I19" i="19"/>
  <c r="B12" i="22"/>
  <c r="E31" i="20"/>
  <c r="L18" i="16"/>
  <c r="N5" i="17"/>
  <c r="D14" i="15"/>
  <c r="F19" i="19"/>
  <c r="L19" i="19"/>
  <c r="E7" i="15"/>
  <c r="O5" i="16"/>
  <c r="L12" i="13"/>
  <c r="J7" i="15"/>
  <c r="B13" i="16"/>
  <c r="C35" i="16"/>
  <c r="C16" i="15"/>
  <c r="L16" i="15"/>
  <c r="K20" i="15"/>
  <c r="G9" i="22"/>
  <c r="G7" i="22"/>
  <c r="G6" i="22"/>
  <c r="G8" i="22"/>
  <c r="G10" i="22"/>
  <c r="G11" i="22"/>
  <c r="M11" i="22"/>
  <c r="H8" i="22"/>
  <c r="M10" i="22"/>
  <c r="H10" i="22"/>
  <c r="H9" i="22"/>
  <c r="H11" i="22"/>
  <c r="H6" i="22"/>
  <c r="M6" i="22"/>
  <c r="H7" i="22"/>
  <c r="M8" i="22"/>
  <c r="M7" i="22"/>
  <c r="M9" i="22"/>
  <c r="B67" i="22"/>
  <c r="H27" i="20"/>
  <c r="C78" i="22"/>
  <c r="G51" i="22" s="1"/>
  <c r="M27" i="20"/>
  <c r="J11" i="15"/>
  <c r="B7" i="15"/>
  <c r="N7" i="15"/>
  <c r="B11" i="15"/>
  <c r="N11" i="15"/>
  <c r="B11" i="16"/>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D5" i="22"/>
  <c r="B5" i="22"/>
  <c r="B39" i="13"/>
  <c r="B51" i="13" s="1"/>
  <c r="F5" i="13" s="1"/>
  <c r="F8" i="13" s="1"/>
  <c r="P12" i="13"/>
  <c r="Q41" i="14" s="1"/>
  <c r="D12" i="13"/>
  <c r="E41" i="14" s="1"/>
  <c r="C22" i="13"/>
  <c r="C21" i="13"/>
  <c r="C20" i="13"/>
  <c r="O12" i="13"/>
  <c r="P41" i="14" s="1"/>
  <c r="B50" i="13"/>
  <c r="E5" i="17"/>
  <c r="C8" i="17"/>
  <c r="J12" i="17" l="1"/>
  <c r="K54" i="14" s="1"/>
  <c r="K56" i="14" s="1"/>
  <c r="J7" i="48"/>
  <c r="J25" i="48" s="1"/>
  <c r="K24" i="14"/>
  <c r="K26" i="14" s="1"/>
  <c r="Q13" i="14"/>
  <c r="Q16" i="14" s="1"/>
  <c r="Q27" i="14" s="1"/>
  <c r="P8" i="48"/>
  <c r="P26" i="48" s="1"/>
  <c r="P15" i="48"/>
  <c r="P23" i="48"/>
  <c r="P33" i="48" s="1"/>
  <c r="P10" i="14"/>
  <c r="O5" i="48"/>
  <c r="G11" i="14"/>
  <c r="F4" i="48"/>
  <c r="F22" i="48" s="1"/>
  <c r="I18" i="14"/>
  <c r="H13" i="48"/>
  <c r="H31" i="48" s="1"/>
  <c r="H18" i="14"/>
  <c r="R18" i="14" s="1"/>
  <c r="G13" i="48"/>
  <c r="N18" i="14"/>
  <c r="M13" i="48"/>
  <c r="M31" i="48" s="1"/>
  <c r="F12" i="17"/>
  <c r="G54" i="14" s="1"/>
  <c r="G56" i="14" s="1"/>
  <c r="L8" i="48"/>
  <c r="L26" i="48" s="1"/>
  <c r="M13" i="14"/>
  <c r="C8" i="48"/>
  <c r="D13" i="14"/>
  <c r="M10" i="14"/>
  <c r="L5" i="48"/>
  <c r="L23" i="48" s="1"/>
  <c r="C5" i="48"/>
  <c r="D10" i="14"/>
  <c r="D24" i="14"/>
  <c r="D26" i="14" s="1"/>
  <c r="C7" i="48"/>
  <c r="F25" i="48"/>
  <c r="E24" i="14"/>
  <c r="E26" i="14" s="1"/>
  <c r="D7" i="48"/>
  <c r="G24" i="14"/>
  <c r="G26" i="14" s="1"/>
  <c r="P22" i="16"/>
  <c r="Q43" i="14" s="1"/>
  <c r="L5" i="17"/>
  <c r="L8" i="17" s="1"/>
  <c r="D18" i="16"/>
  <c r="B14" i="22"/>
  <c r="H12" i="22"/>
  <c r="D16" i="15"/>
  <c r="B35" i="13"/>
  <c r="N8" i="17"/>
  <c r="G31" i="20"/>
  <c r="H48" i="14" s="1"/>
  <c r="G12" i="22"/>
  <c r="D14" i="22"/>
  <c r="D18" i="22" s="1"/>
  <c r="E50" i="14" s="1"/>
  <c r="E52" i="14" s="1"/>
  <c r="M12" i="22"/>
  <c r="B36" i="13"/>
  <c r="L22" i="16"/>
  <c r="M43" i="14" s="1"/>
  <c r="E8" i="17"/>
  <c r="E14" i="22"/>
  <c r="B34" i="13"/>
  <c r="O18" i="16"/>
  <c r="M51" i="22"/>
  <c r="M50" i="22" s="1"/>
  <c r="M54" i="22" s="1"/>
  <c r="H31" i="20"/>
  <c r="I48" i="14" s="1"/>
  <c r="M31" i="20"/>
  <c r="N48" i="14" s="1"/>
  <c r="G50" i="22"/>
  <c r="G54" i="22" s="1"/>
  <c r="M5" i="22"/>
  <c r="M14" i="22" s="1"/>
  <c r="G5" i="22"/>
  <c r="H5" i="22"/>
  <c r="H14" i="22" s="1"/>
  <c r="E5" i="15"/>
  <c r="O20" i="15"/>
  <c r="P40" i="14" s="1"/>
  <c r="P20" i="15"/>
  <c r="Q40" i="14" s="1"/>
  <c r="Q46" i="14" s="1"/>
  <c r="Q61" i="14" s="1"/>
  <c r="J5" i="15"/>
  <c r="F5" i="15"/>
  <c r="F16" i="15" s="1"/>
  <c r="B5" i="15"/>
  <c r="B16" i="15" s="1"/>
  <c r="B5" i="16"/>
  <c r="B18" i="16" s="1"/>
  <c r="N5" i="15"/>
  <c r="N16" i="15" s="1"/>
  <c r="F12" i="13"/>
  <c r="G41" i="14" s="1"/>
  <c r="F13" i="16"/>
  <c r="E13" i="16"/>
  <c r="N13" i="16"/>
  <c r="J13" i="16"/>
  <c r="B47" i="13"/>
  <c r="N12" i="16"/>
  <c r="J12" i="16"/>
  <c r="F12" i="16"/>
  <c r="E12" i="16"/>
  <c r="B46" i="13"/>
  <c r="E5" i="13" s="1"/>
  <c r="E8" i="13" s="1"/>
  <c r="B48" i="13"/>
  <c r="C48" i="13" s="1"/>
  <c r="N5" i="13" s="1"/>
  <c r="N8" i="13" s="1"/>
  <c r="C50" i="13"/>
  <c r="J5" i="13" s="1"/>
  <c r="J8" i="13" s="1"/>
  <c r="E12" i="17"/>
  <c r="F54" i="14" s="1"/>
  <c r="F56" i="14" s="1"/>
  <c r="Q63" i="14" l="1"/>
  <c r="E7" i="48"/>
  <c r="E25" i="48" s="1"/>
  <c r="F24" i="14"/>
  <c r="F26" i="14" s="1"/>
  <c r="D16" i="14"/>
  <c r="O8" i="48"/>
  <c r="O26" i="48" s="1"/>
  <c r="P13" i="14"/>
  <c r="P16" i="14"/>
  <c r="P27" i="14" s="1"/>
  <c r="O23" i="48"/>
  <c r="O11" i="14"/>
  <c r="N4" i="48"/>
  <c r="N22" i="48" s="1"/>
  <c r="E12" i="13"/>
  <c r="F41" i="14" s="1"/>
  <c r="F11" i="14"/>
  <c r="E4" i="48"/>
  <c r="K11" i="14"/>
  <c r="J4" i="48"/>
  <c r="M10" i="48"/>
  <c r="M28" i="48" s="1"/>
  <c r="N19" i="14"/>
  <c r="G31" i="48"/>
  <c r="Q13" i="48"/>
  <c r="G10" i="48"/>
  <c r="H19" i="14"/>
  <c r="R19" i="14" s="1"/>
  <c r="B9" i="48"/>
  <c r="C20" i="14"/>
  <c r="I20" i="14"/>
  <c r="I22" i="14" s="1"/>
  <c r="I27" i="14" s="1"/>
  <c r="H9" i="48"/>
  <c r="E20" i="14"/>
  <c r="E22" i="14" s="1"/>
  <c r="D9" i="48"/>
  <c r="D27" i="48" s="1"/>
  <c r="E9" i="48"/>
  <c r="F20" i="14"/>
  <c r="F22" i="14" s="1"/>
  <c r="M9" i="48"/>
  <c r="N20" i="14"/>
  <c r="M16" i="14"/>
  <c r="D22" i="16"/>
  <c r="E43" i="14" s="1"/>
  <c r="D8" i="48"/>
  <c r="D26" i="48" s="1"/>
  <c r="E13" i="14"/>
  <c r="C13" i="14"/>
  <c r="B8" i="48"/>
  <c r="O10" i="14"/>
  <c r="N5" i="48"/>
  <c r="N23" i="48" s="1"/>
  <c r="F5" i="48"/>
  <c r="G10" i="14"/>
  <c r="D27" i="14"/>
  <c r="B20" i="6" s="1"/>
  <c r="B22" i="6" s="1"/>
  <c r="C22" i="56" s="1"/>
  <c r="D20" i="15"/>
  <c r="E40" i="14" s="1"/>
  <c r="E46" i="14" s="1"/>
  <c r="E61" i="14" s="1"/>
  <c r="D5" i="48"/>
  <c r="D23" i="48" s="1"/>
  <c r="E10" i="14"/>
  <c r="B5" i="48"/>
  <c r="C10" i="14"/>
  <c r="M24" i="14"/>
  <c r="M26" i="14" s="1"/>
  <c r="M27" i="14" s="1"/>
  <c r="L7" i="48"/>
  <c r="C15" i="48"/>
  <c r="D25" i="48"/>
  <c r="O24" i="14"/>
  <c r="O26" i="14" s="1"/>
  <c r="N7" i="48"/>
  <c r="L12" i="17"/>
  <c r="M54" i="14" s="1"/>
  <c r="M56" i="14" s="1"/>
  <c r="E18" i="22"/>
  <c r="F50" i="14" s="1"/>
  <c r="F52" i="14" s="1"/>
  <c r="G14" i="22"/>
  <c r="G18" i="22" s="1"/>
  <c r="H50" i="14" s="1"/>
  <c r="J16" i="15"/>
  <c r="N12" i="17"/>
  <c r="O54" i="14" s="1"/>
  <c r="O56" i="14" s="1"/>
  <c r="E16" i="15"/>
  <c r="O22" i="16"/>
  <c r="P43" i="14" s="1"/>
  <c r="P46" i="14" s="1"/>
  <c r="P61" i="14" s="1"/>
  <c r="P63" i="14" s="1"/>
  <c r="G58" i="22"/>
  <c r="H49" i="14" s="1"/>
  <c r="M58" i="22"/>
  <c r="N49" i="14" s="1"/>
  <c r="M18" i="22"/>
  <c r="N50" i="14" s="1"/>
  <c r="H18" i="22"/>
  <c r="I50" i="14" s="1"/>
  <c r="I52" i="14" s="1"/>
  <c r="I61" i="14" s="1"/>
  <c r="I63" i="14" s="1"/>
  <c r="N20" i="15"/>
  <c r="O40" i="14" s="1"/>
  <c r="F20" i="15"/>
  <c r="G40" i="14" s="1"/>
  <c r="N5" i="16"/>
  <c r="E5" i="16"/>
  <c r="J5" i="16"/>
  <c r="C35" i="13"/>
  <c r="F5" i="16"/>
  <c r="C36" i="13"/>
  <c r="N12" i="13"/>
  <c r="O41" i="14" s="1"/>
  <c r="C38" i="13"/>
  <c r="C39" i="13"/>
  <c r="C32" i="13"/>
  <c r="C34" i="13"/>
  <c r="J12" i="13"/>
  <c r="K41" i="14" s="1"/>
  <c r="L20" i="15"/>
  <c r="M40" i="14" s="1"/>
  <c r="M46" i="14" s="1"/>
  <c r="E5" i="48" l="1"/>
  <c r="E23" i="48" s="1"/>
  <c r="F10" i="14"/>
  <c r="K10" i="14"/>
  <c r="J5" i="48"/>
  <c r="J23" i="48" s="1"/>
  <c r="O15" i="48"/>
  <c r="N52" i="14"/>
  <c r="N61" i="14" s="1"/>
  <c r="N22" i="14"/>
  <c r="N27" i="14" s="1"/>
  <c r="O33" i="48"/>
  <c r="R11" i="14"/>
  <c r="J22" i="48"/>
  <c r="E22" i="48"/>
  <c r="Q4" i="48"/>
  <c r="H52" i="14"/>
  <c r="H61" i="14" s="1"/>
  <c r="G28" i="48"/>
  <c r="Q10" i="48"/>
  <c r="H15" i="48"/>
  <c r="H27" i="48"/>
  <c r="H33" i="48" s="1"/>
  <c r="H20" i="14"/>
  <c r="H22" i="14" s="1"/>
  <c r="H27" i="14" s="1"/>
  <c r="G9" i="48"/>
  <c r="Q9" i="48" s="1"/>
  <c r="E27" i="48"/>
  <c r="N63" i="14"/>
  <c r="C22" i="14"/>
  <c r="M15" i="48"/>
  <c r="M27" i="48"/>
  <c r="M33" i="48" s="1"/>
  <c r="D15" i="48"/>
  <c r="E16" i="14"/>
  <c r="E27" i="14" s="1"/>
  <c r="E63" i="14" s="1"/>
  <c r="D33" i="48"/>
  <c r="M61" i="14"/>
  <c r="M63" i="14" s="1"/>
  <c r="F23" i="48"/>
  <c r="R10" i="14"/>
  <c r="C16" i="14"/>
  <c r="Q7" i="48"/>
  <c r="B15" i="48"/>
  <c r="R24" i="14"/>
  <c r="R26" i="14" s="1"/>
  <c r="L25" i="48"/>
  <c r="L33" i="48" s="1"/>
  <c r="L15" i="48"/>
  <c r="N25" i="48"/>
  <c r="J20" i="15"/>
  <c r="K40" i="14" s="1"/>
  <c r="N18" i="16"/>
  <c r="J18" i="16"/>
  <c r="F18" i="16"/>
  <c r="E18" i="16"/>
  <c r="E20" i="15"/>
  <c r="F40" i="14" s="1"/>
  <c r="C10" i="17"/>
  <c r="C12" i="17" s="1"/>
  <c r="D54" i="14" s="1"/>
  <c r="D56" i="14" s="1"/>
  <c r="C16" i="22"/>
  <c r="C10" i="13"/>
  <c r="C17" i="48" s="1"/>
  <c r="C18" i="15"/>
  <c r="C20" i="15" s="1"/>
  <c r="D40" i="14" s="1"/>
  <c r="C20" i="16"/>
  <c r="C22" i="16" s="1"/>
  <c r="D43" i="14" s="1"/>
  <c r="C17" i="19"/>
  <c r="C19" i="19" s="1"/>
  <c r="D39" i="14" s="1"/>
  <c r="C29" i="20"/>
  <c r="C17" i="49"/>
  <c r="C56" i="22"/>
  <c r="C58" i="22" s="1"/>
  <c r="D49" i="14" s="1"/>
  <c r="D52" i="14" s="1"/>
  <c r="F22" i="16"/>
  <c r="G43" i="14" s="1"/>
  <c r="G46" i="14" s="1"/>
  <c r="G61" i="14" s="1"/>
  <c r="F13" i="14" l="1"/>
  <c r="F16" i="14" s="1"/>
  <c r="F27" i="14" s="1"/>
  <c r="E8" i="48"/>
  <c r="Q5" i="48"/>
  <c r="J8" i="48"/>
  <c r="J26" i="48" s="1"/>
  <c r="J33" i="48" s="1"/>
  <c r="K13" i="14"/>
  <c r="K16" i="14" s="1"/>
  <c r="K27" i="14" s="1"/>
  <c r="H63" i="14"/>
  <c r="C27" i="14"/>
  <c r="B3" i="6" s="1"/>
  <c r="B12" i="6" s="1"/>
  <c r="C55" i="14" s="1"/>
  <c r="R55" i="14" s="1"/>
  <c r="R20" i="14"/>
  <c r="R22" i="14" s="1"/>
  <c r="G27" i="48"/>
  <c r="G33" i="48" s="1"/>
  <c r="G15" i="48"/>
  <c r="O13" i="14"/>
  <c r="O16" i="14" s="1"/>
  <c r="O27" i="14" s="1"/>
  <c r="N8" i="48"/>
  <c r="N22" i="16"/>
  <c r="O43" i="14" s="1"/>
  <c r="O46" i="14" s="1"/>
  <c r="O61" i="14" s="1"/>
  <c r="F8" i="48"/>
  <c r="G13" i="14"/>
  <c r="C32" i="48"/>
  <c r="C29" i="48"/>
  <c r="C22" i="48"/>
  <c r="C28" i="48"/>
  <c r="C30" i="48"/>
  <c r="C31" i="48"/>
  <c r="C23" i="48"/>
  <c r="C24" i="48"/>
  <c r="C27" i="48"/>
  <c r="C26" i="48"/>
  <c r="C25" i="48"/>
  <c r="E22" i="16"/>
  <c r="F43" i="14" s="1"/>
  <c r="F46" i="14" s="1"/>
  <c r="F61" i="14" s="1"/>
  <c r="F63" i="14" s="1"/>
  <c r="J22" i="16"/>
  <c r="K43" i="14" s="1"/>
  <c r="K46" i="14" s="1"/>
  <c r="K61" i="14" s="1"/>
  <c r="C12" i="13"/>
  <c r="D41" i="14" s="1"/>
  <c r="D46" i="14" s="1"/>
  <c r="D61" i="14" s="1"/>
  <c r="D63" i="14" s="1"/>
  <c r="E26" i="48" l="1"/>
  <c r="E33" i="48" s="1"/>
  <c r="E15" i="48"/>
  <c r="J15" i="48"/>
  <c r="K63" i="14"/>
  <c r="C12" i="56"/>
  <c r="O63" i="14"/>
  <c r="N26" i="48"/>
  <c r="N33" i="48" s="1"/>
  <c r="N15" i="48"/>
  <c r="G16" i="14"/>
  <c r="G27" i="14" s="1"/>
  <c r="G63" i="14" s="1"/>
  <c r="R13" i="14"/>
  <c r="R16" i="14" s="1"/>
  <c r="R27" i="14" s="1"/>
  <c r="F26" i="48"/>
  <c r="F33" i="48" s="1"/>
  <c r="Q8" i="48"/>
  <c r="Q15" i="48" s="1"/>
  <c r="F15" i="48"/>
  <c r="C33" i="48"/>
  <c r="B18" i="15"/>
  <c r="B20" i="15" s="1"/>
  <c r="B10" i="17"/>
  <c r="B12" i="17" s="1"/>
  <c r="C54" i="14" s="1"/>
  <c r="B17" i="49"/>
  <c r="B19" i="49" s="1"/>
  <c r="C42" i="14" s="1"/>
  <c r="R42" i="14" s="1"/>
  <c r="B10" i="13"/>
  <c r="B20" i="16"/>
  <c r="B22" i="16" s="1"/>
  <c r="C43" i="14" s="1"/>
  <c r="R43" i="14" s="1"/>
  <c r="B10" i="9"/>
  <c r="B12" i="9" s="1"/>
  <c r="B29" i="20"/>
  <c r="B31" i="20" s="1"/>
  <c r="C48" i="14" s="1"/>
  <c r="B56" i="22"/>
  <c r="B58" i="22" s="1"/>
  <c r="C49" i="14" s="1"/>
  <c r="R49" i="14" s="1"/>
  <c r="B16" i="22"/>
  <c r="B18" i="22" s="1"/>
  <c r="C50" i="14" s="1"/>
  <c r="R50" i="14" s="1"/>
  <c r="B17" i="19"/>
  <c r="B19" i="19" s="1"/>
  <c r="C39" i="14" s="1"/>
  <c r="R48" i="14" l="1"/>
  <c r="R52" i="14" s="1"/>
  <c r="C52" i="14"/>
  <c r="R54" i="14"/>
  <c r="R56" i="14" s="1"/>
  <c r="C56" i="14"/>
  <c r="R39" i="14"/>
  <c r="C40" i="14"/>
  <c r="R40" i="14" s="1"/>
  <c r="B12" i="13"/>
  <c r="C41" i="14" s="1"/>
  <c r="R41" i="14" s="1"/>
  <c r="B17" i="48"/>
  <c r="C46" i="14" l="1"/>
  <c r="C61" i="14" s="1"/>
  <c r="C63" i="14" s="1"/>
  <c r="B31" i="48"/>
  <c r="Q31" i="48" s="1"/>
  <c r="B29" i="48"/>
  <c r="Q29" i="48" s="1"/>
  <c r="B26" i="48"/>
  <c r="Q26" i="48" s="1"/>
  <c r="B25" i="48"/>
  <c r="Q25" i="48" s="1"/>
  <c r="B32" i="48"/>
  <c r="Q32" i="48" s="1"/>
  <c r="B27" i="48"/>
  <c r="Q27" i="48" s="1"/>
  <c r="B24" i="48"/>
  <c r="Q24" i="48" s="1"/>
  <c r="B30" i="48"/>
  <c r="Q30" i="48" s="1"/>
  <c r="B23" i="48"/>
  <c r="Q23" i="48" s="1"/>
  <c r="B22" i="48"/>
  <c r="B28" i="48"/>
  <c r="Q28" i="48" s="1"/>
  <c r="R46" i="14"/>
  <c r="R61" i="14" s="1"/>
  <c r="B33" i="48" l="1"/>
  <c r="Q22" i="48"/>
  <c r="Q33" i="48"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<sst xmlns="http://schemas.openxmlformats.org/spreadsheetml/2006/main" count="2498" uniqueCount="954">
  <si>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</si>
  <si>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</si>
  <si>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</si>
  <si>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</si>
  <si>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</si>
  <si>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</si>
  <si>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</si>
  <si>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</si>
  <si>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</si>
  <si>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</si>
  <si>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</si>
  <si>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</si>
  <si>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</si>
  <si>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</si>
  <si>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</si>
  <si>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</si>
  <si>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</si>
  <si>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</si>
  <si>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</si>
  <si>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</si>
  <si>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</si>
  <si>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</si>
  <si>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</si>
  <si>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</si>
  <si>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</si>
  <si>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</si>
  <si>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</si>
  <si>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</si>
  <si>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</si>
  <si>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</si>
  <si>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</si>
  <si>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</si>
  <si>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</si>
  <si>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</si>
  <si>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</si>
  <si>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</si>
  <si>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</si>
  <si>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</si>
  <si>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</si>
  <si>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</si>
  <si>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</si>
  <si>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</si>
  <si>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</si>
  <si>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</si>
  <si>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</si>
  <si>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</si>
  <si>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</si>
  <si>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</si>
  <si>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</si>
  <si>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</si>
  <si>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</si>
  <si>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</si>
  <si>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</si>
  <si>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</si>
  <si>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</si>
  <si>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</si>
  <si>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</si>
  <si>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</si>
  <si>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</si>
  <si>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</si>
  <si>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</si>
  <si>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</si>
  <si>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</si>
  <si>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</si>
  <si>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</si>
  <si>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</si>
  <si>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</si>
  <si>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</si>
  <si>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</si>
  <si>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</si>
  <si>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</si>
  <si>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</si>
  <si>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</si>
  <si>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</si>
  <si>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</si>
  <si>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</si>
  <si>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</si>
  <si>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</si>
  <si>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</si>
  <si>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</si>
  <si>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</si>
  <si>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</si>
  <si>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</si>
  <si>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</si>
  <si>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</si>
  <si>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</si>
  <si>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</si>
  <si>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</si>
  <si>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</si>
  <si>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</si>
  <si>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</si>
  <si>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</si>
  <si>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</si>
  <si>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</si>
  <si>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</si>
  <si>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</si>
  <si>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</si>
  <si>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</si>
  <si>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</si>
  <si>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</si>
  <si>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</si>
  <si>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</si>
  <si>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</si>
  <si>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</si>
  <si>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</si>
  <si>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</si>
  <si>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</si>
  <si>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</si>
  <si>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</si>
  <si>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</si>
  <si>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</si>
  <si>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</si>
  <si>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</si>
  <si>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</si>
  <si>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</si>
  <si>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</si>
  <si>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</si>
  <si>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</si>
  <si>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</si>
  <si>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</si>
  <si>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</si>
  <si>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</si>
  <si>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</si>
  <si>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</si>
  <si>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</si>
  <si>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</si>
  <si>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</si>
  <si>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</si>
  <si>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</si>
  <si>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</si>
  <si>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</si>
  <si>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</si>
  <si>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</si>
  <si>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</si>
  <si>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</si>
  <si>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</si>
  <si>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</si>
  <si>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</si>
  <si>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</si>
  <si>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</si>
  <si>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</si>
  <si>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</si>
  <si>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</si>
  <si>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</si>
  <si>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</si>
  <si>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</si>
  <si>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</si>
  <si>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</si>
  <si>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</si>
  <si>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</si>
  <si>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</si>
  <si>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</si>
  <si>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</si>
  <si>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</si>
  <si>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</si>
  <si>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</si>
  <si>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</si>
  <si>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</si>
  <si>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</si>
  <si>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</si>
  <si>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</si>
  <si>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</si>
  <si>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</si>
  <si>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</si>
  <si>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</si>
  <si>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</si>
  <si>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</si>
  <si>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</si>
  <si>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</si>
  <si>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</si>
  <si>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</si>
  <si>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</si>
  <si>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</si>
  <si>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</si>
  <si>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</si>
  <si>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</si>
  <si>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</si>
  <si>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</si>
  <si>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</si>
  <si>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</si>
  <si>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</si>
  <si>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</si>
  <si>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</si>
  <si>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</si>
  <si>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</si>
  <si>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</si>
  <si>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</si>
  <si>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</si>
  <si>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</si>
  <si>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</si>
  <si>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</si>
  <si>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</si>
  <si>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</si>
  <si>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</si>
  <si>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</si>
  <si>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</si>
  <si>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</si>
  <si>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</si>
  <si>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</si>
  <si>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</si>
  <si>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</si>
  <si>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</si>
  <si>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</si>
  <si>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</si>
  <si>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</si>
  <si>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</si>
  <si>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</si>
  <si>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</si>
  <si>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</si>
  <si>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</si>
  <si>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</si>
  <si>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</si>
  <si>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</si>
  <si>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</si>
  <si>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</si>
  <si>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</si>
  <si>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</si>
  <si>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</si>
  <si>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</si>
  <si>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</si>
  <si>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</si>
  <si>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</si>
  <si>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</si>
  <si>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</si>
  <si>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</si>
  <si>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</si>
  <si>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</si>
  <si>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</si>
  <si>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</si>
  <si>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</si>
  <si>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</si>
  <si>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</si>
  <si>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</si>
  <si>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</si>
  <si>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</si>
  <si>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</si>
  <si>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</si>
  <si>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</si>
  <si>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</si>
  <si>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</si>
  <si>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</si>
  <si>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</si>
  <si>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</si>
  <si>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</si>
  <si>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</si>
  <si>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</si>
  <si>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</si>
  <si>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</si>
  <si>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</si>
  <si>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</si>
  <si>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</si>
  <si>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</si>
  <si>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</si>
  <si>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</si>
  <si>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</si>
  <si>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</si>
  <si>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</si>
  <si>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</si>
  <si>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</si>
  <si>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</si>
  <si>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</si>
  <si>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</si>
  <si>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</si>
  <si>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</si>
  <si>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</si>
  <si>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</si>
  <si>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</si>
  <si>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</si>
  <si>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</si>
  <si>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</si>
  <si>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</si>
  <si>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</si>
  <si>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</si>
  <si>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</si>
  <si>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</si>
  <si>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</si>
  <si>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</si>
  <si>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</si>
  <si>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</si>
  <si>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</si>
  <si>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</si>
  <si>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</si>
  <si>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</si>
  <si>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</si>
  <si>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</si>
  <si>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</si>
  <si>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</si>
  <si>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</si>
  <si>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</si>
  <si>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</si>
  <si>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</si>
  <si>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</si>
  <si>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</si>
  <si>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</si>
  <si>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</si>
  <si>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</si>
  <si>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</si>
  <si>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</si>
  <si>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</si>
  <si>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</si>
  <si>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</si>
  <si>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</si>
  <si>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</si>
  <si>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</si>
  <si>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</si>
  <si>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</si>
  <si>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</si>
  <si>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</si>
  <si>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</si>
  <si>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</si>
  <si>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</si>
  <si>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</si>
  <si>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</si>
  <si>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</si>
  <si>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</si>
  <si>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</si>
  <si>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</si>
  <si>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</si>
  <si>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</si>
  <si>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</si>
  <si>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</si>
  <si>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</si>
  <si>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</si>
  <si>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</si>
  <si>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</si>
  <si>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</si>
  <si>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</si>
  <si>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</si>
  <si>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</si>
  <si>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</si>
  <si>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</si>
  <si>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</si>
  <si>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</si>
  <si>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</si>
  <si>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</si>
  <si>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</si>
  <si>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</si>
  <si>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</si>
  <si>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</si>
  <si>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</si>
  <si>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</si>
  <si>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</si>
  <si>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</si>
  <si>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</si>
  <si>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</si>
  <si>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</si>
  <si>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</si>
  <si>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</si>
  <si>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</si>
  <si>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</si>
  <si>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</si>
  <si>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</si>
  <si>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</si>
  <si>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</si>
  <si>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</si>
  <si>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</si>
  <si>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</si>
  <si>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</si>
  <si>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</si>
  <si>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</si>
  <si>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</si>
  <si>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</si>
  <si>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</si>
  <si>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</si>
  <si>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</si>
  <si>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</si>
  <si>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</si>
  <si>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</si>
  <si>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</si>
  <si>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</si>
  <si>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</si>
  <si>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</si>
  <si>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</si>
  <si>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</si>
  <si>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</si>
  <si>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</si>
  <si>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</si>
  <si>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</si>
  <si>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</si>
  <si>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</si>
  <si>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</si>
  <si>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</si>
  <si>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</si>
  <si>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</si>
  <si>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</si>
  <si>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</si>
  <si>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</si>
  <si>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</si>
  <si>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</si>
  <si>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</si>
  <si>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</si>
  <si>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</si>
  <si>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</si>
  <si>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</si>
  <si>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</si>
  <si>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</si>
  <si>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</si>
  <si>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</si>
  <si>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</si>
  <si>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</si>
  <si>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</si>
  <si>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</si>
  <si>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</si>
  <si>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</si>
  <si>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</si>
  <si>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</si>
  <si>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</si>
  <si>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</si>
  <si>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</si>
  <si>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</si>
  <si>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</si>
  <si>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</si>
  <si>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</si>
  <si>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</si>
  <si>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</si>
  <si>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</si>
  <si>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</si>
  <si>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</si>
  <si>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</si>
  <si>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</si>
  <si>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</si>
  <si>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</si>
  <si>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</si>
  <si>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</si>
  <si>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</si>
  <si>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</si>
  <si>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</si>
  <si>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</si>
  <si>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</si>
  <si>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</si>
  <si>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</si>
  <si>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</si>
  <si>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</si>
  <si>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</si>
  <si>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</si>
  <si>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</si>
  <si>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</si>
  <si>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</si>
  <si>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</si>
  <si>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</si>
  <si>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</si>
  <si>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</si>
  <si>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</si>
  <si>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</si>
  <si>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</si>
  <si>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</si>
  <si>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</si>
  <si>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</si>
  <si>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</si>
  <si>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</si>
  <si>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</si>
  <si>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</si>
  <si>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</si>
  <si>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</si>
  <si>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</si>
  <si>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</si>
  <si>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</si>
  <si>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</si>
  <si>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</si>
  <si>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</si>
  <si>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</si>
  <si>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</si>
  <si>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</si>
  <si>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</si>
  <si>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</si>
  <si>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</si>
  <si>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</si>
  <si>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</si>
  <si>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</si>
  <si>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</si>
  <si>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</si>
  <si>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</si>
  <si>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</si>
  <si>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</si>
  <si>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</si>
  <si>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</si>
  <si>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</si>
  <si>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</si>
  <si>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</si>
  <si>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</si>
  <si>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</si>
  <si>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</si>
  <si>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</si>
  <si>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</si>
  <si>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</si>
  <si>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</si>
  <si>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</si>
  <si>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</si>
  <si>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</si>
  <si>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</si>
  <si>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</si>
  <si>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</si>
  <si>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</si>
  <si>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</si>
  <si>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</si>
  <si>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</si>
  <si>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</si>
  <si>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</si>
  <si>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</si>
  <si>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</si>
  <si>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</si>
  <si>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</si>
  <si>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</si>
  <si>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</si>
  <si>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</si>
  <si>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</si>
  <si>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</si>
  <si>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</si>
  <si>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</si>
  <si>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</si>
  <si>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</si>
  <si>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</si>
  <si>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</si>
  <si>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</si>
  <si>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</si>
  <si>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</si>
  <si>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</si>
  <si>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</si>
  <si>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</si>
  <si>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</si>
  <si>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</si>
  <si>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</si>
  <si>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</si>
  <si>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</si>
  <si>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</si>
  <si>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</si>
  <si>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</si>
  <si>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</si>
  <si>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</si>
  <si>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</si>
  <si>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</si>
  <si>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</si>
  <si>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</si>
  <si>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</si>
  <si>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</si>
  <si>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</si>
  <si>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</si>
  <si>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</si>
  <si>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</si>
  <si>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</si>
  <si>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</si>
  <si>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</si>
  <si>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</si>
  <si>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</si>
  <si>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</si>
  <si>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</si>
  <si>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</si>
  <si>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</si>
  <si>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</si>
  <si>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</si>
  <si>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</si>
  <si>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</si>
  <si>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</si>
  <si>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</si>
  <si>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</si>
  <si>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</si>
  <si>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</si>
  <si>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</si>
  <si>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</si>
  <si>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</si>
  <si>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</si>
  <si>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</si>
  <si>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</si>
  <si>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</si>
  <si>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</si>
  <si>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</si>
  <si>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</si>
  <si>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</si>
  <si>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</si>
  <si>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</si>
  <si>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</si>
  <si>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</si>
  <si>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</si>
  <si>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</si>
  <si>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</si>
  <si>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</si>
  <si>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</si>
  <si>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</si>
  <si>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</si>
  <si>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</si>
  <si>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</si>
  <si>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</si>
  <si>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</si>
  <si>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</si>
  <si>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</si>
  <si>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</si>
  <si>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</si>
  <si>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</si>
  <si>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</si>
  <si>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</si>
  <si>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</si>
  <si>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</si>
  <si>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</si>
  <si>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</si>
  <si>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</si>
  <si>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</si>
  <si>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</si>
  <si>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</si>
  <si>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</si>
  <si>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</si>
  <si>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</si>
  <si>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</si>
  <si>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</si>
  <si>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</si>
  <si>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</si>
  <si>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</si>
  <si>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</si>
  <si>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</si>
  <si>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</si>
  <si>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</si>
  <si>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</si>
  <si>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</si>
  <si>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</si>
  <si>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</si>
  <si>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</si>
  <si>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</si>
  <si>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</si>
  <si>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</si>
  <si>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</si>
  <si>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</si>
  <si>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</si>
  <si>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</si>
  <si>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</si>
  <si>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</si>
  <si>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</si>
  <si>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</si>
  <si>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</si>
  <si>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</si>
  <si>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</si>
  <si>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</si>
  <si>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</si>
  <si>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</si>
  <si>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</si>
  <si>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</si>
  <si>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</si>
  <si>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</si>
  <si>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</si>
  <si>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</si>
  <si>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</si>
  <si>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</si>
  <si>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</si>
  <si>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</si>
  <si>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</si>
  <si>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</si>
  <si>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</si>
  <si>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</si>
  <si>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</si>
  <si>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</si>
  <si>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</si>
  <si>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</si>
  <si>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</si>
  <si>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</si>
  <si>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</si>
  <si>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</si>
  <si>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</si>
  <si>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</si>
  <si>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</si>
  <si>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</si>
  <si>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</si>
  <si>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</si>
  <si>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</si>
  <si>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</si>
  <si>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</si>
  <si>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</si>
  <si>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</si>
  <si>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</si>
  <si>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</si>
  <si>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</si>
  <si>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</si>
  <si>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</si>
  <si>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</si>
  <si>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</si>
  <si>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</si>
  <si>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</si>
  <si>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</si>
  <si>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</si>
  <si>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</si>
  <si>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</si>
  <si>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</si>
  <si>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</si>
  <si>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</si>
  <si>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</si>
  <si>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</si>
  <si>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</si>
  <si>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</si>
  <si>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</si>
  <si>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</si>
  <si>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</si>
  <si>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</si>
  <si>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</si>
  <si>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</si>
  <si>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</si>
  <si>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</si>
  <si>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</si>
  <si>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</si>
  <si>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</si>
  <si>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</si>
  <si>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</si>
  <si>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</si>
  <si>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</si>
  <si>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</si>
  <si>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</si>
  <si>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</si>
  <si>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</si>
  <si>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</si>
  <si>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</si>
  <si>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</si>
  <si>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</si>
  <si>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</si>
  <si>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</si>
  <si>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</si>
  <si>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</si>
  <si>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</si>
  <si>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</si>
  <si>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</si>
  <si>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</si>
  <si>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</si>
  <si>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</si>
  <si>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</si>
  <si>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</si>
  <si>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</si>
  <si>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</si>
  <si>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</si>
  <si>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</si>
  <si>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</si>
  <si>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</si>
  <si>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</si>
  <si>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</si>
  <si>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</si>
  <si>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</si>
  <si>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</si>
  <si>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</si>
  <si>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</si>
  <si>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</si>
  <si>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</si>
  <si>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</si>
  <si>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</si>
  <si>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</si>
  <si>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</si>
  <si>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</si>
  <si>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</si>
  <si>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</si>
  <si>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</si>
  <si>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</si>
  <si>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</si>
  <si>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</si>
  <si>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</si>
  <si>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</si>
  <si>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</si>
  <si>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</si>
  <si>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</si>
  <si>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</si>
  <si>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</si>
  <si>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</si>
  <si>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</si>
  <si>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</si>
  <si>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</si>
  <si>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</si>
  <si>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</si>
  <si>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</si>
  <si>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</si>
  <si>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</si>
  <si>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</si>
  <si>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</si>
  <si>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</si>
  <si>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</si>
  <si>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</si>
  <si>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</si>
  <si>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</si>
  <si>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</si>
  <si>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</si>
  <si>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</si>
  <si>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</si>
  <si>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</si>
  <si>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</si>
  <si>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</si>
  <si>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</si>
  <si>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</si>
  <si>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</si>
  <si>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</si>
  <si>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</si>
  <si>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</si>
  <si>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2012_04</t>
  </si>
  <si>
    <t>ECF transport '!A1</t>
  </si>
  <si>
    <t>transport!A21</t>
  </si>
  <si>
    <t>transport!A28</t>
  </si>
  <si>
    <t>Caroline De Bosscher</t>
  </si>
  <si>
    <t xml:space="preserve">053 / 72 66 55 </t>
  </si>
  <si>
    <t xml:space="preserve">c.debosscher@vmm.be </t>
  </si>
  <si>
    <t>Wilfrid Degroot</t>
  </si>
  <si>
    <t>015 / 408 791</t>
  </si>
  <si>
    <t>Wilfrid.degroot@delijn.be</t>
  </si>
  <si>
    <t>Marlies Vanhulsel</t>
  </si>
  <si>
    <t>014 / 33 59 52</t>
  </si>
  <si>
    <t>marlies.vanhulsel@vito.be</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</si>
  <si>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</si>
  <si>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</si>
  <si>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</si>
  <si>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</si>
  <si>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</si>
  <si>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</si>
  <si>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</si>
  <si>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</si>
  <si>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</si>
  <si>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</si>
  <si>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</si>
  <si>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</si>
  <si>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</si>
  <si>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</si>
  <si>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</si>
  <si>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standaardwaardes in COPERT-tool</t>
  </si>
  <si>
    <t>referentietaak LNE</t>
  </si>
  <si>
    <t>doorrekeningen openbaar vervoer door VITO in kader van referentietaak LNE</t>
  </si>
  <si>
    <t>De Lijn (2013)</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</si>
  <si>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</si>
  <si>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</si>
  <si>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</si>
  <si>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</si>
  <si>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</si>
  <si>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</si>
  <si>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</si>
  <si>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</si>
  <si>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</si>
  <si>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</si>
  <si>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</si>
  <si>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</si>
  <si>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</si>
  <si>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</si>
  <si>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</si>
  <si>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</si>
  <si>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</si>
  <si>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</si>
  <si>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</si>
  <si>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</si>
  <si>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</si>
  <si>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</si>
  <si>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</si>
  <si>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</si>
  <si>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</si>
  <si>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</si>
  <si>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</si>
  <si>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</si>
  <si>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</si>
  <si>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</si>
  <si>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</si>
  <si>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</si>
  <si>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</si>
  <si>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</si>
  <si>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</si>
  <si>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</si>
  <si>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</si>
  <si>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</si>
  <si>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</si>
  <si>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</si>
  <si>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</si>
  <si>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</si>
  <si>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</si>
  <si>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</si>
  <si>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</si>
  <si>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</si>
  <si>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</si>
  <si>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</si>
  <si>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</si>
  <si>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</si>
  <si>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</si>
  <si>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</si>
  <si>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</si>
  <si>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</si>
  <si>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</si>
  <si>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</si>
  <si>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</si>
  <si>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</si>
  <si>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</si>
  <si>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</si>
  <si>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</si>
  <si>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</si>
  <si>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</si>
  <si>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</si>
  <si>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</si>
  <si>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</si>
  <si>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</si>
  <si>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</si>
  <si>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</si>
  <si>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</si>
  <si>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</si>
  <si>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</si>
  <si>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</si>
  <si>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</si>
  <si>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</si>
  <si>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</si>
  <si>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</si>
  <si>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</si>
  <si>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</si>
  <si>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</si>
  <si>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</si>
  <si>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</si>
  <si>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</si>
  <si>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</si>
  <si>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</si>
  <si>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</si>
  <si>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</si>
  <si>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</si>
  <si>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</si>
  <si>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</si>
  <si>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</si>
  <si>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</si>
  <si>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</si>
  <si>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</si>
  <si>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</si>
  <si>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</si>
  <si>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</si>
  <si>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</si>
  <si>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</si>
  <si>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</si>
  <si>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</si>
  <si>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</si>
  <si>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</si>
  <si>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</si>
  <si>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</si>
  <si>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</si>
  <si>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</si>
  <si>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</si>
  <si>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</si>
  <si>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2012_08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</si>
  <si>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</si>
  <si>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aanpassing namen cellen in rekenblad data zodat er geen verwijzing is naar het jaar 2011</t>
  </si>
  <si>
    <t>data!A1</t>
  </si>
  <si>
    <t>verwijderen cijfers voor 2020 in tabblad data</t>
  </si>
  <si>
    <t>2012_09</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</si>
  <si>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</si>
  <si>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</si>
  <si>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</si>
  <si>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</si>
  <si>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</si>
  <si>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</si>
  <si>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</si>
  <si>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</si>
  <si>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transport: update 'Verdeelsleutel voertuigkm over voertuigtechnologie' obv doorrekening COPERT 5 door VMM (voorjaar 2020)</t>
  </si>
  <si>
    <t>tabblad transport: update '% Biobrandstoffen' obv doorrekening COPERT 5 door VMM (voorjaar 2020)</t>
  </si>
  <si>
    <t>tabblad ECF transport: update cijfers obv doorrekening COPERT 5 door VMM (voorjaar 2020)</t>
  </si>
  <si>
    <t>tabblad conversiefactoren: update o.b.v. COPERT 5-tool</t>
  </si>
  <si>
    <t>Conversiefactoren!A24</t>
  </si>
  <si>
    <t>Bron: VMM 2020, COPERT 5</t>
  </si>
  <si>
    <t>VITO Energiebalans Vlaanderen (februari 2020)</t>
  </si>
  <si>
    <t>gemiddeld verbruik per energiedrager huishoudens (hoofdverwarming, bijverwarming)</t>
  </si>
  <si>
    <t>huishoudens!B54</t>
  </si>
  <si>
    <t>versie: 2012_09</t>
  </si>
  <si>
    <t>NIET RESIDENTIEEL EPN</t>
  </si>
  <si>
    <t>31006</t>
  </si>
  <si>
    <t>DAMME</t>
  </si>
  <si>
    <t>Paarden&amp;pony's 200 - 600 kg</t>
  </si>
  <si>
    <t>Paarden&amp;pony's &lt; 200 kg</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</si>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</sst>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
    <numFmt numFmtId="179" formatCode="_-* #,##0_-;\-* #,##0_-;_-* &quot;-&quot;??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41">
    <xf numFmtId="170" fontId="0" fillId="0" borderId="0"/>
    <xf numFmtId="170" fontId="3" fillId="0" borderId="0" applyNumberFormat="0" applyFill="0" applyBorder="0" applyAlignment="0" applyProtection="0"/>
    <xf numFmtId="170" fontId="4" fillId="0" borderId="0"/>
    <xf numFmtId="170" fontId="9" fillId="0" borderId="0"/>
    <xf numFmtId="170" fontId="9" fillId="0" borderId="0"/>
    <xf numFmtId="170" fontId="15" fillId="0" borderId="0"/>
    <xf numFmtId="4" fontId="26" fillId="5" borderId="20">
      <alignment horizontal="right" vertical="center"/>
    </xf>
    <xf numFmtId="170" fontId="16" fillId="6" borderId="21" applyFont="0" applyBorder="0">
      <alignment vertical="center"/>
    </xf>
    <xf numFmtId="170" fontId="27" fillId="7" borderId="0" applyNumberFormat="0" applyBorder="0" applyAlignment="0" applyProtection="0"/>
    <xf numFmtId="170" fontId="28" fillId="0" borderId="0" applyNumberFormat="0" applyAlignment="0" applyProtection="0"/>
    <xf numFmtId="168" fontId="16" fillId="0" borderId="15">
      <alignment vertical="center"/>
    </xf>
    <xf numFmtId="168" fontId="16" fillId="0" borderId="15">
      <alignment vertical="center"/>
    </xf>
    <xf numFmtId="168" fontId="16" fillId="0" borderId="15">
      <alignment vertical="center"/>
    </xf>
    <xf numFmtId="164" fontId="4" fillId="0" borderId="0" applyFont="0" applyFill="0" applyBorder="0" applyAlignment="0" applyProtection="0"/>
    <xf numFmtId="170" fontId="9" fillId="8" borderId="0" applyNumberFormat="0" applyBorder="0" applyAlignment="0">
      <protection hidden="1"/>
    </xf>
    <xf numFmtId="170" fontId="29" fillId="0" borderId="0" applyNumberFormat="0" applyFont="0" applyAlignment="0"/>
    <xf numFmtId="41" fontId="9" fillId="0" borderId="0" applyFont="0" applyFill="0" applyBorder="0" applyAlignment="0" applyProtection="0"/>
    <xf numFmtId="43" fontId="9" fillId="0" borderId="0" applyFont="0" applyFill="0" applyBorder="0" applyAlignment="0" applyProtection="0"/>
    <xf numFmtId="170" fontId="9" fillId="0" borderId="0" applyFont="0" applyFill="0" applyBorder="0" applyAlignment="0" applyProtection="0"/>
    <xf numFmtId="170" fontId="30" fillId="0" borderId="0" applyNumberFormat="0" applyFill="0" applyBorder="0" applyAlignment="0" applyProtection="0">
      <alignment vertical="top"/>
      <protection locked="0"/>
    </xf>
    <xf numFmtId="171" fontId="23" fillId="8" borderId="15">
      <alignment horizontal="right" vertical="center"/>
    </xf>
    <xf numFmtId="171" fontId="23" fillId="8" borderId="15">
      <alignment horizontal="right" vertical="center"/>
    </xf>
    <xf numFmtId="171" fontId="23" fillId="8" borderId="15">
      <alignment horizontal="right" vertical="center"/>
    </xf>
    <xf numFmtId="171" fontId="31" fillId="9" borderId="15">
      <alignment horizontal="right" vertical="center"/>
    </xf>
    <xf numFmtId="171" fontId="31" fillId="9" borderId="15">
      <alignment horizontal="right" vertical="center"/>
    </xf>
    <xf numFmtId="171" fontId="31" fillId="9" borderId="15">
      <alignment horizontal="right" vertical="center"/>
    </xf>
    <xf numFmtId="167" fontId="9" fillId="0" borderId="0" applyFont="0" applyFill="0" applyBorder="0" applyAlignment="0" applyProtection="0"/>
    <xf numFmtId="170" fontId="9" fillId="10" borderId="0" applyNumberFormat="0" applyFont="0" applyBorder="0" applyAlignment="0"/>
    <xf numFmtId="41" fontId="32" fillId="0" borderId="0" applyFont="0" applyFill="0" applyBorder="0" applyAlignment="0" applyProtection="0"/>
    <xf numFmtId="43" fontId="32" fillId="0" borderId="0" applyFont="0" applyFill="0" applyBorder="0" applyAlignment="0" applyProtection="0"/>
    <xf numFmtId="165" fontId="32" fillId="0" borderId="0" applyFont="0" applyFill="0" applyBorder="0" applyAlignment="0" applyProtection="0"/>
    <xf numFmtId="166" fontId="32" fillId="0" borderId="0" applyFont="0" applyFill="0" applyBorder="0" applyAlignment="0" applyProtection="0"/>
    <xf numFmtId="170" fontId="33" fillId="0" borderId="0"/>
    <xf numFmtId="170" fontId="9" fillId="0" borderId="0"/>
    <xf numFmtId="170" fontId="33" fillId="0" borderId="0"/>
    <xf numFmtId="170" fontId="15" fillId="0" borderId="0"/>
    <xf numFmtId="170" fontId="9" fillId="0" borderId="0"/>
    <xf numFmtId="4" fontId="26" fillId="0" borderId="15" applyFill="0" applyBorder="0" applyProtection="0">
      <alignment horizontal="right" vertical="center"/>
    </xf>
    <xf numFmtId="170"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0" fontId="9" fillId="0" borderId="0"/>
    <xf numFmtId="170" fontId="34" fillId="1" borderId="23" applyNumberFormat="0" applyProtection="0">
      <alignment horizontal="left" vertical="top"/>
    </xf>
    <xf numFmtId="170" fontId="35" fillId="0" borderId="0"/>
    <xf numFmtId="165" fontId="9" fillId="0" borderId="0" applyFont="0" applyFill="0" applyBorder="0" applyAlignment="0" applyProtection="0"/>
    <xf numFmtId="166" fontId="9" fillId="0" borderId="0" applyFont="0" applyFill="0" applyBorder="0" applyAlignment="0" applyProtection="0"/>
    <xf numFmtId="165" fontId="9" fillId="0" borderId="0" applyFont="0" applyFill="0" applyBorder="0" applyAlignment="0" applyProtection="0"/>
    <xf numFmtId="166" fontId="9" fillId="0" borderId="0" applyFont="0" applyFill="0" applyBorder="0" applyAlignment="0" applyProtection="0"/>
    <xf numFmtId="170" fontId="36" fillId="0" borderId="24">
      <alignment horizontal="left"/>
    </xf>
    <xf numFmtId="9" fontId="4" fillId="0" borderId="0" applyFont="0" applyFill="0" applyBorder="0" applyAlignment="0" applyProtection="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51" fillId="0" borderId="0"/>
    <xf numFmtId="170" fontId="51"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51" fillId="0" borderId="0"/>
    <xf numFmtId="170" fontId="51" fillId="0" borderId="0"/>
    <xf numFmtId="170" fontId="4"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4" fillId="0" borderId="0"/>
    <xf numFmtId="170" fontId="4" fillId="0" borderId="0"/>
    <xf numFmtId="170" fontId="9" fillId="0" borderId="0"/>
    <xf numFmtId="170" fontId="9" fillId="0" borderId="0"/>
    <xf numFmtId="170" fontId="51" fillId="0" borderId="0"/>
    <xf numFmtId="170" fontId="9" fillId="0" borderId="0"/>
    <xf numFmtId="170" fontId="9" fillId="0" borderId="0"/>
    <xf numFmtId="170" fontId="51" fillId="0" borderId="0"/>
    <xf numFmtId="170" fontId="51" fillId="0" borderId="0"/>
    <xf numFmtId="170" fontId="9" fillId="0" borderId="0"/>
    <xf numFmtId="170" fontId="9" fillId="0" borderId="0"/>
    <xf numFmtId="170" fontId="9" fillId="0" borderId="0"/>
    <xf numFmtId="170" fontId="9" fillId="0" borderId="0"/>
    <xf numFmtId="170" fontId="51" fillId="0" borderId="0"/>
    <xf numFmtId="170" fontId="71" fillId="0" borderId="0" applyNumberFormat="0" applyFill="0" applyBorder="0" applyAlignment="0" applyProtection="0">
      <alignment vertical="top"/>
      <protection locked="0"/>
    </xf>
    <xf numFmtId="0" fontId="4" fillId="0" borderId="0"/>
    <xf numFmtId="0" fontId="4" fillId="0" borderId="0"/>
    <xf numFmtId="170" fontId="4" fillId="0" borderId="0"/>
    <xf numFmtId="170" fontId="1" fillId="0" borderId="0" applyNumberFormat="0" applyFill="0" applyBorder="0" applyAlignment="0" applyProtection="0"/>
    <xf numFmtId="170" fontId="2" fillId="0" borderId="1" applyNumberFormat="0" applyFill="0" applyAlignment="0" applyProtection="0"/>
    <xf numFmtId="170" fontId="3" fillId="0" borderId="2" applyNumberFormat="0" applyFill="0" applyAlignment="0" applyProtection="0"/>
    <xf numFmtId="170" fontId="3" fillId="0" borderId="0" applyNumberFormat="0" applyFill="0" applyBorder="0" applyAlignment="0" applyProtection="0"/>
    <xf numFmtId="0" fontId="4" fillId="0" borderId="0"/>
    <xf numFmtId="167"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0" fontId="4" fillId="0" borderId="0"/>
    <xf numFmtId="170" fontId="1" fillId="0" borderId="0" applyNumberFormat="0" applyFill="0" applyBorder="0" applyAlignment="0" applyProtection="0"/>
    <xf numFmtId="170" fontId="2" fillId="0" borderId="1" applyNumberFormat="0" applyFill="0" applyAlignment="0" applyProtection="0"/>
    <xf numFmtId="170" fontId="3" fillId="0" borderId="2" applyNumberFormat="0" applyFill="0" applyAlignment="0" applyProtection="0"/>
    <xf numFmtId="170" fontId="3" fillId="0" borderId="0" applyNumberFormat="0" applyFill="0" applyBorder="0" applyAlignment="0" applyProtection="0"/>
    <xf numFmtId="167"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0" fontId="4" fillId="0" borderId="0"/>
    <xf numFmtId="171" fontId="31" fillId="9" borderId="15">
      <alignment horizontal="right" vertical="center"/>
    </xf>
    <xf numFmtId="171" fontId="31" fillId="9" borderId="15">
      <alignment horizontal="right" vertical="center"/>
    </xf>
    <xf numFmtId="171" fontId="31" fillId="9" borderId="15">
      <alignment horizontal="right" vertical="center"/>
    </xf>
    <xf numFmtId="9" fontId="4" fillId="0" borderId="0" applyFont="0" applyFill="0" applyBorder="0" applyAlignment="0" applyProtection="0"/>
    <xf numFmtId="170" fontId="71" fillId="0" borderId="0" applyNumberFormat="0" applyFill="0" applyBorder="0" applyAlignment="0" applyProtection="0">
      <alignment vertical="top"/>
      <protection locked="0"/>
    </xf>
    <xf numFmtId="9" fontId="51" fillId="0" borderId="0" applyFont="0" applyFill="0" applyBorder="0" applyAlignment="0" applyProtection="0"/>
    <xf numFmtId="170" fontId="4" fillId="0" borderId="0"/>
    <xf numFmtId="170"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5"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68" fontId="16" fillId="0" borderId="183">
      <alignment vertical="center"/>
    </xf>
    <xf numFmtId="168" fontId="16" fillId="0" borderId="183">
      <alignment vertical="center"/>
    </xf>
    <xf numFmtId="168" fontId="16" fillId="0" borderId="183">
      <alignment vertical="center"/>
    </xf>
    <xf numFmtId="171" fontId="23" fillId="8" borderId="183">
      <alignment horizontal="right" vertical="center"/>
    </xf>
    <xf numFmtId="171" fontId="23" fillId="8" borderId="183">
      <alignment horizontal="right" vertical="center"/>
    </xf>
    <xf numFmtId="171" fontId="23" fillId="8"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0" fontId="4" fillId="0" borderId="0"/>
    <xf numFmtId="0" fontId="4" fillId="0" borderId="0"/>
    <xf numFmtId="0" fontId="4" fillId="0" borderId="0"/>
    <xf numFmtId="0" fontId="4" fillId="0" borderId="0"/>
    <xf numFmtId="170" fontId="4" fillId="0" borderId="0"/>
    <xf numFmtId="0" fontId="113" fillId="0" borderId="0"/>
    <xf numFmtId="170" fontId="34" fillId="1" borderId="23" applyNumberFormat="0" applyProtection="0">
      <alignment horizontal="left" vertical="top"/>
    </xf>
    <xf numFmtId="0" fontId="4" fillId="0" borderId="0"/>
    <xf numFmtId="171" fontId="23" fillId="8" borderId="183">
      <alignment horizontal="right" vertical="center"/>
    </xf>
    <xf numFmtId="168" fontId="16" fillId="0" borderId="207">
      <alignment vertical="center"/>
    </xf>
    <xf numFmtId="171" fontId="31" fillId="9" borderId="207">
      <alignment horizontal="right" vertical="center"/>
    </xf>
    <xf numFmtId="0" fontId="46" fillId="52" borderId="0" applyNumberFormat="0" applyBorder="0" applyAlignment="0" applyProtection="0"/>
    <xf numFmtId="0" fontId="107" fillId="28" borderId="0" applyNumberFormat="0" applyBorder="0" applyAlignment="0" applyProtection="0"/>
    <xf numFmtId="4" fontId="26" fillId="0" borderId="183" applyFill="0" applyBorder="0" applyProtection="0">
      <alignment horizontal="right" vertical="center"/>
    </xf>
    <xf numFmtId="171" fontId="31" fillId="9" borderId="183">
      <alignment horizontal="right" vertical="center"/>
    </xf>
    <xf numFmtId="171" fontId="31" fillId="9" borderId="183">
      <alignment horizontal="right" vertical="center"/>
    </xf>
    <xf numFmtId="4" fontId="26" fillId="0" borderId="207" applyFill="0" applyBorder="0" applyProtection="0">
      <alignment horizontal="right" vertical="center"/>
    </xf>
    <xf numFmtId="49" fontId="26" fillId="0" borderId="212" applyNumberFormat="0" applyFont="0" applyFill="0" applyBorder="0" applyProtection="0">
      <alignment horizontal="left" vertical="center" indent="2"/>
    </xf>
    <xf numFmtId="170" fontId="34" fillId="1" borderId="209" applyNumberFormat="0" applyProtection="0">
      <alignment horizontal="left" vertical="top"/>
    </xf>
    <xf numFmtId="49" fontId="26" fillId="0" borderId="210" applyNumberFormat="0" applyFont="0" applyFill="0" applyBorder="0" applyProtection="0">
      <alignment horizontal="left" vertical="center" indent="2"/>
    </xf>
    <xf numFmtId="168" fontId="16" fillId="0" borderId="207">
      <alignment vertical="center"/>
    </xf>
    <xf numFmtId="0" fontId="26" fillId="0" borderId="207" applyNumberFormat="0" applyFill="0" applyAlignment="0" applyProtection="0"/>
    <xf numFmtId="170" fontId="34" fillId="1" borderId="209" applyNumberFormat="0" applyProtection="0">
      <alignment horizontal="left" vertical="top"/>
    </xf>
    <xf numFmtId="170" fontId="34" fillId="1" borderId="211" applyNumberFormat="0" applyProtection="0">
      <alignment horizontal="left" vertical="top"/>
    </xf>
    <xf numFmtId="171" fontId="31" fillId="9" borderId="212">
      <alignment horizontal="right" vertical="center"/>
    </xf>
    <xf numFmtId="175" fontId="26" fillId="59" borderId="212" applyNumberFormat="0" applyFont="0" applyBorder="0" applyAlignment="0" applyProtection="0">
      <alignment horizontal="right" vertical="center"/>
    </xf>
    <xf numFmtId="170" fontId="34" fillId="1" borderId="213" applyNumberFormat="0" applyProtection="0">
      <alignment horizontal="left" vertical="top"/>
    </xf>
    <xf numFmtId="49" fontId="116" fillId="0" borderId="210" applyNumberFormat="0" applyFill="0" applyBorder="0" applyProtection="0">
      <alignment horizontal="left" vertical="center"/>
    </xf>
    <xf numFmtId="171" fontId="23" fillId="8" borderId="207">
      <alignment horizontal="right" vertical="center"/>
    </xf>
    <xf numFmtId="49" fontId="26" fillId="0" borderId="207" applyNumberFormat="0" applyFont="0" applyFill="0" applyBorder="0" applyProtection="0">
      <alignment horizontal="left" vertical="center" indent="2"/>
    </xf>
    <xf numFmtId="168" fontId="16" fillId="0" borderId="207">
      <alignment vertical="center"/>
    </xf>
    <xf numFmtId="171" fontId="31" fillId="9" borderId="207">
      <alignment horizontal="right" vertical="center"/>
    </xf>
    <xf numFmtId="171" fontId="23" fillId="8" borderId="183">
      <alignment horizontal="right" vertical="center"/>
    </xf>
    <xf numFmtId="168" fontId="16" fillId="0" borderId="183">
      <alignment vertical="center"/>
    </xf>
    <xf numFmtId="171" fontId="23" fillId="8" borderId="183">
      <alignment horizontal="right" vertical="center"/>
    </xf>
    <xf numFmtId="0" fontId="46" fillId="40" borderId="0" applyNumberFormat="0" applyBorder="0" applyAlignment="0" applyProtection="0"/>
    <xf numFmtId="171" fontId="23" fillId="8" borderId="207">
      <alignment horizontal="right" vertical="center"/>
    </xf>
    <xf numFmtId="0" fontId="46" fillId="36" borderId="0" applyNumberFormat="0" applyBorder="0" applyAlignment="0" applyProtection="0"/>
    <xf numFmtId="171" fontId="31" fillId="9" borderId="207">
      <alignment horizontal="right" vertical="center"/>
    </xf>
    <xf numFmtId="171" fontId="31" fillId="9" borderId="183">
      <alignment horizontal="right" vertical="center"/>
    </xf>
    <xf numFmtId="4" fontId="26" fillId="0" borderId="205" applyFill="0" applyBorder="0" applyProtection="0">
      <alignment horizontal="right" vertical="center"/>
    </xf>
    <xf numFmtId="168" fontId="16" fillId="0" borderId="207">
      <alignment vertical="center"/>
    </xf>
    <xf numFmtId="171" fontId="31" fillId="9" borderId="212">
      <alignment horizontal="right" vertical="center"/>
    </xf>
    <xf numFmtId="0" fontId="26" fillId="0" borderId="210" applyNumberFormat="0" applyFill="0" applyAlignment="0" applyProtection="0"/>
    <xf numFmtId="175" fontId="26" fillId="59" borderId="205" applyNumberFormat="0" applyFont="0" applyBorder="0" applyAlignment="0" applyProtection="0">
      <alignment horizontal="right" vertical="center"/>
    </xf>
    <xf numFmtId="171" fontId="31" fillId="9" borderId="207">
      <alignment horizontal="right" vertical="center"/>
    </xf>
    <xf numFmtId="49" fontId="26" fillId="0" borderId="205" applyNumberFormat="0" applyFont="0" applyFill="0" applyBorder="0" applyProtection="0">
      <alignment horizontal="left" vertical="center" indent="2"/>
    </xf>
    <xf numFmtId="171" fontId="31" fillId="9" borderId="183">
      <alignment horizontal="right" vertical="center"/>
    </xf>
    <xf numFmtId="171" fontId="31" fillId="9" borderId="183">
      <alignment horizontal="right" vertical="center"/>
    </xf>
    <xf numFmtId="171" fontId="31" fillId="9" borderId="183">
      <alignment horizontal="right" vertical="center"/>
    </xf>
    <xf numFmtId="0" fontId="26" fillId="0" borderId="205" applyNumberFormat="0" applyFill="0" applyAlignment="0" applyProtection="0"/>
    <xf numFmtId="168" fontId="16" fillId="0" borderId="183">
      <alignment vertical="center"/>
    </xf>
    <xf numFmtId="170" fontId="34" fillId="1" borderId="208" applyNumberFormat="0" applyProtection="0">
      <alignment horizontal="left" vertical="top"/>
    </xf>
    <xf numFmtId="170" fontId="34" fillId="1" borderId="23" applyNumberFormat="0" applyProtection="0">
      <alignment horizontal="left" vertical="top"/>
    </xf>
    <xf numFmtId="43" fontId="4" fillId="0" borderId="0" applyFont="0" applyFill="0" applyBorder="0" applyAlignment="0" applyProtection="0"/>
    <xf numFmtId="171" fontId="23" fillId="8" borderId="207">
      <alignment horizontal="right" vertical="center"/>
    </xf>
    <xf numFmtId="171" fontId="31" fillId="9" borderId="207">
      <alignment horizontal="right" vertical="center"/>
    </xf>
    <xf numFmtId="168" fontId="16" fillId="0" borderId="183">
      <alignment vertical="center"/>
    </xf>
    <xf numFmtId="49" fontId="116" fillId="0" borderId="205" applyNumberFormat="0" applyFill="0" applyBorder="0" applyProtection="0">
      <alignment horizontal="left" vertical="center"/>
    </xf>
    <xf numFmtId="171" fontId="31" fillId="9" borderId="207">
      <alignment horizontal="right" vertical="center"/>
    </xf>
    <xf numFmtId="171" fontId="23" fillId="8" borderId="207">
      <alignment horizontal="right" vertical="center"/>
    </xf>
    <xf numFmtId="171" fontId="31" fillId="9" borderId="207">
      <alignment horizontal="right" vertical="center"/>
    </xf>
    <xf numFmtId="171" fontId="23" fillId="8" borderId="207">
      <alignment horizontal="right" vertical="center"/>
    </xf>
    <xf numFmtId="49" fontId="116" fillId="0" borderId="207" applyNumberFormat="0" applyFill="0" applyBorder="0" applyProtection="0">
      <alignment horizontal="left" vertical="center"/>
    </xf>
    <xf numFmtId="175" fontId="26" fillId="59" borderId="207" applyNumberFormat="0" applyFont="0" applyBorder="0" applyAlignment="0" applyProtection="0">
      <alignment horizontal="right" vertical="center"/>
    </xf>
    <xf numFmtId="0" fontId="26" fillId="0" borderId="212" applyNumberFormat="0" applyFill="0" applyAlignment="0" applyProtection="0"/>
    <xf numFmtId="168" fontId="16" fillId="0" borderId="207">
      <alignment vertical="center"/>
    </xf>
    <xf numFmtId="0" fontId="46" fillId="44" borderId="0" applyNumberFormat="0" applyBorder="0" applyAlignment="0" applyProtection="0"/>
    <xf numFmtId="0" fontId="46" fillId="56" borderId="0" applyNumberFormat="0" applyBorder="0" applyAlignment="0" applyProtection="0"/>
    <xf numFmtId="0" fontId="46" fillId="48" borderId="0" applyNumberFormat="0" applyBorder="0" applyAlignment="0" applyProtection="0"/>
    <xf numFmtId="170" fontId="34" fillId="1" borderId="206" applyNumberFormat="0" applyProtection="0">
      <alignment horizontal="left" vertical="top"/>
    </xf>
    <xf numFmtId="171" fontId="23" fillId="8"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68" fontId="16" fillId="0" borderId="205">
      <alignment vertical="center"/>
    </xf>
    <xf numFmtId="168" fontId="16" fillId="0" borderId="205">
      <alignment vertical="center"/>
    </xf>
    <xf numFmtId="168" fontId="16" fillId="0" borderId="205">
      <alignment vertical="center"/>
    </xf>
    <xf numFmtId="171" fontId="23" fillId="8" borderId="205">
      <alignment horizontal="right" vertical="center"/>
    </xf>
    <xf numFmtId="171" fontId="23" fillId="8" borderId="205">
      <alignment horizontal="right" vertical="center"/>
    </xf>
    <xf numFmtId="171" fontId="23" fillId="8"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4" fontId="26" fillId="0" borderId="207" applyFill="0" applyBorder="0" applyProtection="0">
      <alignment horizontal="right" vertical="center"/>
    </xf>
    <xf numFmtId="49" fontId="26" fillId="0" borderId="205" applyNumberFormat="0" applyFont="0" applyFill="0" applyBorder="0" applyProtection="0">
      <alignment horizontal="left" vertical="center" indent="2"/>
    </xf>
    <xf numFmtId="0" fontId="26" fillId="0" borderId="205" applyNumberFormat="0" applyFill="0" applyAlignment="0" applyProtection="0"/>
    <xf numFmtId="171" fontId="31" fillId="9" borderId="205">
      <alignment horizontal="right" vertical="center"/>
    </xf>
    <xf numFmtId="49" fontId="116" fillId="0" borderId="205" applyNumberFormat="0" applyFill="0" applyBorder="0" applyProtection="0">
      <alignment horizontal="left" vertical="center"/>
    </xf>
    <xf numFmtId="171" fontId="23" fillId="8" borderId="205">
      <alignment horizontal="right" vertical="center"/>
    </xf>
    <xf numFmtId="4" fontId="26" fillId="0" borderId="205" applyFill="0" applyBorder="0" applyProtection="0">
      <alignment horizontal="right" vertical="center"/>
    </xf>
    <xf numFmtId="171" fontId="23" fillId="8" borderId="205">
      <alignment horizontal="right" vertical="center"/>
    </xf>
    <xf numFmtId="168" fontId="16" fillId="0" borderId="205">
      <alignment vertical="center"/>
    </xf>
    <xf numFmtId="175" fontId="26" fillId="59" borderId="205" applyNumberFormat="0" applyFont="0" applyBorder="0" applyAlignment="0" applyProtection="0">
      <alignment horizontal="right" vertical="center"/>
    </xf>
    <xf numFmtId="168" fontId="16" fillId="0" borderId="205">
      <alignment vertical="center"/>
    </xf>
    <xf numFmtId="168" fontId="16" fillId="0" borderId="205">
      <alignment vertical="center"/>
    </xf>
    <xf numFmtId="171" fontId="23" fillId="8"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170" fontId="34" fillId="1" borderId="23" applyNumberFormat="0" applyProtection="0">
      <alignment horizontal="left" vertical="top"/>
    </xf>
    <xf numFmtId="171" fontId="31" fillId="9" borderId="207">
      <alignment horizontal="right" vertical="center"/>
    </xf>
    <xf numFmtId="4" fontId="26" fillId="0" borderId="212" applyFill="0" applyBorder="0" applyProtection="0">
      <alignment horizontal="right" vertical="center"/>
    </xf>
    <xf numFmtId="171" fontId="31" fillId="9" borderId="212">
      <alignment horizontal="right" vertical="center"/>
    </xf>
    <xf numFmtId="49" fontId="116" fillId="0" borderId="212" applyNumberFormat="0" applyFill="0" applyBorder="0" applyProtection="0">
      <alignment horizontal="left" vertical="center"/>
    </xf>
    <xf numFmtId="168" fontId="16" fillId="0" borderId="207">
      <alignment vertical="center"/>
    </xf>
    <xf numFmtId="4" fontId="26" fillId="0" borderId="210" applyFill="0" applyBorder="0" applyProtection="0">
      <alignment horizontal="right" vertical="center"/>
    </xf>
    <xf numFmtId="49" fontId="26" fillId="0" borderId="183" applyNumberFormat="0" applyFont="0" applyFill="0" applyBorder="0" applyProtection="0">
      <alignment horizontal="left" vertical="center" indent="2"/>
    </xf>
    <xf numFmtId="0" fontId="26" fillId="0" borderId="183" applyNumberFormat="0" applyFill="0" applyAlignment="0" applyProtection="0"/>
    <xf numFmtId="171" fontId="31" fillId="9" borderId="183">
      <alignment horizontal="right" vertical="center"/>
    </xf>
    <xf numFmtId="49" fontId="116" fillId="0" borderId="183" applyNumberFormat="0" applyFill="0" applyBorder="0" applyProtection="0">
      <alignment horizontal="left" vertical="center"/>
    </xf>
    <xf numFmtId="171" fontId="23" fillId="8" borderId="183">
      <alignment horizontal="right" vertical="center"/>
    </xf>
    <xf numFmtId="4" fontId="26" fillId="0" borderId="183" applyFill="0" applyBorder="0" applyProtection="0">
      <alignment horizontal="right" vertical="center"/>
    </xf>
    <xf numFmtId="171" fontId="23" fillId="8" borderId="183">
      <alignment horizontal="right" vertical="center"/>
    </xf>
    <xf numFmtId="168" fontId="16" fillId="0" borderId="183">
      <alignment vertical="center"/>
    </xf>
    <xf numFmtId="175" fontId="26" fillId="59" borderId="183" applyNumberFormat="0" applyFont="0" applyBorder="0" applyAlignment="0" applyProtection="0">
      <alignment horizontal="right" vertical="center"/>
    </xf>
    <xf numFmtId="168" fontId="16" fillId="0" borderId="183">
      <alignment vertical="center"/>
    </xf>
    <xf numFmtId="168" fontId="16" fillId="0" borderId="183">
      <alignment vertical="center"/>
    </xf>
    <xf numFmtId="171" fontId="23" fillId="8"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0" fontId="34" fillId="1" borderId="206" applyNumberFormat="0" applyProtection="0">
      <alignment horizontal="left" vertical="top"/>
    </xf>
    <xf numFmtId="171" fontId="23" fillId="8" borderId="183">
      <alignment horizontal="right" vertical="center"/>
    </xf>
    <xf numFmtId="4" fontId="26" fillId="0" borderId="183" applyFill="0" applyBorder="0" applyProtection="0">
      <alignment horizontal="right" vertical="center"/>
    </xf>
    <xf numFmtId="171" fontId="31" fillId="9" borderId="183">
      <alignment horizontal="right" vertical="center"/>
    </xf>
    <xf numFmtId="171" fontId="31" fillId="9" borderId="183">
      <alignment horizontal="right" vertical="center"/>
    </xf>
    <xf numFmtId="171" fontId="23" fillId="8" borderId="183">
      <alignment horizontal="right" vertical="center"/>
    </xf>
    <xf numFmtId="168" fontId="16" fillId="0" borderId="183">
      <alignment vertical="center"/>
    </xf>
    <xf numFmtId="171" fontId="23" fillId="8" borderId="183">
      <alignment horizontal="right" vertical="center"/>
    </xf>
    <xf numFmtId="171" fontId="31" fillId="9" borderId="183">
      <alignment horizontal="right" vertical="center"/>
    </xf>
    <xf numFmtId="4" fontId="26" fillId="0" borderId="183" applyFill="0" applyBorder="0" applyProtection="0">
      <alignment horizontal="right" vertical="center"/>
    </xf>
    <xf numFmtId="175" fontId="26" fillId="59" borderId="183" applyNumberFormat="0" applyFont="0" applyBorder="0" applyAlignment="0" applyProtection="0">
      <alignment horizontal="right" vertical="center"/>
    </xf>
    <xf numFmtId="49" fontId="26" fillId="0" borderId="183" applyNumberFormat="0" applyFont="0" applyFill="0" applyBorder="0" applyProtection="0">
      <alignment horizontal="left" vertical="center" indent="2"/>
    </xf>
    <xf numFmtId="171" fontId="31" fillId="9" borderId="183">
      <alignment horizontal="right" vertical="center"/>
    </xf>
    <xf numFmtId="171" fontId="31" fillId="9" borderId="183">
      <alignment horizontal="right" vertical="center"/>
    </xf>
    <xf numFmtId="171" fontId="31" fillId="9" borderId="183">
      <alignment horizontal="right" vertical="center"/>
    </xf>
    <xf numFmtId="0" fontId="26" fillId="0" borderId="183" applyNumberFormat="0" applyFill="0" applyAlignment="0" applyProtection="0"/>
    <xf numFmtId="168" fontId="16" fillId="0" borderId="183">
      <alignment vertical="center"/>
    </xf>
    <xf numFmtId="170" fontId="34" fillId="1" borderId="23" applyNumberFormat="0" applyProtection="0">
      <alignment horizontal="left" vertical="top"/>
    </xf>
    <xf numFmtId="168" fontId="16" fillId="0" borderId="183">
      <alignment vertical="center"/>
    </xf>
    <xf numFmtId="49" fontId="116" fillId="0" borderId="183" applyNumberFormat="0" applyFill="0" applyBorder="0" applyProtection="0">
      <alignment horizontal="left" vertical="center"/>
    </xf>
    <xf numFmtId="168" fontId="16" fillId="0" borderId="183">
      <alignment vertical="center"/>
    </xf>
    <xf numFmtId="168" fontId="16" fillId="0" borderId="183">
      <alignment vertical="center"/>
    </xf>
    <xf numFmtId="168" fontId="16" fillId="0" borderId="183">
      <alignment vertical="center"/>
    </xf>
    <xf numFmtId="171" fontId="23" fillId="8" borderId="183">
      <alignment horizontal="right" vertical="center"/>
    </xf>
    <xf numFmtId="171" fontId="23" fillId="8" borderId="183">
      <alignment horizontal="right" vertical="center"/>
    </xf>
    <xf numFmtId="171" fontId="23" fillId="8"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0" fontId="34" fillId="1" borderId="23" applyNumberFormat="0" applyProtection="0">
      <alignment horizontal="left" vertical="top"/>
    </xf>
    <xf numFmtId="49" fontId="26" fillId="0" borderId="207" applyNumberFormat="0" applyFont="0" applyFill="0" applyBorder="0" applyProtection="0">
      <alignment horizontal="left" vertical="center" indent="2"/>
    </xf>
    <xf numFmtId="0" fontId="26" fillId="0" borderId="207" applyNumberFormat="0" applyFill="0" applyAlignment="0" applyProtection="0"/>
    <xf numFmtId="171" fontId="31" fillId="9" borderId="207">
      <alignment horizontal="right" vertical="center"/>
    </xf>
    <xf numFmtId="49" fontId="116" fillId="0" borderId="207" applyNumberFormat="0" applyFill="0" applyBorder="0" applyProtection="0">
      <alignment horizontal="left" vertical="center"/>
    </xf>
    <xf numFmtId="171" fontId="23" fillId="8" borderId="207">
      <alignment horizontal="right" vertical="center"/>
    </xf>
    <xf numFmtId="4" fontId="26" fillId="0" borderId="207" applyFill="0" applyBorder="0" applyProtection="0">
      <alignment horizontal="right" vertical="center"/>
    </xf>
    <xf numFmtId="171" fontId="23" fillId="8" borderId="207">
      <alignment horizontal="right" vertical="center"/>
    </xf>
    <xf numFmtId="168" fontId="16" fillId="0" borderId="207">
      <alignment vertical="center"/>
    </xf>
    <xf numFmtId="175" fontId="26" fillId="59" borderId="207" applyNumberFormat="0" applyFont="0" applyBorder="0" applyAlignment="0" applyProtection="0">
      <alignment horizontal="right" vertical="center"/>
    </xf>
    <xf numFmtId="168" fontId="16" fillId="0" borderId="207">
      <alignment vertical="center"/>
    </xf>
    <xf numFmtId="168" fontId="16" fillId="0" borderId="207">
      <alignment vertical="center"/>
    </xf>
    <xf numFmtId="171" fontId="23" fillId="8"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0" fontId="34" fillId="1" borderId="208" applyNumberFormat="0" applyProtection="0">
      <alignment horizontal="left" vertical="top"/>
    </xf>
    <xf numFmtId="171" fontId="23" fillId="8" borderId="207">
      <alignment horizontal="right" vertical="center"/>
    </xf>
    <xf numFmtId="4" fontId="26" fillId="0" borderId="207" applyFill="0" applyBorder="0" applyProtection="0">
      <alignment horizontal="right" vertical="center"/>
    </xf>
    <xf numFmtId="171" fontId="31" fillId="9" borderId="207">
      <alignment horizontal="right" vertical="center"/>
    </xf>
    <xf numFmtId="171" fontId="31" fillId="9" borderId="207">
      <alignment horizontal="right" vertical="center"/>
    </xf>
    <xf numFmtId="171" fontId="23" fillId="8" borderId="207">
      <alignment horizontal="right" vertical="center"/>
    </xf>
    <xf numFmtId="168" fontId="16" fillId="0" borderId="207">
      <alignment vertical="center"/>
    </xf>
    <xf numFmtId="171" fontId="23" fillId="8" borderId="207">
      <alignment horizontal="right" vertical="center"/>
    </xf>
    <xf numFmtId="171" fontId="31" fillId="9" borderId="207">
      <alignment horizontal="right" vertical="center"/>
    </xf>
    <xf numFmtId="4" fontId="26" fillId="0" borderId="207" applyFill="0" applyBorder="0" applyProtection="0">
      <alignment horizontal="right" vertical="center"/>
    </xf>
    <xf numFmtId="175" fontId="26" fillId="59" borderId="207" applyNumberFormat="0" applyFont="0" applyBorder="0" applyAlignment="0" applyProtection="0">
      <alignment horizontal="right" vertical="center"/>
    </xf>
    <xf numFmtId="49" fontId="26" fillId="0" borderId="207" applyNumberFormat="0" applyFont="0" applyFill="0" applyBorder="0" applyProtection="0">
      <alignment horizontal="left" vertical="center" indent="2"/>
    </xf>
    <xf numFmtId="171" fontId="31" fillId="9" borderId="207">
      <alignment horizontal="right" vertical="center"/>
    </xf>
    <xf numFmtId="171" fontId="31" fillId="9" borderId="207">
      <alignment horizontal="right" vertical="center"/>
    </xf>
    <xf numFmtId="171" fontId="31" fillId="9" borderId="207">
      <alignment horizontal="right" vertical="center"/>
    </xf>
    <xf numFmtId="0" fontId="26" fillId="0" borderId="207" applyNumberFormat="0" applyFill="0" applyAlignment="0" applyProtection="0"/>
    <xf numFmtId="168" fontId="16" fillId="0" borderId="207">
      <alignment vertical="center"/>
    </xf>
    <xf numFmtId="170" fontId="34" fillId="1" borderId="206" applyNumberFormat="0" applyProtection="0">
      <alignment horizontal="left" vertical="top"/>
    </xf>
    <xf numFmtId="168" fontId="16" fillId="0" borderId="207">
      <alignment vertical="center"/>
    </xf>
    <xf numFmtId="49" fontId="116" fillId="0" borderId="207" applyNumberFormat="0" applyFill="0" applyBorder="0" applyProtection="0">
      <alignment horizontal="left" vertical="center"/>
    </xf>
    <xf numFmtId="168" fontId="16" fillId="0" borderId="207">
      <alignment vertical="center"/>
    </xf>
    <xf numFmtId="168" fontId="16" fillId="0" borderId="207">
      <alignment vertical="center"/>
    </xf>
    <xf numFmtId="168" fontId="16" fillId="0" borderId="207">
      <alignment vertical="center"/>
    </xf>
    <xf numFmtId="171" fontId="23" fillId="8" borderId="207">
      <alignment horizontal="right" vertical="center"/>
    </xf>
    <xf numFmtId="171" fontId="23" fillId="8" borderId="207">
      <alignment horizontal="right" vertical="center"/>
    </xf>
    <xf numFmtId="171" fontId="23" fillId="8"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0" fontId="34" fillId="1" borderId="206" applyNumberFormat="0" applyProtection="0">
      <alignment horizontal="left" vertical="top"/>
    </xf>
    <xf numFmtId="175" fontId="26" fillId="59" borderId="210" applyNumberFormat="0" applyFont="0" applyBorder="0" applyAlignment="0" applyProtection="0">
      <alignment horizontal="right" vertical="center"/>
    </xf>
    <xf numFmtId="168" fontId="16" fillId="0" borderId="210">
      <alignment vertical="center"/>
    </xf>
    <xf numFmtId="168" fontId="16" fillId="0" borderId="210">
      <alignment vertical="center"/>
    </xf>
    <xf numFmtId="168" fontId="16" fillId="0" borderId="210">
      <alignment vertical="center"/>
    </xf>
    <xf numFmtId="171" fontId="23" fillId="8" borderId="210">
      <alignment horizontal="right" vertical="center"/>
    </xf>
    <xf numFmtId="171" fontId="23" fillId="8" borderId="210">
      <alignment horizontal="right" vertical="center"/>
    </xf>
    <xf numFmtId="171" fontId="23" fillId="8"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0" fontId="34" fillId="1" borderId="209" applyNumberFormat="0" applyProtection="0">
      <alignment horizontal="left" vertical="top"/>
    </xf>
    <xf numFmtId="49" fontId="26" fillId="0" borderId="210" applyNumberFormat="0" applyFont="0" applyFill="0" applyBorder="0" applyProtection="0">
      <alignment horizontal="left" vertical="center" indent="2"/>
    </xf>
    <xf numFmtId="0" fontId="26" fillId="0" borderId="210" applyNumberFormat="0" applyFill="0" applyAlignment="0" applyProtection="0"/>
    <xf numFmtId="171" fontId="31" fillId="9" borderId="210">
      <alignment horizontal="right" vertical="center"/>
    </xf>
    <xf numFmtId="49" fontId="116" fillId="0" borderId="210" applyNumberFormat="0" applyFill="0" applyBorder="0" applyProtection="0">
      <alignment horizontal="left" vertical="center"/>
    </xf>
    <xf numFmtId="171" fontId="23" fillId="8" borderId="210">
      <alignment horizontal="right" vertical="center"/>
    </xf>
    <xf numFmtId="4" fontId="26" fillId="0" borderId="210" applyFill="0" applyBorder="0" applyProtection="0">
      <alignment horizontal="right" vertical="center"/>
    </xf>
    <xf numFmtId="171" fontId="23" fillId="8" borderId="210">
      <alignment horizontal="right" vertical="center"/>
    </xf>
    <xf numFmtId="168" fontId="16" fillId="0" borderId="210">
      <alignment vertical="center"/>
    </xf>
    <xf numFmtId="175" fontId="26" fillId="59" borderId="210" applyNumberFormat="0" applyFont="0" applyBorder="0" applyAlignment="0" applyProtection="0">
      <alignment horizontal="right" vertical="center"/>
    </xf>
    <xf numFmtId="168" fontId="16" fillId="0" borderId="210">
      <alignment vertical="center"/>
    </xf>
    <xf numFmtId="168" fontId="16" fillId="0" borderId="210">
      <alignment vertical="center"/>
    </xf>
    <xf numFmtId="171" fontId="23" fillId="8"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0" fontId="34" fillId="1" borderId="209" applyNumberFormat="0" applyProtection="0">
      <alignment horizontal="left" vertical="top"/>
    </xf>
    <xf numFmtId="171" fontId="23" fillId="8" borderId="210">
      <alignment horizontal="right" vertical="center"/>
    </xf>
    <xf numFmtId="4" fontId="26" fillId="0" borderId="210" applyFill="0" applyBorder="0" applyProtection="0">
      <alignment horizontal="right" vertical="center"/>
    </xf>
    <xf numFmtId="171" fontId="31" fillId="9" borderId="210">
      <alignment horizontal="right" vertical="center"/>
    </xf>
    <xf numFmtId="171" fontId="31" fillId="9" borderId="210">
      <alignment horizontal="right" vertical="center"/>
    </xf>
    <xf numFmtId="171" fontId="23" fillId="8" borderId="210">
      <alignment horizontal="right" vertical="center"/>
    </xf>
    <xf numFmtId="168" fontId="16" fillId="0" borderId="210">
      <alignment vertical="center"/>
    </xf>
    <xf numFmtId="171" fontId="23" fillId="8" borderId="210">
      <alignment horizontal="right" vertical="center"/>
    </xf>
    <xf numFmtId="171" fontId="31" fillId="9" borderId="210">
      <alignment horizontal="right" vertical="center"/>
    </xf>
    <xf numFmtId="4" fontId="26" fillId="0" borderId="210" applyFill="0" applyBorder="0" applyProtection="0">
      <alignment horizontal="right" vertical="center"/>
    </xf>
    <xf numFmtId="175" fontId="26" fillId="59" borderId="210" applyNumberFormat="0" applyFont="0" applyBorder="0" applyAlignment="0" applyProtection="0">
      <alignment horizontal="right" vertical="center"/>
    </xf>
    <xf numFmtId="49" fontId="26" fillId="0" borderId="210" applyNumberFormat="0" applyFont="0" applyFill="0" applyBorder="0" applyProtection="0">
      <alignment horizontal="left" vertical="center" indent="2"/>
    </xf>
    <xf numFmtId="171" fontId="31" fillId="9" borderId="210">
      <alignment horizontal="right" vertical="center"/>
    </xf>
    <xf numFmtId="171" fontId="31" fillId="9" borderId="210">
      <alignment horizontal="right" vertical="center"/>
    </xf>
    <xf numFmtId="171" fontId="31" fillId="9" borderId="210">
      <alignment horizontal="right" vertical="center"/>
    </xf>
    <xf numFmtId="0" fontId="26" fillId="0" borderId="210" applyNumberFormat="0" applyFill="0" applyAlignment="0" applyProtection="0"/>
    <xf numFmtId="168" fontId="16" fillId="0" borderId="210">
      <alignment vertical="center"/>
    </xf>
    <xf numFmtId="170" fontId="34" fillId="1" borderId="209" applyNumberFormat="0" applyProtection="0">
      <alignment horizontal="left" vertical="top"/>
    </xf>
    <xf numFmtId="168" fontId="16" fillId="0" borderId="210">
      <alignment vertical="center"/>
    </xf>
    <xf numFmtId="49" fontId="116" fillId="0" borderId="210" applyNumberFormat="0" applyFill="0" applyBorder="0" applyProtection="0">
      <alignment horizontal="left" vertical="center"/>
    </xf>
    <xf numFmtId="168" fontId="16" fillId="0" borderId="210">
      <alignment vertical="center"/>
    </xf>
    <xf numFmtId="168" fontId="16" fillId="0" borderId="210">
      <alignment vertical="center"/>
    </xf>
    <xf numFmtId="168" fontId="16" fillId="0" borderId="210">
      <alignment vertical="center"/>
    </xf>
    <xf numFmtId="171" fontId="23" fillId="8" borderId="210">
      <alignment horizontal="right" vertical="center"/>
    </xf>
    <xf numFmtId="171" fontId="23" fillId="8" borderId="210">
      <alignment horizontal="right" vertical="center"/>
    </xf>
    <xf numFmtId="171" fontId="23" fillId="8"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0" fontId="34" fillId="1" borderId="209" applyNumberFormat="0" applyProtection="0">
      <alignment horizontal="left" vertical="top"/>
    </xf>
    <xf numFmtId="168" fontId="16" fillId="0" borderId="212">
      <alignment vertical="center"/>
    </xf>
    <xf numFmtId="168" fontId="16" fillId="0" borderId="212">
      <alignment vertical="center"/>
    </xf>
    <xf numFmtId="168" fontId="16" fillId="0" borderId="212">
      <alignment vertical="center"/>
    </xf>
    <xf numFmtId="171" fontId="23" fillId="8" borderId="212">
      <alignment horizontal="right" vertical="center"/>
    </xf>
    <xf numFmtId="171" fontId="23" fillId="8" borderId="212">
      <alignment horizontal="right" vertical="center"/>
    </xf>
    <xf numFmtId="171" fontId="23" fillId="8"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49" fontId="26" fillId="0" borderId="212" applyNumberFormat="0" applyFont="0" applyFill="0" applyBorder="0" applyProtection="0">
      <alignment horizontal="left" vertical="center" indent="2"/>
    </xf>
    <xf numFmtId="0" fontId="26" fillId="0" borderId="212" applyNumberFormat="0" applyFill="0" applyAlignment="0" applyProtection="0"/>
    <xf numFmtId="171" fontId="31" fillId="9" borderId="212">
      <alignment horizontal="right" vertical="center"/>
    </xf>
    <xf numFmtId="49" fontId="116" fillId="0" borderId="212" applyNumberFormat="0" applyFill="0" applyBorder="0" applyProtection="0">
      <alignment horizontal="left" vertical="center"/>
    </xf>
    <xf numFmtId="171" fontId="23" fillId="8" borderId="212">
      <alignment horizontal="right" vertical="center"/>
    </xf>
    <xf numFmtId="4" fontId="26" fillId="0" borderId="212" applyFill="0" applyBorder="0" applyProtection="0">
      <alignment horizontal="right" vertical="center"/>
    </xf>
    <xf numFmtId="171" fontId="23" fillId="8" borderId="212">
      <alignment horizontal="right" vertical="center"/>
    </xf>
    <xf numFmtId="168" fontId="16" fillId="0" borderId="212">
      <alignment vertical="center"/>
    </xf>
    <xf numFmtId="175" fontId="26" fillId="59" borderId="212" applyNumberFormat="0" applyFont="0" applyBorder="0" applyAlignment="0" applyProtection="0">
      <alignment horizontal="right" vertical="center"/>
    </xf>
    <xf numFmtId="168" fontId="16" fillId="0" borderId="212">
      <alignment vertical="center"/>
    </xf>
    <xf numFmtId="168" fontId="16" fillId="0" borderId="212">
      <alignment vertical="center"/>
    </xf>
    <xf numFmtId="171" fontId="23" fillId="8"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0" fontId="34" fillId="1" borderId="211" applyNumberFormat="0" applyProtection="0">
      <alignment horizontal="left" vertical="top"/>
    </xf>
    <xf numFmtId="171" fontId="23" fillId="8" borderId="212">
      <alignment horizontal="right" vertical="center"/>
    </xf>
    <xf numFmtId="4" fontId="26" fillId="0" borderId="212" applyFill="0" applyBorder="0" applyProtection="0">
      <alignment horizontal="right" vertical="center"/>
    </xf>
    <xf numFmtId="171" fontId="31" fillId="9" borderId="212">
      <alignment horizontal="right" vertical="center"/>
    </xf>
    <xf numFmtId="171" fontId="31" fillId="9" borderId="212">
      <alignment horizontal="right" vertical="center"/>
    </xf>
    <xf numFmtId="171" fontId="23" fillId="8" borderId="212">
      <alignment horizontal="right" vertical="center"/>
    </xf>
    <xf numFmtId="168" fontId="16" fillId="0" borderId="212">
      <alignment vertical="center"/>
    </xf>
    <xf numFmtId="171" fontId="23" fillId="8" borderId="212">
      <alignment horizontal="right" vertical="center"/>
    </xf>
    <xf numFmtId="171" fontId="31" fillId="9" borderId="212">
      <alignment horizontal="right" vertical="center"/>
    </xf>
    <xf numFmtId="4" fontId="26" fillId="0" borderId="212" applyFill="0" applyBorder="0" applyProtection="0">
      <alignment horizontal="right" vertical="center"/>
    </xf>
    <xf numFmtId="175" fontId="26" fillId="59" borderId="212" applyNumberFormat="0" applyFont="0" applyBorder="0" applyAlignment="0" applyProtection="0">
      <alignment horizontal="right" vertical="center"/>
    </xf>
    <xf numFmtId="49" fontId="26" fillId="0" borderId="212" applyNumberFormat="0" applyFont="0" applyFill="0" applyBorder="0" applyProtection="0">
      <alignment horizontal="left" vertical="center" indent="2"/>
    </xf>
    <xf numFmtId="171" fontId="31" fillId="9" borderId="212">
      <alignment horizontal="right" vertical="center"/>
    </xf>
    <xf numFmtId="171" fontId="31" fillId="9" borderId="212">
      <alignment horizontal="right" vertical="center"/>
    </xf>
    <xf numFmtId="171" fontId="31" fillId="9" borderId="212">
      <alignment horizontal="right" vertical="center"/>
    </xf>
    <xf numFmtId="0" fontId="26" fillId="0" borderId="212" applyNumberFormat="0" applyFill="0" applyAlignment="0" applyProtection="0"/>
    <xf numFmtId="168" fontId="16" fillId="0" borderId="212">
      <alignment vertical="center"/>
    </xf>
    <xf numFmtId="168" fontId="16" fillId="0" borderId="212">
      <alignment vertical="center"/>
    </xf>
    <xf numFmtId="49" fontId="116" fillId="0" borderId="212" applyNumberFormat="0" applyFill="0" applyBorder="0" applyProtection="0">
      <alignment horizontal="left" vertical="center"/>
    </xf>
    <xf numFmtId="168" fontId="16" fillId="0" borderId="212">
      <alignment vertical="center"/>
    </xf>
    <xf numFmtId="168" fontId="16" fillId="0" borderId="212">
      <alignment vertical="center"/>
    </xf>
    <xf numFmtId="168" fontId="16" fillId="0" borderId="212">
      <alignment vertical="center"/>
    </xf>
    <xf numFmtId="171" fontId="23" fillId="8" borderId="212">
      <alignment horizontal="right" vertical="center"/>
    </xf>
    <xf numFmtId="171" fontId="23" fillId="8" borderId="212">
      <alignment horizontal="right" vertical="center"/>
    </xf>
    <xf numFmtId="171" fontId="23" fillId="8"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4" fontId="26" fillId="0" borderId="214" applyFill="0" applyBorder="0" applyProtection="0">
      <alignment horizontal="right" vertical="center"/>
    </xf>
    <xf numFmtId="49" fontId="116" fillId="0" borderId="214" applyNumberFormat="0" applyFill="0" applyBorder="0" applyProtection="0">
      <alignment horizontal="left" vertical="center"/>
    </xf>
    <xf numFmtId="0" fontId="26" fillId="0" borderId="214" applyNumberFormat="0" applyFill="0" applyAlignment="0" applyProtection="0"/>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5" fontId="26" fillId="59" borderId="214" applyNumberFormat="0" applyFont="0" applyBorder="0" applyAlignment="0" applyProtection="0">
      <alignment horizontal="right" vertical="center"/>
    </xf>
    <xf numFmtId="171" fontId="23" fillId="8" borderId="214">
      <alignment horizontal="right" vertical="center"/>
    </xf>
    <xf numFmtId="175" fontId="26" fillId="59" borderId="214" applyNumberFormat="0" applyFont="0" applyBorder="0" applyAlignment="0" applyProtection="0">
      <alignment horizontal="right" vertical="center"/>
    </xf>
    <xf numFmtId="4" fontId="26" fillId="0" borderId="214" applyFill="0" applyBorder="0" applyProtection="0">
      <alignment horizontal="right" vertical="center"/>
    </xf>
    <xf numFmtId="168" fontId="16" fillId="0" borderId="214">
      <alignmen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23" fillId="8" borderId="214">
      <alignment horizontal="right" vertical="center"/>
    </xf>
    <xf numFmtId="175" fontId="26" fillId="59" borderId="214" applyNumberFormat="0" applyFont="0" applyBorder="0" applyAlignment="0" applyProtection="0">
      <alignment horizontal="right" vertical="center"/>
    </xf>
    <xf numFmtId="171" fontId="31" fillId="9" borderId="214">
      <alignment horizontal="right" vertical="center"/>
    </xf>
    <xf numFmtId="49" fontId="116" fillId="0" borderId="214" applyNumberFormat="0" applyFill="0" applyBorder="0" applyProtection="0">
      <alignment horizontal="left" vertical="center"/>
    </xf>
    <xf numFmtId="168" fontId="16" fillId="0" borderId="214">
      <alignment vertical="center"/>
    </xf>
    <xf numFmtId="171" fontId="23" fillId="8" borderId="214">
      <alignment horizontal="right" vertical="center"/>
    </xf>
    <xf numFmtId="175" fontId="26" fillId="59" borderId="214" applyNumberFormat="0" applyFont="0" applyBorder="0" applyAlignment="0" applyProtection="0">
      <alignment horizontal="right" vertical="center"/>
    </xf>
    <xf numFmtId="0" fontId="4" fillId="0" borderId="0"/>
    <xf numFmtId="171" fontId="31" fillId="9" borderId="214">
      <alignment horizontal="righ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1" fontId="31" fillId="9" borderId="214">
      <alignment horizontal="righ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0" fontId="26" fillId="0" borderId="214" applyNumberFormat="0" applyFill="0" applyAlignment="0" applyProtection="0"/>
    <xf numFmtId="171" fontId="31" fillId="9" borderId="214">
      <alignment horizontal="right" vertical="center"/>
    </xf>
    <xf numFmtId="170" fontId="34" fillId="1" borderId="213" applyNumberFormat="0" applyProtection="0">
      <alignment horizontal="left" vertical="top"/>
    </xf>
    <xf numFmtId="171" fontId="31" fillId="9" borderId="214">
      <alignment horizontal="right" vertical="center"/>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49" fontId="26" fillId="0" borderId="214" applyNumberFormat="0" applyFont="0" applyFill="0" applyBorder="0" applyProtection="0">
      <alignment horizontal="left" vertical="center" indent="2"/>
    </xf>
    <xf numFmtId="171" fontId="23" fillId="8"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0" fontId="34" fillId="1" borderId="213" applyNumberFormat="0" applyProtection="0">
      <alignment horizontal="left" vertical="top"/>
    </xf>
    <xf numFmtId="170" fontId="34" fillId="1" borderId="213" applyNumberFormat="0" applyProtection="0">
      <alignment horizontal="left" vertical="top"/>
    </xf>
    <xf numFmtId="171" fontId="23" fillId="8" borderId="214">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0" fontId="26" fillId="0" borderId="214" applyNumberFormat="0" applyFill="0" applyAlignment="0" applyProtection="0"/>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5" fontId="26" fillId="59" borderId="214" applyNumberFormat="0" applyFont="0" applyBorder="0" applyAlignment="0" applyProtection="0">
      <alignment horizontal="right" vertical="center"/>
    </xf>
    <xf numFmtId="168" fontId="16" fillId="0" borderId="214">
      <alignmen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71" fontId="23" fillId="8" borderId="214">
      <alignment horizontal="right" vertical="center"/>
    </xf>
    <xf numFmtId="168" fontId="16" fillId="0" borderId="214">
      <alignment vertical="center"/>
    </xf>
    <xf numFmtId="170" fontId="34" fillId="1" borderId="213" applyNumberFormat="0" applyProtection="0">
      <alignment horizontal="left" vertical="top"/>
    </xf>
    <xf numFmtId="170" fontId="34" fillId="1" borderId="213" applyNumberFormat="0" applyProtection="0">
      <alignment horizontal="left" vertical="top"/>
    </xf>
    <xf numFmtId="171" fontId="31" fillId="9" borderId="214">
      <alignment horizontal="right" vertical="center"/>
    </xf>
    <xf numFmtId="171" fontId="23" fillId="8" borderId="214">
      <alignment horizontal="right" vertical="center"/>
    </xf>
    <xf numFmtId="0" fontId="26" fillId="0" borderId="214" applyNumberFormat="0" applyFill="0" applyAlignment="0" applyProtection="0"/>
    <xf numFmtId="170" fontId="34" fillId="1" borderId="213" applyNumberFormat="0" applyProtection="0">
      <alignment horizontal="left" vertical="top"/>
    </xf>
    <xf numFmtId="171" fontId="23" fillId="8" borderId="214">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0" fontId="4" fillId="0" borderId="0"/>
    <xf numFmtId="168" fontId="16" fillId="0" borderId="214">
      <alignment vertical="center"/>
    </xf>
    <xf numFmtId="49" fontId="26" fillId="0" borderId="214" applyNumberFormat="0" applyFont="0" applyFill="0" applyBorder="0" applyProtection="0">
      <alignment horizontal="left" vertical="center" indent="2"/>
    </xf>
    <xf numFmtId="4" fontId="26" fillId="0" borderId="214" applyFill="0" applyBorder="0" applyProtection="0">
      <alignment horizontal="right" vertical="center"/>
    </xf>
    <xf numFmtId="171" fontId="31" fillId="9" borderId="214">
      <alignment horizontal="right" vertical="center"/>
    </xf>
    <xf numFmtId="168" fontId="16" fillId="0" borderId="214">
      <alignmen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49" fontId="116" fillId="0" borderId="214" applyNumberFormat="0" applyFill="0" applyBorder="0" applyProtection="0">
      <alignment horizontal="left" vertical="center"/>
    </xf>
    <xf numFmtId="171" fontId="23" fillId="8" borderId="214">
      <alignment horizontal="right" vertical="center"/>
    </xf>
    <xf numFmtId="168" fontId="16" fillId="0" borderId="214">
      <alignment vertical="center"/>
    </xf>
    <xf numFmtId="170" fontId="34" fillId="1" borderId="213" applyNumberFormat="0" applyProtection="0">
      <alignment horizontal="left" vertical="top"/>
    </xf>
    <xf numFmtId="168" fontId="16" fillId="0" borderId="214">
      <alignmen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49" fontId="116" fillId="0" borderId="214" applyNumberFormat="0" applyFill="0" applyBorder="0" applyProtection="0">
      <alignment horizontal="left" vertical="center"/>
    </xf>
    <xf numFmtId="170" fontId="34" fillId="1" borderId="213" applyNumberFormat="0" applyProtection="0">
      <alignment horizontal="left" vertical="top"/>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0" fontId="26" fillId="0" borderId="214" applyNumberFormat="0" applyFill="0" applyAlignment="0" applyProtection="0"/>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70" fontId="34" fillId="1" borderId="213" applyNumberFormat="0" applyProtection="0">
      <alignment horizontal="left" vertical="top"/>
    </xf>
    <xf numFmtId="171" fontId="23" fillId="8"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170" fontId="34" fillId="1" borderId="213" applyNumberFormat="0" applyProtection="0">
      <alignment horizontal="left" vertical="top"/>
    </xf>
    <xf numFmtId="49" fontId="116" fillId="0" borderId="214" applyNumberFormat="0" applyFill="0" applyBorder="0" applyProtection="0">
      <alignment horizontal="left" vertical="center"/>
    </xf>
    <xf numFmtId="4" fontId="26" fillId="0" borderId="214" applyFill="0" applyBorder="0" applyProtection="0">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116" fillId="0" borderId="214" applyNumberFormat="0" applyFill="0" applyBorder="0" applyProtection="0">
      <alignment horizontal="left" vertical="center"/>
    </xf>
    <xf numFmtId="171" fontId="31" fillId="9" borderId="214">
      <alignment horizontal="right" vertical="center"/>
    </xf>
    <xf numFmtId="170" fontId="34" fillId="1" borderId="213" applyNumberFormat="0" applyProtection="0">
      <alignment horizontal="left" vertical="top"/>
    </xf>
    <xf numFmtId="170" fontId="34" fillId="1" borderId="213" applyNumberFormat="0" applyProtection="0">
      <alignment horizontal="left" vertical="top"/>
    </xf>
    <xf numFmtId="168" fontId="16" fillId="0" borderId="214">
      <alignmen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0" fontId="34" fillId="1" borderId="213" applyNumberFormat="0" applyProtection="0">
      <alignment horizontal="left" vertical="top"/>
    </xf>
    <xf numFmtId="171" fontId="23" fillId="8" borderId="214">
      <alignment horizontal="right" vertical="center"/>
    </xf>
    <xf numFmtId="0" fontId="26" fillId="0" borderId="214" applyNumberFormat="0" applyFill="0" applyAlignment="0" applyProtection="0"/>
    <xf numFmtId="4" fontId="26" fillId="0" borderId="214" applyFill="0" applyBorder="0" applyProtection="0">
      <alignment horizontal="right" vertical="center"/>
    </xf>
    <xf numFmtId="168" fontId="16" fillId="0" borderId="214">
      <alignment vertical="center"/>
    </xf>
    <xf numFmtId="171" fontId="31" fillId="9" borderId="214">
      <alignment horizontal="righ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1" fontId="31" fillId="9" borderId="214">
      <alignment horizontal="right" vertical="center"/>
    </xf>
    <xf numFmtId="170" fontId="34" fillId="1" borderId="213" applyNumberFormat="0" applyProtection="0">
      <alignment horizontal="left" vertical="top"/>
    </xf>
    <xf numFmtId="4" fontId="26" fillId="0" borderId="214" applyFill="0" applyBorder="0" applyProtection="0">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1" fontId="31" fillId="9" borderId="214">
      <alignment horizontal="right" vertical="center"/>
    </xf>
    <xf numFmtId="171" fontId="23" fillId="8"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1" fontId="31" fillId="9" borderId="214">
      <alignment horizontal="right" vertical="center"/>
    </xf>
    <xf numFmtId="171" fontId="31" fillId="9" borderId="214">
      <alignment horizontal="right" vertical="center"/>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68" fontId="16" fillId="0" borderId="214">
      <alignment vertical="center"/>
    </xf>
    <xf numFmtId="49" fontId="116" fillId="0" borderId="214" applyNumberFormat="0" applyFill="0" applyBorder="0" applyProtection="0">
      <alignment horizontal="left" vertical="center"/>
    </xf>
    <xf numFmtId="4" fontId="26" fillId="0" borderId="214" applyFill="0" applyBorder="0" applyProtection="0">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0" fontId="26" fillId="0" borderId="214" applyNumberFormat="0" applyFill="0" applyAlignment="0" applyProtection="0"/>
    <xf numFmtId="170" fontId="34" fillId="1" borderId="213" applyNumberFormat="0" applyProtection="0">
      <alignment horizontal="left" vertical="top"/>
    </xf>
    <xf numFmtId="171" fontId="31" fillId="9" borderId="214">
      <alignment horizontal="right" vertical="center"/>
    </xf>
    <xf numFmtId="170" fontId="34" fillId="1" borderId="213" applyNumberFormat="0" applyProtection="0">
      <alignment horizontal="left" vertical="top"/>
    </xf>
    <xf numFmtId="168" fontId="16" fillId="0" borderId="214">
      <alignment vertical="center"/>
    </xf>
    <xf numFmtId="171" fontId="23" fillId="8" borderId="214">
      <alignment horizontal="right" vertical="center"/>
    </xf>
    <xf numFmtId="171" fontId="23" fillId="8" borderId="214">
      <alignment horizontal="right" vertical="center"/>
    </xf>
    <xf numFmtId="168" fontId="16" fillId="0" borderId="214">
      <alignment vertical="center"/>
    </xf>
    <xf numFmtId="168" fontId="16" fillId="0" borderId="214">
      <alignment vertical="center"/>
    </xf>
    <xf numFmtId="168" fontId="16" fillId="0" borderId="214">
      <alignmen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5" fontId="26" fillId="59" borderId="214" applyNumberFormat="0" applyFont="0" applyBorder="0" applyAlignment="0" applyProtection="0">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171" fontId="31" fillId="9" borderId="214">
      <alignment horizontal="right" vertical="center"/>
    </xf>
    <xf numFmtId="175" fontId="26" fillId="59" borderId="214" applyNumberFormat="0" applyFont="0" applyBorder="0" applyAlignment="0" applyProtection="0">
      <alignment horizontal="right" vertical="center"/>
    </xf>
    <xf numFmtId="171" fontId="23" fillId="8" borderId="214">
      <alignment horizontal="right" vertical="center"/>
    </xf>
    <xf numFmtId="4" fontId="26" fillId="0" borderId="214" applyFill="0" applyBorder="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0" fontId="34" fillId="1" borderId="213" applyNumberFormat="0" applyProtection="0">
      <alignment horizontal="left" vertical="top"/>
    </xf>
    <xf numFmtId="171" fontId="31" fillId="9" borderId="214">
      <alignment horizontal="right" vertical="center"/>
    </xf>
    <xf numFmtId="0" fontId="26" fillId="0" borderId="214" applyNumberFormat="0" applyFill="0" applyAlignment="0" applyProtection="0"/>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 fontId="26" fillId="0" borderId="214" applyFill="0" applyBorder="0" applyProtection="0">
      <alignment horizontal="right" vertical="center"/>
    </xf>
    <xf numFmtId="170" fontId="34" fillId="1" borderId="213" applyNumberFormat="0" applyProtection="0">
      <alignment horizontal="left" vertical="top"/>
    </xf>
    <xf numFmtId="171" fontId="31" fillId="9" borderId="214">
      <alignment horizontal="right" vertical="center"/>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70" fontId="4" fillId="0" borderId="0"/>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49" fontId="26" fillId="0" borderId="214" applyNumberFormat="0" applyFont="0" applyFill="0" applyBorder="0" applyProtection="0">
      <alignment horizontal="left" vertical="center" indent="2"/>
    </xf>
    <xf numFmtId="168" fontId="16" fillId="0" borderId="214">
      <alignment vertical="center"/>
    </xf>
    <xf numFmtId="170" fontId="34" fillId="1" borderId="213" applyNumberFormat="0" applyProtection="0">
      <alignment horizontal="left" vertical="top"/>
    </xf>
    <xf numFmtId="168" fontId="16" fillId="0" borderId="214">
      <alignmen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0" fontId="34" fillId="1" borderId="213" applyNumberFormat="0" applyProtection="0">
      <alignment horizontal="left" vertical="top"/>
    </xf>
    <xf numFmtId="171" fontId="23" fillId="8" borderId="214">
      <alignment horizontal="right" vertical="center"/>
    </xf>
    <xf numFmtId="171" fontId="31" fillId="9" borderId="214">
      <alignment horizontal="right" vertical="center"/>
    </xf>
    <xf numFmtId="49" fontId="116" fillId="0" borderId="214" applyNumberFormat="0" applyFill="0" applyBorder="0" applyProtection="0">
      <alignment horizontal="lef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49" fontId="116" fillId="0" borderId="214" applyNumberFormat="0" applyFill="0" applyBorder="0" applyProtection="0">
      <alignment horizontal="left" vertical="center"/>
    </xf>
    <xf numFmtId="175" fontId="26" fillId="59" borderId="214" applyNumberFormat="0" applyFont="0" applyBorder="0" applyAlignment="0" applyProtection="0">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71" fontId="23" fillId="8" borderId="214">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49" fontId="116" fillId="0" borderId="214" applyNumberFormat="0" applyFill="0" applyBorder="0" applyProtection="0">
      <alignment horizontal="lef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68" fontId="16" fillId="0" borderId="214">
      <alignmen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171" fontId="23" fillId="8" borderId="214">
      <alignment horizontal="right" vertical="center"/>
    </xf>
    <xf numFmtId="168" fontId="16" fillId="0" borderId="214">
      <alignmen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0" fontId="4" fillId="0" borderId="0"/>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116" fillId="0" borderId="214" applyNumberFormat="0" applyFill="0" applyBorder="0" applyProtection="0">
      <alignment horizontal="left" vertical="center"/>
    </xf>
    <xf numFmtId="170" fontId="34" fillId="1" borderId="213" applyNumberFormat="0" applyProtection="0">
      <alignment horizontal="left" vertical="top"/>
    </xf>
    <xf numFmtId="171" fontId="31" fillId="9" borderId="214">
      <alignment horizontal="right" vertical="center"/>
    </xf>
    <xf numFmtId="171" fontId="31" fillId="9" borderId="214">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0" fontId="34" fillId="1" borderId="213" applyNumberFormat="0" applyProtection="0">
      <alignment horizontal="left" vertical="top"/>
    </xf>
    <xf numFmtId="171" fontId="23" fillId="8" borderId="214">
      <alignment horizontal="right" vertical="center"/>
    </xf>
    <xf numFmtId="49" fontId="116" fillId="0" borderId="214" applyNumberFormat="0" applyFill="0" applyBorder="0" applyProtection="0">
      <alignment horizontal="left" vertical="center"/>
    </xf>
    <xf numFmtId="175" fontId="26" fillId="59" borderId="214" applyNumberFormat="0" applyFont="0" applyBorder="0" applyAlignment="0" applyProtection="0">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0" fontId="26" fillId="0" borderId="214" applyNumberFormat="0" applyFill="0" applyAlignment="0" applyProtection="0"/>
    <xf numFmtId="168" fontId="16" fillId="0" borderId="214">
      <alignment vertical="center"/>
    </xf>
    <xf numFmtId="171" fontId="31" fillId="9" borderId="214">
      <alignment horizontal="right" vertical="center"/>
    </xf>
    <xf numFmtId="4" fontId="26" fillId="0" borderId="214" applyFill="0" applyBorder="0" applyProtection="0">
      <alignment horizontal="right" vertical="center"/>
    </xf>
    <xf numFmtId="49" fontId="26" fillId="0" borderId="214" applyNumberFormat="0" applyFont="0" applyFill="0" applyBorder="0" applyProtection="0">
      <alignment horizontal="left" vertical="center" indent="2"/>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168" fontId="16" fillId="0" borderId="214">
      <alignment vertical="center"/>
    </xf>
    <xf numFmtId="0" fontId="26" fillId="0" borderId="214" applyNumberFormat="0" applyFill="0" applyAlignment="0" applyProtection="0"/>
    <xf numFmtId="170" fontId="34" fillId="1" borderId="213" applyNumberFormat="0" applyProtection="0">
      <alignment horizontal="left" vertical="top"/>
    </xf>
    <xf numFmtId="170" fontId="34" fillId="1" borderId="213" applyNumberFormat="0" applyProtection="0">
      <alignment horizontal="left" vertical="top"/>
    </xf>
    <xf numFmtId="175" fontId="26" fillId="59" borderId="214" applyNumberFormat="0" applyFont="0" applyBorder="0" applyAlignment="0" applyProtection="0">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9" fontId="26" fillId="0" borderId="214" applyNumberFormat="0" applyFont="0" applyFill="0" applyBorder="0" applyProtection="0">
      <alignment horizontal="left" vertical="center" indent="2"/>
    </xf>
    <xf numFmtId="168" fontId="16" fillId="0" borderId="214">
      <alignmen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71" fontId="23" fillId="8" borderId="214">
      <alignment horizontal="right" vertical="center"/>
    </xf>
    <xf numFmtId="168" fontId="16" fillId="0" borderId="214">
      <alignment vertical="center"/>
    </xf>
    <xf numFmtId="0" fontId="26" fillId="0" borderId="214" applyNumberFormat="0" applyFill="0" applyAlignment="0" applyProtection="0"/>
    <xf numFmtId="171" fontId="31" fillId="9" borderId="214">
      <alignment horizontal="right" vertical="center"/>
    </xf>
    <xf numFmtId="171" fontId="31" fillId="9" borderId="214">
      <alignment horizontal="right" vertical="center"/>
    </xf>
    <xf numFmtId="168" fontId="16" fillId="0" borderId="214">
      <alignment vertical="center"/>
    </xf>
    <xf numFmtId="170" fontId="34" fillId="1" borderId="213" applyNumberFormat="0" applyProtection="0">
      <alignment horizontal="left" vertical="top"/>
    </xf>
    <xf numFmtId="171" fontId="23" fillId="8"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23" fillId="8" borderId="214">
      <alignment horizontal="right" vertical="center"/>
    </xf>
    <xf numFmtId="49" fontId="116" fillId="0" borderId="214" applyNumberFormat="0" applyFill="0" applyBorder="0" applyProtection="0">
      <alignment horizontal="left" vertical="center"/>
    </xf>
    <xf numFmtId="175" fontId="26" fillId="59" borderId="214" applyNumberFormat="0" applyFont="0" applyBorder="0" applyAlignment="0" applyProtection="0">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68" fontId="16" fillId="0" borderId="214">
      <alignmen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49" fontId="116" fillId="0" borderId="214" applyNumberFormat="0" applyFill="0" applyBorder="0" applyProtection="0">
      <alignment horizontal="left" vertical="center"/>
    </xf>
    <xf numFmtId="168" fontId="16" fillId="0" borderId="214">
      <alignment vertical="center"/>
    </xf>
    <xf numFmtId="4" fontId="26" fillId="0" borderId="214" applyFill="0" applyBorder="0" applyProtection="0">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0" fontId="34" fillId="1" borderId="213" applyNumberFormat="0" applyProtection="0">
      <alignment horizontal="left" vertical="top"/>
    </xf>
    <xf numFmtId="171" fontId="23" fillId="8"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49" fontId="116" fillId="0" borderId="214" applyNumberFormat="0" applyFill="0" applyBorder="0" applyProtection="0">
      <alignment horizontal="left" vertical="center"/>
    </xf>
    <xf numFmtId="171" fontId="31" fillId="9" borderId="214">
      <alignment horizontal="right" vertical="center"/>
    </xf>
    <xf numFmtId="168" fontId="16" fillId="0" borderId="214">
      <alignment vertical="center"/>
    </xf>
    <xf numFmtId="4" fontId="26" fillId="0" borderId="214" applyFill="0" applyBorder="0" applyProtection="0">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71" fontId="23" fillId="8" borderId="214">
      <alignment horizontal="right" vertical="center"/>
    </xf>
    <xf numFmtId="168" fontId="16" fillId="0" borderId="214">
      <alignment vertical="center"/>
    </xf>
    <xf numFmtId="0" fontId="26" fillId="0" borderId="214" applyNumberFormat="0" applyFill="0" applyAlignment="0" applyProtection="0"/>
    <xf numFmtId="49" fontId="116" fillId="0" borderId="214" applyNumberFormat="0" applyFill="0" applyBorder="0" applyProtection="0">
      <alignment horizontal="lef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0" fontId="26" fillId="0" borderId="214" applyNumberFormat="0" applyFill="0" applyAlignment="0" applyProtection="0"/>
    <xf numFmtId="171" fontId="23" fillId="8" borderId="214">
      <alignment horizontal="righ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3" fontId="4" fillId="0" borderId="0" applyFont="0" applyFill="0" applyBorder="0" applyAlignment="0" applyProtection="0"/>
    <xf numFmtId="170" fontId="34" fillId="1" borderId="213" applyNumberFormat="0" applyProtection="0">
      <alignment horizontal="left" vertical="top"/>
    </xf>
    <xf numFmtId="168" fontId="16" fillId="0" borderId="214">
      <alignment vertical="center"/>
    </xf>
    <xf numFmtId="168" fontId="16" fillId="0" borderId="214">
      <alignment vertical="center"/>
    </xf>
    <xf numFmtId="168" fontId="16" fillId="0" borderId="214">
      <alignment vertical="center"/>
    </xf>
    <xf numFmtId="168" fontId="16" fillId="0" borderId="214">
      <alignment vertical="center"/>
    </xf>
    <xf numFmtId="4" fontId="26" fillId="0" borderId="214" applyFill="0" applyBorder="0" applyProtection="0">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49" fontId="116" fillId="0" borderId="214" applyNumberFormat="0" applyFill="0" applyBorder="0" applyProtection="0">
      <alignment horizontal="left" vertical="center"/>
    </xf>
    <xf numFmtId="0" fontId="26" fillId="0" borderId="214" applyNumberFormat="0" applyFill="0" applyAlignment="0" applyProtection="0"/>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5" fontId="26" fillId="59" borderId="214" applyNumberFormat="0" applyFont="0" applyBorder="0" applyAlignment="0" applyProtection="0">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49" fontId="26" fillId="0" borderId="214" applyNumberFormat="0" applyFont="0" applyFill="0" applyBorder="0" applyProtection="0">
      <alignment horizontal="left" vertical="center" indent="2"/>
    </xf>
    <xf numFmtId="171" fontId="31" fillId="9"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4" fontId="26" fillId="0" borderId="214" applyFill="0" applyBorder="0" applyProtection="0">
      <alignment horizontal="right" vertical="center"/>
    </xf>
    <xf numFmtId="168" fontId="16" fillId="0" borderId="214">
      <alignment vertical="center"/>
    </xf>
    <xf numFmtId="171" fontId="23" fillId="8" borderId="214">
      <alignment horizontal="right" vertical="center"/>
    </xf>
    <xf numFmtId="171" fontId="23" fillId="8" borderId="214">
      <alignment horizontal="right" vertical="center"/>
    </xf>
    <xf numFmtId="49" fontId="116" fillId="0" borderId="214" applyNumberFormat="0" applyFill="0" applyBorder="0" applyProtection="0">
      <alignment horizontal="left" vertical="center"/>
    </xf>
    <xf numFmtId="168" fontId="16" fillId="0" borderId="214">
      <alignmen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5" fontId="26" fillId="59" borderId="214" applyNumberFormat="0" applyFont="0" applyBorder="0" applyAlignment="0" applyProtection="0">
      <alignment horizontal="right" vertical="center"/>
    </xf>
    <xf numFmtId="49" fontId="116" fillId="0" borderId="214" applyNumberFormat="0" applyFill="0" applyBorder="0" applyProtection="0">
      <alignment horizontal="left" vertical="center"/>
    </xf>
    <xf numFmtId="168" fontId="16" fillId="0" borderId="214">
      <alignmen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23" fillId="8" borderId="214">
      <alignment horizontal="right" vertical="center"/>
    </xf>
    <xf numFmtId="0" fontId="26" fillId="0" borderId="214" applyNumberFormat="0" applyFill="0" applyAlignment="0" applyProtection="0"/>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4" fontId="26" fillId="0" borderId="214" applyFill="0" applyBorder="0" applyProtection="0">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0" fontId="34" fillId="1" borderId="213" applyNumberFormat="0" applyProtection="0">
      <alignment horizontal="left" vertical="top"/>
    </xf>
    <xf numFmtId="168" fontId="16" fillId="0" borderId="214">
      <alignment vertical="center"/>
    </xf>
    <xf numFmtId="170" fontId="34" fillId="1" borderId="213" applyNumberFormat="0" applyProtection="0">
      <alignment horizontal="left" vertical="top"/>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0" fontId="26" fillId="0" borderId="214" applyNumberFormat="0" applyFill="0" applyAlignment="0" applyProtection="0"/>
    <xf numFmtId="168" fontId="16" fillId="0" borderId="214">
      <alignmen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49" fontId="116" fillId="0" borderId="214" applyNumberFormat="0" applyFill="0" applyBorder="0" applyProtection="0">
      <alignment horizontal="left" vertical="center"/>
    </xf>
    <xf numFmtId="175" fontId="26" fillId="59" borderId="214" applyNumberFormat="0" applyFont="0" applyBorder="0" applyAlignment="0" applyProtection="0">
      <alignment horizontal="right" vertical="center"/>
    </xf>
    <xf numFmtId="168" fontId="16" fillId="0" borderId="214">
      <alignment vertical="center"/>
    </xf>
    <xf numFmtId="171" fontId="23" fillId="8" borderId="214">
      <alignment horizontal="right" vertical="center"/>
    </xf>
    <xf numFmtId="4" fontId="26" fillId="0" borderId="214" applyFill="0" applyBorder="0" applyProtection="0">
      <alignment horizontal="right" vertical="center"/>
    </xf>
    <xf numFmtId="168" fontId="16" fillId="0" borderId="214">
      <alignment vertical="center"/>
    </xf>
    <xf numFmtId="171" fontId="31" fillId="9"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68" fontId="16" fillId="0" borderId="214">
      <alignmen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43" fontId="4" fillId="0" borderId="0" applyFont="0" applyFill="0" applyBorder="0" applyAlignment="0" applyProtection="0"/>
    <xf numFmtId="170" fontId="3" fillId="0" borderId="2" applyNumberFormat="0" applyFill="0" applyAlignment="0" applyProtection="0"/>
  </cellStyleXfs>
  <cellXfs count="1324">
    <xf numFmtId="170" fontId="0" fillId="0" borderId="0" xfId="0"/>
    <xf numFmtId="170" fontId="3" fillId="0" borderId="0" xfId="1"/>
    <xf numFmtId="168" fontId="12" fillId="0" borderId="0" xfId="3" applyNumberFormat="1" applyFont="1" applyFill="1"/>
    <xf numFmtId="170" fontId="0" fillId="0" borderId="7" xfId="0" applyBorder="1"/>
    <xf numFmtId="170" fontId="0" fillId="0" borderId="10" xfId="0" applyBorder="1"/>
    <xf numFmtId="170" fontId="6" fillId="0" borderId="7" xfId="0" applyFont="1" applyBorder="1"/>
    <xf numFmtId="170" fontId="16" fillId="0" borderId="0" xfId="5" applyFont="1" applyFill="1" applyBorder="1" applyAlignment="1">
      <alignment wrapText="1"/>
    </xf>
    <xf numFmtId="170" fontId="14" fillId="0" borderId="0" xfId="0" applyFont="1"/>
    <xf numFmtId="170" fontId="6" fillId="0" borderId="0" xfId="0" applyFont="1"/>
    <xf numFmtId="170" fontId="21" fillId="0" borderId="0" xfId="0" applyFont="1" applyBorder="1"/>
    <xf numFmtId="170" fontId="22" fillId="0" borderId="0" xfId="0" applyFont="1" applyBorder="1"/>
    <xf numFmtId="170" fontId="5" fillId="0" borderId="0" xfId="0" applyFont="1"/>
    <xf numFmtId="170" fontId="23" fillId="0" borderId="0" xfId="0" applyFont="1"/>
    <xf numFmtId="170" fontId="38" fillId="12" borderId="15" xfId="0" applyFont="1" applyFill="1" applyBorder="1" applyAlignment="1">
      <alignment horizontal="center" vertical="center" wrapText="1"/>
    </xf>
    <xf numFmtId="170"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0" fontId="0" fillId="0" borderId="0" xfId="0" applyFill="1"/>
    <xf numFmtId="170"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6" fillId="13" borderId="15" xfId="0" applyFont="1" applyFill="1" applyBorder="1"/>
    <xf numFmtId="3" fontId="6"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6"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6" fillId="0" borderId="0" xfId="0" applyFont="1" applyFill="1" applyBorder="1"/>
    <xf numFmtId="170" fontId="0" fillId="0" borderId="0" xfId="0" applyBorder="1"/>
    <xf numFmtId="170" fontId="0" fillId="0" borderId="21" xfId="0" applyBorder="1"/>
    <xf numFmtId="170" fontId="0" fillId="0" borderId="103" xfId="0" applyBorder="1"/>
    <xf numFmtId="170"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7" fillId="0" borderId="0" xfId="0" applyFont="1" applyFill="1"/>
    <xf numFmtId="170"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0" fontId="23" fillId="0" borderId="0" xfId="1" applyFont="1"/>
    <xf numFmtId="172" fontId="23" fillId="14" borderId="15" xfId="0" applyNumberFormat="1" applyFont="1" applyFill="1" applyBorder="1" applyAlignment="1">
      <alignment horizontal="center"/>
    </xf>
    <xf numFmtId="172" fontId="5" fillId="14" borderId="15" xfId="0" applyNumberFormat="1" applyFont="1" applyFill="1" applyBorder="1" applyAlignment="1">
      <alignment horizontal="center"/>
    </xf>
    <xf numFmtId="170"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0" fontId="73" fillId="0" borderId="0" xfId="0" applyFont="1"/>
    <xf numFmtId="170" fontId="77" fillId="0" borderId="0" xfId="0" applyFont="1" applyFill="1" applyBorder="1" applyAlignment="1">
      <alignment horizontal="left" vertical="center" wrapText="1"/>
    </xf>
    <xf numFmtId="170" fontId="74" fillId="0" borderId="0" xfId="0" applyFont="1" applyFill="1" applyBorder="1" applyAlignment="1">
      <alignment horizontal="left" vertical="center" wrapText="1"/>
    </xf>
    <xf numFmtId="170" fontId="76" fillId="0" borderId="0" xfId="0" applyFont="1" applyFill="1" applyBorder="1" applyAlignment="1">
      <alignment horizontal="left" vertical="center" wrapText="1"/>
    </xf>
    <xf numFmtId="170" fontId="79" fillId="0" borderId="0" xfId="0" applyFont="1" applyFill="1"/>
    <xf numFmtId="170" fontId="77" fillId="0" borderId="111" xfId="0" applyFont="1" applyFill="1" applyBorder="1" applyAlignment="1">
      <alignment horizontal="left" vertical="center" wrapText="1"/>
    </xf>
    <xf numFmtId="170" fontId="52" fillId="12" borderId="0" xfId="0" applyFont="1" applyFill="1" applyBorder="1" applyAlignment="1">
      <alignment horizontal="left" vertical="center" wrapText="1"/>
    </xf>
    <xf numFmtId="170" fontId="0" fillId="0" borderId="110" xfId="0" applyBorder="1" applyAlignment="1">
      <alignment vertical="top" wrapText="1"/>
    </xf>
    <xf numFmtId="168" fontId="10" fillId="23" borderId="5" xfId="3" applyNumberFormat="1" applyFont="1" applyFill="1" applyBorder="1" applyAlignment="1">
      <alignment horizontal="center"/>
    </xf>
    <xf numFmtId="168" fontId="10" fillId="23" borderId="5" xfId="3" quotePrefix="1" applyNumberFormat="1" applyFont="1" applyFill="1" applyBorder="1" applyAlignment="1">
      <alignment horizontal="center"/>
    </xf>
    <xf numFmtId="168" fontId="10" fillId="23" borderId="6" xfId="3" applyNumberFormat="1" applyFont="1" applyFill="1" applyBorder="1" applyAlignment="1">
      <alignment horizontal="center"/>
    </xf>
    <xf numFmtId="168" fontId="10" fillId="23" borderId="6" xfId="3" quotePrefix="1" applyNumberFormat="1" applyFont="1" applyFill="1" applyBorder="1" applyAlignment="1">
      <alignment horizontal="center"/>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0" fillId="23" borderId="9" xfId="3" applyNumberFormat="1" applyFont="1" applyFill="1" applyBorder="1" applyAlignment="1">
      <alignment horizontal="center"/>
    </xf>
    <xf numFmtId="168" fontId="10" fillId="23" borderId="0" xfId="3" quotePrefix="1" applyNumberFormat="1" applyFont="1" applyFill="1" applyBorder="1" applyAlignment="1">
      <alignment horizontal="center"/>
    </xf>
    <xf numFmtId="168" fontId="10" fillId="23" borderId="0" xfId="3" applyNumberFormat="1" applyFont="1" applyFill="1" applyBorder="1" applyAlignment="1">
      <alignment horizontal="center"/>
    </xf>
    <xf numFmtId="168" fontId="10" fillId="23" borderId="9"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0" fillId="23" borderId="12" xfId="3" applyNumberFormat="1" applyFont="1" applyFill="1" applyBorder="1" applyAlignment="1">
      <alignment horizontal="center"/>
    </xf>
    <xf numFmtId="168" fontId="10" fillId="23" borderId="13" xfId="3" applyNumberFormat="1" applyFont="1" applyFill="1" applyBorder="1" applyAlignment="1">
      <alignment horizontal="center"/>
    </xf>
    <xf numFmtId="168" fontId="10" fillId="23" borderId="12" xfId="3" quotePrefix="1" applyNumberFormat="1" applyFont="1" applyFill="1" applyBorder="1" applyAlignment="1">
      <alignment horizontal="center"/>
    </xf>
    <xf numFmtId="168" fontId="10" fillId="23" borderId="13" xfId="3" quotePrefix="1" applyNumberFormat="1" applyFont="1" applyFill="1" applyBorder="1" applyAlignment="1">
      <alignment horizontal="center"/>
    </xf>
    <xf numFmtId="168" fontId="11" fillId="23" borderId="12" xfId="3" applyNumberFormat="1" applyFont="1" applyFill="1" applyBorder="1" applyAlignment="1">
      <alignment horizontal="center"/>
    </xf>
    <xf numFmtId="170" fontId="52" fillId="12" borderId="21" xfId="0" applyFont="1" applyFill="1" applyBorder="1" applyAlignment="1">
      <alignment horizontal="left" vertical="center" wrapText="1"/>
    </xf>
    <xf numFmtId="170" fontId="52" fillId="12" borderId="80" xfId="0" applyFont="1" applyFill="1" applyBorder="1" applyAlignment="1">
      <alignment horizontal="left" vertical="center" wrapText="1"/>
    </xf>
    <xf numFmtId="170" fontId="77"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4" fillId="0" borderId="21" xfId="0" applyFont="1" applyFill="1" applyBorder="1" applyAlignment="1">
      <alignment horizontal="left" vertical="center" wrapText="1"/>
    </xf>
    <xf numFmtId="170" fontId="74" fillId="0" borderId="80"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0" fillId="0" borderId="114" xfId="0" applyBorder="1"/>
    <xf numFmtId="170" fontId="46" fillId="0" borderId="80" xfId="0" applyFont="1" applyFill="1" applyBorder="1" applyAlignment="1">
      <alignment horizontal="justify" wrapText="1"/>
    </xf>
    <xf numFmtId="170" fontId="77" fillId="0" borderId="114" xfId="0" applyFont="1" applyFill="1" applyBorder="1" applyAlignment="1">
      <alignment horizontal="left" vertical="center" wrapText="1"/>
    </xf>
    <xf numFmtId="170" fontId="77" fillId="0" borderId="115" xfId="0" applyFont="1" applyFill="1" applyBorder="1" applyAlignment="1">
      <alignment horizontal="left" vertical="center" wrapText="1"/>
    </xf>
    <xf numFmtId="170" fontId="52" fillId="12" borderId="103" xfId="0" applyFont="1" applyFill="1" applyBorder="1" applyAlignment="1">
      <alignment horizontal="left" vertical="center" wrapText="1"/>
    </xf>
    <xf numFmtId="170" fontId="52" fillId="12" borderId="61" xfId="0" applyFont="1" applyFill="1" applyBorder="1" applyAlignment="1">
      <alignment horizontal="left" vertical="center" wrapText="1"/>
    </xf>
    <xf numFmtId="170" fontId="52" fillId="12" borderId="18" xfId="0" applyFont="1" applyFill="1" applyBorder="1" applyAlignment="1">
      <alignment horizontal="left" vertical="center" wrapText="1"/>
    </xf>
    <xf numFmtId="170" fontId="0" fillId="0" borderId="61" xfId="0" applyBorder="1"/>
    <xf numFmtId="170" fontId="0" fillId="0" borderId="18" xfId="0" applyBorder="1"/>
    <xf numFmtId="170" fontId="75" fillId="12" borderId="86" xfId="0" applyFont="1" applyFill="1" applyBorder="1" applyAlignment="1">
      <alignment horizontal="left" vertical="center" wrapText="1"/>
    </xf>
    <xf numFmtId="170" fontId="75" fillId="12" borderId="16" xfId="0" applyFont="1" applyFill="1" applyBorder="1" applyAlignment="1">
      <alignment horizontal="left" vertical="center" wrapText="1"/>
    </xf>
    <xf numFmtId="170" fontId="72" fillId="0" borderId="21" xfId="0" applyFont="1" applyFill="1" applyBorder="1" applyAlignment="1">
      <alignment vertical="top" wrapText="1"/>
    </xf>
    <xf numFmtId="170" fontId="71"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6" fillId="23" borderId="19" xfId="0" applyFont="1" applyFill="1" applyBorder="1"/>
    <xf numFmtId="170" fontId="0" fillId="0" borderId="118" xfId="0" applyBorder="1"/>
    <xf numFmtId="170" fontId="71"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5" fillId="0" borderId="118" xfId="0" applyFont="1" applyBorder="1"/>
    <xf numFmtId="170" fontId="16"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3" fillId="0" borderId="110" xfId="0" applyFont="1" applyBorder="1" applyAlignment="1">
      <alignment vertical="top" wrapText="1"/>
    </xf>
    <xf numFmtId="170" fontId="23" fillId="0" borderId="113" xfId="0" applyFont="1" applyBorder="1" applyAlignment="1">
      <alignment vertical="top"/>
    </xf>
    <xf numFmtId="170" fontId="23" fillId="0" borderId="119" xfId="0" applyFont="1" applyBorder="1"/>
    <xf numFmtId="170" fontId="23" fillId="0" borderId="121" xfId="0" applyFont="1" applyBorder="1"/>
    <xf numFmtId="170" fontId="23" fillId="0" borderId="118" xfId="0" applyFont="1" applyBorder="1"/>
    <xf numFmtId="170" fontId="52" fillId="12" borderId="19" xfId="0" applyFont="1" applyFill="1" applyBorder="1" applyAlignment="1">
      <alignment horizontal="left" vertical="center" wrapText="1"/>
    </xf>
    <xf numFmtId="49" fontId="88" fillId="23" borderId="19" xfId="0" applyNumberFormat="1" applyFont="1" applyFill="1" applyBorder="1"/>
    <xf numFmtId="170" fontId="44" fillId="0" borderId="21" xfId="0" applyFont="1" applyFill="1" applyBorder="1" applyAlignment="1">
      <alignment horizontal="justify" vertical="top"/>
    </xf>
    <xf numFmtId="170" fontId="44" fillId="0" borderId="114" xfId="0" applyFont="1" applyFill="1" applyBorder="1" applyAlignment="1">
      <alignment horizontal="justify" vertical="top"/>
    </xf>
    <xf numFmtId="170" fontId="0" fillId="0" borderId="113" xfId="0" applyFill="1" applyBorder="1" applyAlignment="1">
      <alignment horizontal="left"/>
    </xf>
    <xf numFmtId="170" fontId="0" fillId="0" borderId="18" xfId="0" applyFill="1" applyBorder="1" applyAlignment="1">
      <alignment horizontal="left"/>
    </xf>
    <xf numFmtId="170" fontId="71" fillId="0" borderId="0" xfId="148" applyBorder="1" applyAlignment="1" applyProtection="1">
      <alignment vertical="top"/>
    </xf>
    <xf numFmtId="170" fontId="6" fillId="0" borderId="111" xfId="0" applyFont="1" applyBorder="1"/>
    <xf numFmtId="170" fontId="71" fillId="0" borderId="80" xfId="148" applyBorder="1" applyAlignment="1" applyProtection="1"/>
    <xf numFmtId="170" fontId="71" fillId="0" borderId="80" xfId="148" quotePrefix="1" applyBorder="1" applyAlignment="1" applyProtection="1"/>
    <xf numFmtId="170" fontId="6" fillId="0" borderId="115" xfId="0" applyFont="1" applyBorder="1"/>
    <xf numFmtId="168" fontId="10" fillId="0" borderId="5" xfId="3" applyNumberFormat="1" applyFont="1" applyFill="1" applyBorder="1" applyAlignment="1">
      <alignment horizontal="center"/>
    </xf>
    <xf numFmtId="168" fontId="10" fillId="0" borderId="5" xfId="3" quotePrefix="1" applyNumberFormat="1" applyFont="1" applyFill="1" applyBorder="1" applyAlignment="1">
      <alignment horizontal="center"/>
    </xf>
    <xf numFmtId="168" fontId="11" fillId="0" borderId="5" xfId="3" applyNumberFormat="1" applyFont="1" applyFill="1" applyBorder="1" applyAlignment="1">
      <alignment horizontal="center"/>
    </xf>
    <xf numFmtId="168" fontId="10" fillId="0" borderId="4" xfId="3" applyNumberFormat="1" applyFont="1" applyFill="1" applyBorder="1" applyAlignment="1">
      <alignment horizontal="center"/>
    </xf>
    <xf numFmtId="170" fontId="23" fillId="0" borderId="5" xfId="0" applyFont="1" applyFill="1" applyBorder="1" applyAlignment="1">
      <alignment horizontal="left" vertical="top" wrapText="1"/>
    </xf>
    <xf numFmtId="168" fontId="10" fillId="0" borderId="0" xfId="3" quotePrefix="1" applyNumberFormat="1" applyFont="1" applyFill="1" applyBorder="1" applyAlignment="1">
      <alignment horizontal="center"/>
    </xf>
    <xf numFmtId="168" fontId="10" fillId="0" borderId="0" xfId="3" applyNumberFormat="1" applyFont="1" applyFill="1" applyBorder="1" applyAlignment="1">
      <alignment horizontal="center"/>
    </xf>
    <xf numFmtId="168" fontId="11" fillId="0" borderId="0" xfId="3" applyNumberFormat="1" applyFont="1" applyFill="1" applyBorder="1" applyAlignment="1">
      <alignment horizontal="center"/>
    </xf>
    <xf numFmtId="170" fontId="23" fillId="0" borderId="3" xfId="0" applyFont="1" applyFill="1" applyBorder="1" applyAlignment="1">
      <alignment horizontal="left" vertical="top" wrapText="1"/>
    </xf>
    <xf numFmtId="170" fontId="0" fillId="0" borderId="61" xfId="0" applyFill="1" applyBorder="1"/>
    <xf numFmtId="170" fontId="5" fillId="0" borderId="0" xfId="0" applyFont="1" applyBorder="1"/>
    <xf numFmtId="170" fontId="5" fillId="0" borderId="0" xfId="0" applyFont="1" applyFill="1" applyBorder="1"/>
    <xf numFmtId="170" fontId="0" fillId="0" borderId="132" xfId="0" applyBorder="1"/>
    <xf numFmtId="170" fontId="0" fillId="0" borderId="133" xfId="0" applyBorder="1"/>
    <xf numFmtId="170" fontId="23" fillId="0" borderId="0" xfId="0" applyFont="1" applyBorder="1" applyAlignment="1">
      <alignment vertical="top" wrapText="1"/>
    </xf>
    <xf numFmtId="170" fontId="23" fillId="0" borderId="80" xfId="0" applyFont="1" applyBorder="1" applyAlignment="1">
      <alignment vertical="top"/>
    </xf>
    <xf numFmtId="3" fontId="0" fillId="13" borderId="15" xfId="0" quotePrefix="1" applyNumberFormat="1" applyFill="1" applyBorder="1" applyAlignment="1">
      <alignment horizontal="center"/>
    </xf>
    <xf numFmtId="170" fontId="23" fillId="0" borderId="113" xfId="0" applyFont="1" applyBorder="1" applyAlignment="1">
      <alignment vertical="top" wrapText="1"/>
    </xf>
    <xf numFmtId="170" fontId="17" fillId="0" borderId="0" xfId="0" applyFont="1" applyFill="1" applyAlignment="1">
      <alignment horizontal="center"/>
    </xf>
    <xf numFmtId="168" fontId="0" fillId="0" borderId="0" xfId="0" applyNumberFormat="1" applyFill="1" applyBorder="1" applyAlignment="1">
      <alignment horizontal="center"/>
    </xf>
    <xf numFmtId="170" fontId="5" fillId="0" borderId="0" xfId="0" applyFont="1" applyBorder="1" applyAlignment="1">
      <alignment horizontal="left"/>
    </xf>
    <xf numFmtId="170" fontId="17"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7" fillId="0" borderId="0" xfId="0" applyNumberFormat="1" applyFont="1" applyBorder="1" applyAlignment="1">
      <alignment horizontal="center"/>
    </xf>
    <xf numFmtId="170" fontId="17" fillId="0" borderId="0" xfId="0" applyFont="1" applyFill="1" applyBorder="1" applyAlignment="1">
      <alignment horizontal="center"/>
    </xf>
    <xf numFmtId="168" fontId="0" fillId="0" borderId="0" xfId="0" quotePrefix="1" applyNumberFormat="1" applyFill="1" applyBorder="1" applyAlignment="1">
      <alignment horizontal="center"/>
    </xf>
    <xf numFmtId="170" fontId="16" fillId="0" borderId="7" xfId="5" applyFont="1" applyFill="1" applyBorder="1" applyAlignment="1">
      <alignment wrapText="1"/>
    </xf>
    <xf numFmtId="170" fontId="41" fillId="0" borderId="7" xfId="5" applyFont="1" applyFill="1" applyBorder="1" applyAlignment="1">
      <alignment wrapText="1"/>
    </xf>
    <xf numFmtId="170" fontId="5" fillId="0" borderId="8" xfId="0" applyFont="1" applyBorder="1"/>
    <xf numFmtId="170" fontId="0" fillId="0" borderId="8" xfId="0" applyBorder="1"/>
    <xf numFmtId="170" fontId="16" fillId="0" borderId="10" xfId="5" applyFont="1" applyFill="1" applyBorder="1" applyAlignment="1">
      <alignment wrapText="1"/>
    </xf>
    <xf numFmtId="170" fontId="0" fillId="0" borderId="11" xfId="0" applyBorder="1"/>
    <xf numFmtId="170" fontId="5" fillId="0" borderId="8" xfId="0" applyFont="1" applyBorder="1" applyAlignment="1">
      <alignment horizontal="left"/>
    </xf>
    <xf numFmtId="170" fontId="0" fillId="0" borderId="12" xfId="0" applyBorder="1"/>
    <xf numFmtId="170" fontId="5"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0" fillId="0" borderId="134" xfId="5" applyFont="1" applyFill="1" applyBorder="1" applyAlignment="1">
      <alignment wrapText="1"/>
    </xf>
    <xf numFmtId="170" fontId="6" fillId="23" borderId="102" xfId="0" applyFont="1" applyFill="1" applyBorder="1"/>
    <xf numFmtId="170" fontId="6" fillId="23" borderId="52" xfId="0" applyFont="1" applyFill="1" applyBorder="1"/>
    <xf numFmtId="170" fontId="6" fillId="23" borderId="101" xfId="0" applyFont="1" applyFill="1" applyBorder="1"/>
    <xf numFmtId="3" fontId="0" fillId="0" borderId="61" xfId="0" applyNumberFormat="1" applyFill="1" applyBorder="1"/>
    <xf numFmtId="170" fontId="71" fillId="0" borderId="18" xfId="148" applyBorder="1" applyAlignment="1" applyProtection="1"/>
    <xf numFmtId="170" fontId="85" fillId="0" borderId="136" xfId="0" applyFont="1" applyBorder="1"/>
    <xf numFmtId="170" fontId="5" fillId="0" borderId="61" xfId="0" applyFont="1" applyBorder="1"/>
    <xf numFmtId="170" fontId="5" fillId="0" borderId="18" xfId="0" applyFont="1" applyBorder="1"/>
    <xf numFmtId="170" fontId="71" fillId="0" borderId="18" xfId="148" quotePrefix="1" applyBorder="1" applyAlignment="1" applyProtection="1"/>
    <xf numFmtId="170" fontId="6" fillId="23" borderId="3" xfId="0" applyFont="1" applyFill="1" applyBorder="1"/>
    <xf numFmtId="170" fontId="40" fillId="23" borderId="3" xfId="5" applyFont="1" applyFill="1" applyBorder="1" applyAlignment="1">
      <alignment wrapText="1"/>
    </xf>
    <xf numFmtId="170" fontId="24" fillId="0" borderId="0" xfId="0" applyFont="1" applyBorder="1" applyAlignment="1">
      <alignment horizontal="justify"/>
    </xf>
    <xf numFmtId="170" fontId="0" fillId="0" borderId="0" xfId="0" applyFill="1" applyBorder="1" applyAlignment="1">
      <alignment horizontal="left" vertical="top" indent="2"/>
    </xf>
    <xf numFmtId="170" fontId="25"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6"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1" fillId="0" borderId="134" xfId="5" applyFont="1" applyFill="1" applyBorder="1" applyAlignment="1">
      <alignment wrapText="1"/>
    </xf>
    <xf numFmtId="170" fontId="0" fillId="0" borderId="111" xfId="0" applyFill="1" applyBorder="1"/>
    <xf numFmtId="170" fontId="6" fillId="0" borderId="111" xfId="0" applyFont="1" applyFill="1" applyBorder="1"/>
    <xf numFmtId="170" fontId="94" fillId="0" borderId="8" xfId="0" applyFont="1" applyBorder="1"/>
    <xf numFmtId="170" fontId="0" fillId="0" borderId="140" xfId="0" applyBorder="1"/>
    <xf numFmtId="170" fontId="44" fillId="0" borderId="7" xfId="0" applyFont="1" applyFill="1" applyBorder="1" applyAlignment="1">
      <alignment horizontal="left" vertical="top" wrapText="1"/>
    </xf>
    <xf numFmtId="170" fontId="44" fillId="0" borderId="0" xfId="0" applyFont="1" applyFill="1" applyBorder="1" applyAlignment="1">
      <alignment horizontal="left" vertical="top" wrapText="1"/>
    </xf>
    <xf numFmtId="168" fontId="10" fillId="0" borderId="8" xfId="3" applyNumberFormat="1" applyFont="1" applyFill="1" applyBorder="1" applyAlignment="1">
      <alignment horizontal="center"/>
    </xf>
    <xf numFmtId="170" fontId="6" fillId="0" borderId="144" xfId="0" applyFont="1" applyBorder="1"/>
    <xf numFmtId="170" fontId="0" fillId="0" borderId="145" xfId="0" applyBorder="1" applyAlignment="1">
      <alignment horizontal="center"/>
    </xf>
    <xf numFmtId="170" fontId="6" fillId="0" borderId="147" xfId="0" applyFont="1" applyBorder="1"/>
    <xf numFmtId="170" fontId="0" fillId="0" borderId="143" xfId="0" applyBorder="1" applyAlignment="1">
      <alignment horizontal="center"/>
    </xf>
    <xf numFmtId="170" fontId="0" fillId="0" borderId="149" xfId="0" applyBorder="1"/>
    <xf numFmtId="170" fontId="16" fillId="0" borderId="121" xfId="5" applyFont="1" applyFill="1" applyBorder="1" applyAlignment="1">
      <alignment wrapText="1"/>
    </xf>
    <xf numFmtId="170" fontId="0" fillId="0" borderId="143" xfId="0" applyBorder="1" applyAlignment="1">
      <alignment horizontal="left"/>
    </xf>
    <xf numFmtId="170" fontId="6" fillId="0" borderId="149" xfId="0" applyFont="1" applyBorder="1"/>
    <xf numFmtId="170" fontId="44" fillId="0" borderId="135" xfId="0" applyFont="1" applyFill="1" applyBorder="1"/>
    <xf numFmtId="170" fontId="44" fillId="0" borderId="135" xfId="0" applyFont="1" applyBorder="1"/>
    <xf numFmtId="170" fontId="6" fillId="0" borderId="121" xfId="0" applyFont="1" applyFill="1" applyBorder="1"/>
    <xf numFmtId="170" fontId="0" fillId="23" borderId="4" xfId="0" applyFill="1" applyBorder="1"/>
    <xf numFmtId="170" fontId="6" fillId="0" borderId="134" xfId="0" applyFont="1" applyBorder="1"/>
    <xf numFmtId="170" fontId="44"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0"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5" fillId="0" borderId="8" xfId="0" applyFont="1" applyBorder="1" applyAlignment="1">
      <alignment horizontal="center"/>
    </xf>
    <xf numFmtId="168" fontId="0" fillId="0" borderId="12" xfId="0" quotePrefix="1" applyNumberFormat="1" applyFill="1" applyBorder="1" applyAlignment="1">
      <alignment horizontal="center"/>
    </xf>
    <xf numFmtId="170" fontId="6" fillId="0" borderId="7" xfId="0" applyFont="1" applyFill="1" applyBorder="1"/>
    <xf numFmtId="170" fontId="16" fillId="0" borderId="8" xfId="5" applyFont="1" applyFill="1" applyBorder="1" applyAlignment="1">
      <alignment wrapText="1"/>
    </xf>
    <xf numFmtId="170" fontId="17" fillId="0" borderId="149" xfId="0" applyFont="1" applyFill="1" applyBorder="1"/>
    <xf numFmtId="170" fontId="40" fillId="0" borderId="151" xfId="5" applyFont="1" applyFill="1" applyBorder="1" applyAlignment="1">
      <alignment wrapText="1"/>
    </xf>
    <xf numFmtId="170" fontId="0" fillId="0" borderId="10" xfId="0" applyFill="1" applyBorder="1"/>
    <xf numFmtId="170" fontId="0" fillId="0" borderId="11" xfId="0" applyFill="1" applyBorder="1"/>
    <xf numFmtId="170" fontId="6" fillId="0" borderId="149" xfId="0" applyFont="1" applyFill="1" applyBorder="1"/>
    <xf numFmtId="170" fontId="0" fillId="0" borderId="121" xfId="0" applyFill="1" applyBorder="1"/>
    <xf numFmtId="170" fontId="6" fillId="0" borderId="151" xfId="0" applyFont="1" applyFill="1" applyBorder="1"/>
    <xf numFmtId="170" fontId="16"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0" fontId="5"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7" fillId="0" borderId="7" xfId="0" applyFont="1" applyFill="1" applyBorder="1"/>
    <xf numFmtId="170" fontId="0" fillId="0" borderId="147" xfId="0" applyFill="1" applyBorder="1"/>
    <xf numFmtId="170" fontId="0" fillId="0" borderId="7" xfId="0" applyFont="1" applyFill="1" applyBorder="1"/>
    <xf numFmtId="170" fontId="0" fillId="0" borderId="153" xfId="0" applyFill="1" applyBorder="1" applyAlignment="1">
      <alignment horizontal="left"/>
    </xf>
    <xf numFmtId="3" fontId="5" fillId="0" borderId="0" xfId="0" applyNumberFormat="1" applyFont="1" applyAlignment="1">
      <alignment horizontal="center"/>
    </xf>
    <xf numFmtId="170" fontId="3" fillId="0" borderId="152" xfId="1" applyBorder="1"/>
    <xf numFmtId="170" fontId="3" fillId="0" borderId="0" xfId="1" applyBorder="1"/>
    <xf numFmtId="170" fontId="0" fillId="0" borderId="152" xfId="0" applyBorder="1"/>
    <xf numFmtId="170" fontId="44" fillId="23" borderId="3" xfId="1" applyFont="1" applyFill="1" applyBorder="1"/>
    <xf numFmtId="170" fontId="23" fillId="23" borderId="5" xfId="0" applyFont="1" applyFill="1" applyBorder="1"/>
    <xf numFmtId="170" fontId="23"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49"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0" fontId="0" fillId="0" borderId="8" xfId="0" applyFont="1" applyFill="1" applyBorder="1"/>
    <xf numFmtId="170" fontId="50" fillId="0" borderId="0" xfId="0" applyFont="1" applyFill="1" applyBorder="1"/>
    <xf numFmtId="10" fontId="4" fillId="0" borderId="121" xfId="52" applyNumberFormat="1" applyFont="1" applyFill="1" applyBorder="1" applyAlignment="1">
      <alignment horizontal="center" vertical="center"/>
    </xf>
    <xf numFmtId="170" fontId="6" fillId="0" borderId="3" xfId="0" applyFont="1" applyBorder="1"/>
    <xf numFmtId="170" fontId="23" fillId="0" borderId="152" xfId="0" applyFont="1" applyBorder="1"/>
    <xf numFmtId="170" fontId="23" fillId="0" borderId="152" xfId="0" applyFont="1" applyFill="1" applyBorder="1"/>
    <xf numFmtId="170" fontId="23" fillId="0" borderId="0" xfId="0" applyFont="1" applyFill="1" applyBorder="1"/>
    <xf numFmtId="9" fontId="23" fillId="0" borderId="0" xfId="0" applyNumberFormat="1" applyFont="1" applyBorder="1"/>
    <xf numFmtId="170" fontId="47" fillId="0" borderId="10" xfId="0" applyFont="1" applyBorder="1"/>
    <xf numFmtId="9" fontId="47" fillId="0" borderId="12" xfId="0" applyNumberFormat="1" applyFont="1" applyBorder="1"/>
    <xf numFmtId="170" fontId="23" fillId="0" borderId="152" xfId="1" applyFont="1" applyFill="1" applyBorder="1"/>
    <xf numFmtId="170" fontId="23" fillId="0" borderId="8" xfId="0" applyFont="1" applyFill="1" applyBorder="1"/>
    <xf numFmtId="170" fontId="23" fillId="0" borderId="149" xfId="1" applyFont="1" applyBorder="1"/>
    <xf numFmtId="170" fontId="23" fillId="0" borderId="151" xfId="0" applyFont="1" applyBorder="1"/>
    <xf numFmtId="170" fontId="6" fillId="0" borderId="3" xfId="0" applyFont="1" applyFill="1" applyBorder="1"/>
    <xf numFmtId="170" fontId="6" fillId="0" borderId="0" xfId="0" applyFont="1" applyFill="1"/>
    <xf numFmtId="9" fontId="23" fillId="3" borderId="0" xfId="0" applyNumberFormat="1" applyFont="1" applyFill="1" applyBorder="1"/>
    <xf numFmtId="170" fontId="23" fillId="0" borderId="8" xfId="0" applyFont="1" applyBorder="1"/>
    <xf numFmtId="170" fontId="0" fillId="0" borderId="80" xfId="0" applyBorder="1" applyAlignment="1">
      <alignment vertical="top" wrapText="1"/>
    </xf>
    <xf numFmtId="170" fontId="6" fillId="0" borderId="80" xfId="0" applyFont="1" applyFill="1" applyBorder="1"/>
    <xf numFmtId="170"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59" fillId="18" borderId="156" xfId="0" applyNumberFormat="1" applyFont="1" applyFill="1" applyBorder="1" applyAlignment="1">
      <alignment horizontal="center" vertical="center"/>
    </xf>
    <xf numFmtId="170"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0"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8" fillId="0" borderId="0" xfId="0" applyFont="1"/>
    <xf numFmtId="10" fontId="0" fillId="3" borderId="0" xfId="52" applyNumberFormat="1" applyFont="1" applyFill="1"/>
    <xf numFmtId="170" fontId="9" fillId="4" borderId="149" xfId="0" applyFont="1" applyFill="1" applyBorder="1" applyAlignment="1">
      <alignment vertical="center"/>
    </xf>
    <xf numFmtId="174" fontId="6" fillId="0" borderId="5" xfId="0" applyNumberFormat="1" applyFont="1" applyBorder="1"/>
    <xf numFmtId="174" fontId="23" fillId="3" borderId="0" xfId="0" applyNumberFormat="1" applyFont="1" applyFill="1" applyBorder="1"/>
    <xf numFmtId="174" fontId="23" fillId="3" borderId="8" xfId="0" applyNumberFormat="1" applyFont="1" applyFill="1" applyBorder="1"/>
    <xf numFmtId="174" fontId="23" fillId="3" borderId="0" xfId="1" applyNumberFormat="1" applyFont="1" applyFill="1" applyBorder="1"/>
    <xf numFmtId="174" fontId="23" fillId="3" borderId="12" xfId="0" applyNumberFormat="1" applyFont="1" applyFill="1" applyBorder="1"/>
    <xf numFmtId="174" fontId="23" fillId="3" borderId="12" xfId="1" applyNumberFormat="1" applyFont="1" applyFill="1" applyBorder="1"/>
    <xf numFmtId="174" fontId="23"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6"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6" fillId="0" borderId="5" xfId="0" applyNumberFormat="1" applyFont="1" applyFill="1" applyBorder="1" applyAlignment="1">
      <alignment horizontal="right"/>
    </xf>
    <xf numFmtId="174" fontId="6"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6" fillId="13" borderId="0" xfId="0" applyNumberFormat="1" applyFont="1" applyFill="1" applyBorder="1"/>
    <xf numFmtId="175" fontId="0" fillId="3" borderId="0" xfId="0" applyNumberFormat="1" applyFill="1" applyBorder="1"/>
    <xf numFmtId="174" fontId="6"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0"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0" fontId="38" fillId="19" borderId="77" xfId="0" applyFont="1" applyFill="1" applyBorder="1" applyAlignment="1" applyProtection="1">
      <alignment horizontal="right" vertical="center"/>
    </xf>
    <xf numFmtId="170" fontId="38" fillId="0" borderId="47" xfId="0" applyFont="1" applyFill="1" applyBorder="1" applyAlignment="1" applyProtection="1">
      <alignment horizontal="center"/>
    </xf>
    <xf numFmtId="170" fontId="38" fillId="19" borderId="47" xfId="0" applyFont="1" applyFill="1" applyBorder="1" applyAlignment="1" applyProtection="1">
      <alignment horizontal="right" vertical="center"/>
    </xf>
    <xf numFmtId="170"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0"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0" fontId="0" fillId="0" borderId="66" xfId="0" applyFill="1" applyBorder="1" applyProtection="1"/>
    <xf numFmtId="170"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0" fontId="42" fillId="0" borderId="29" xfId="0" applyFont="1" applyFill="1" applyBorder="1" applyAlignment="1" applyProtection="1">
      <alignment horizontal="right" vertical="center"/>
    </xf>
    <xf numFmtId="170" fontId="6"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0"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0"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6" fillId="0" borderId="102" xfId="0" applyFont="1" applyFill="1" applyBorder="1" applyProtection="1"/>
    <xf numFmtId="170" fontId="45" fillId="0" borderId="21" xfId="0" applyFont="1" applyFill="1" applyBorder="1" applyProtection="1"/>
    <xf numFmtId="170" fontId="45" fillId="0" borderId="0" xfId="0" applyFont="1" applyFill="1" applyBorder="1" applyProtection="1"/>
    <xf numFmtId="170" fontId="45" fillId="0" borderId="21" xfId="0" applyFont="1" applyBorder="1" applyProtection="1"/>
    <xf numFmtId="170"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0"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0" fontId="6" fillId="0" borderId="0" xfId="0" applyFont="1" applyBorder="1" applyProtection="1"/>
    <xf numFmtId="170" fontId="6" fillId="0" borderId="0" xfId="0" applyFont="1" applyBorder="1" applyAlignment="1" applyProtection="1">
      <alignment wrapText="1"/>
    </xf>
    <xf numFmtId="170" fontId="6" fillId="0" borderId="102" xfId="0" applyFont="1" applyBorder="1" applyProtection="1"/>
    <xf numFmtId="170" fontId="45" fillId="0" borderId="0" xfId="0" applyFont="1" applyBorder="1" applyProtection="1"/>
    <xf numFmtId="170" fontId="0" fillId="0" borderId="0" xfId="0" applyBorder="1" applyProtection="1"/>
    <xf numFmtId="170" fontId="44"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6" fillId="0" borderId="21" xfId="0" applyFont="1" applyBorder="1" applyProtection="1"/>
    <xf numFmtId="170" fontId="6" fillId="0" borderId="80" xfId="0" applyFont="1" applyBorder="1" applyAlignment="1" applyProtection="1">
      <alignment wrapText="1"/>
    </xf>
    <xf numFmtId="170" fontId="6" fillId="0" borderId="21" xfId="0" applyFont="1" applyFill="1" applyBorder="1" applyProtection="1"/>
    <xf numFmtId="170" fontId="6" fillId="0" borderId="0" xfId="0" applyFont="1" applyFill="1" applyBorder="1" applyAlignment="1" applyProtection="1">
      <alignment horizontal="center" wrapText="1"/>
    </xf>
    <xf numFmtId="170"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6" fillId="0" borderId="0" xfId="0" applyFont="1" applyFill="1" applyBorder="1" applyAlignment="1" applyProtection="1">
      <alignment wrapText="1"/>
    </xf>
    <xf numFmtId="170" fontId="6"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0"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4" fontId="16"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6"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68" fontId="6" fillId="13" borderId="15" xfId="0" applyNumberFormat="1" applyFont="1" applyFill="1" applyBorder="1"/>
    <xf numFmtId="168" fontId="0" fillId="13" borderId="15" xfId="0" applyNumberFormat="1" applyFill="1" applyBorder="1"/>
    <xf numFmtId="170"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0" fontId="71" fillId="0" borderId="0" xfId="148" applyAlignment="1" applyProtection="1">
      <alignment vertical="center"/>
    </xf>
    <xf numFmtId="14" fontId="0" fillId="0" borderId="0" xfId="0" applyNumberFormat="1"/>
    <xf numFmtId="170" fontId="71" fillId="0" borderId="0" xfId="148" quotePrefix="1" applyAlignment="1" applyProtection="1"/>
    <xf numFmtId="170" fontId="6" fillId="0" borderId="0" xfId="0" applyFont="1" applyAlignment="1">
      <alignment horizontal="right"/>
    </xf>
    <xf numFmtId="177"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0" fontId="71" fillId="0" borderId="0" xfId="148" applyAlignment="1" applyProtection="1"/>
    <xf numFmtId="3" fontId="16"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6" fontId="0" fillId="0" borderId="0" xfId="0" applyNumberFormat="1"/>
    <xf numFmtId="0" fontId="75" fillId="12" borderId="86" xfId="0" applyNumberFormat="1" applyFont="1" applyFill="1" applyBorder="1" applyAlignment="1">
      <alignment horizontal="left" vertical="center" wrapText="1"/>
    </xf>
    <xf numFmtId="170"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68" fontId="6" fillId="0" borderId="145" xfId="2" applyNumberFormat="1" applyFont="1" applyBorder="1" applyAlignment="1">
      <alignment horizontal="center"/>
    </xf>
    <xf numFmtId="168" fontId="6" fillId="0" borderId="146" xfId="2" applyNumberFormat="1" applyFont="1" applyBorder="1" applyAlignment="1">
      <alignment horizontal="center"/>
    </xf>
    <xf numFmtId="168" fontId="13" fillId="0" borderId="145" xfId="2" applyNumberFormat="1" applyFont="1" applyBorder="1" applyAlignment="1">
      <alignment horizontal="center"/>
    </xf>
    <xf numFmtId="172" fontId="6" fillId="0" borderId="143" xfId="2" applyNumberFormat="1" applyFont="1" applyBorder="1" applyAlignment="1">
      <alignment horizontal="center"/>
    </xf>
    <xf numFmtId="172" fontId="6" fillId="0" borderId="148" xfId="2" applyNumberFormat="1" applyFont="1" applyBorder="1" applyAlignment="1">
      <alignment horizontal="center"/>
    </xf>
    <xf numFmtId="172" fontId="13" fillId="0" borderId="143" xfId="2" applyNumberFormat="1" applyFont="1" applyBorder="1" applyAlignment="1">
      <alignment horizontal="center"/>
    </xf>
    <xf numFmtId="168" fontId="4" fillId="2" borderId="0" xfId="2" applyNumberFormat="1" applyFill="1" applyBorder="1" applyAlignment="1">
      <alignment horizontal="center"/>
    </xf>
    <xf numFmtId="168" fontId="6" fillId="0" borderId="9" xfId="2" applyNumberFormat="1" applyFont="1" applyBorder="1" applyAlignment="1">
      <alignment horizontal="center"/>
    </xf>
    <xf numFmtId="168" fontId="14" fillId="2" borderId="0" xfId="2" applyNumberFormat="1" applyFont="1" applyFill="1" applyBorder="1" applyAlignment="1">
      <alignment horizontal="center"/>
    </xf>
    <xf numFmtId="168" fontId="4" fillId="2" borderId="121" xfId="2" applyNumberFormat="1" applyFill="1" applyBorder="1" applyAlignment="1">
      <alignment horizontal="center"/>
    </xf>
    <xf numFmtId="168" fontId="6" fillId="0" borderId="150" xfId="2" applyNumberFormat="1" applyFont="1" applyBorder="1" applyAlignment="1">
      <alignment horizontal="center"/>
    </xf>
    <xf numFmtId="168" fontId="14" fillId="2" borderId="121" xfId="2" applyNumberFormat="1" applyFont="1" applyFill="1" applyBorder="1" applyAlignment="1">
      <alignment horizontal="center"/>
    </xf>
    <xf numFmtId="168" fontId="6" fillId="0" borderId="143" xfId="2" applyNumberFormat="1" applyFont="1" applyBorder="1" applyAlignment="1">
      <alignment horizontal="center"/>
    </xf>
    <xf numFmtId="168" fontId="6" fillId="0" borderId="148" xfId="2" applyNumberFormat="1" applyFont="1" applyBorder="1" applyAlignment="1">
      <alignment horizontal="center"/>
    </xf>
    <xf numFmtId="168" fontId="13"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6" fillId="0" borderId="0" xfId="2" applyNumberFormat="1" applyFont="1" applyBorder="1" applyAlignment="1">
      <alignment horizontal="center"/>
    </xf>
    <xf numFmtId="172" fontId="6" fillId="0" borderId="0" xfId="2" applyNumberFormat="1" applyFont="1" applyBorder="1" applyAlignment="1">
      <alignment horizontal="center"/>
    </xf>
    <xf numFmtId="168" fontId="13" fillId="0" borderId="0" xfId="2" applyNumberFormat="1" applyFont="1" applyBorder="1" applyAlignment="1">
      <alignment horizontal="center"/>
    </xf>
    <xf numFmtId="172" fontId="6" fillId="0" borderId="9" xfId="2" applyNumberFormat="1" applyFont="1" applyBorder="1" applyAlignment="1">
      <alignment horizontal="center"/>
    </xf>
    <xf numFmtId="172" fontId="6"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6" fillId="0" borderId="13" xfId="2" applyNumberFormat="1" applyFont="1" applyBorder="1" applyAlignment="1">
      <alignment horizontal="center"/>
    </xf>
    <xf numFmtId="168" fontId="4" fillId="2" borderId="12" xfId="2" applyNumberFormat="1" applyFill="1" applyBorder="1" applyAlignment="1">
      <alignment horizontal="center"/>
    </xf>
    <xf numFmtId="168"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0" fontId="71" fillId="0" borderId="0" xfId="148" applyAlignment="1" applyProtection="1"/>
    <xf numFmtId="170" fontId="0" fillId="0" borderId="0" xfId="0"/>
    <xf numFmtId="170" fontId="0" fillId="0" borderId="0" xfId="0" applyFill="1"/>
    <xf numFmtId="9" fontId="0" fillId="0" borderId="8" xfId="0" applyNumberFormat="1" applyFont="1" applyFill="1" applyBorder="1"/>
    <xf numFmtId="174" fontId="23" fillId="3" borderId="0" xfId="0" applyNumberFormat="1" applyFont="1" applyFill="1" applyBorder="1"/>
    <xf numFmtId="174" fontId="23" fillId="3" borderId="12" xfId="0" applyNumberFormat="1" applyFont="1" applyFill="1" applyBorder="1"/>
    <xf numFmtId="170" fontId="71" fillId="0" borderId="0" xfId="148" quotePrefix="1" applyAlignment="1" applyProtection="1"/>
    <xf numFmtId="170"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0" fillId="0" borderId="0" xfId="195" applyNumberFormat="1" applyFont="1" applyFill="1"/>
    <xf numFmtId="0" fontId="4" fillId="0" borderId="0" xfId="195" applyNumberFormat="1" applyFill="1"/>
    <xf numFmtId="170" fontId="44" fillId="23" borderId="185" xfId="1" applyFont="1" applyFill="1" applyBorder="1"/>
    <xf numFmtId="170" fontId="44" fillId="23" borderId="186" xfId="1" applyFont="1" applyFill="1" applyBorder="1"/>
    <xf numFmtId="170" fontId="23" fillId="23" borderId="186" xfId="0" applyFont="1" applyFill="1" applyBorder="1"/>
    <xf numFmtId="170" fontId="23" fillId="23" borderId="187"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70" fontId="23" fillId="0" borderId="121" xfId="0" applyFont="1" applyFill="1" applyBorder="1"/>
    <xf numFmtId="0" fontId="23" fillId="24" borderId="0" xfId="196"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0" fontId="23" fillId="0" borderId="0" xfId="0" applyFont="1" applyBorder="1"/>
    <xf numFmtId="175"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0" fontId="0" fillId="60" borderId="192" xfId="0" applyFill="1" applyBorder="1" applyAlignment="1">
      <alignment horizontal="left" vertical="top" wrapText="1"/>
    </xf>
    <xf numFmtId="170"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0" fontId="0" fillId="60" borderId="189" xfId="0" applyFill="1" applyBorder="1" applyAlignment="1">
      <alignment horizontal="left" vertical="top" wrapText="1"/>
    </xf>
    <xf numFmtId="170"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0" fontId="6" fillId="17" borderId="183" xfId="0" applyFont="1" applyFill="1" applyBorder="1" applyProtection="1"/>
    <xf numFmtId="172"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69"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0" fontId="42" fillId="0" borderId="0" xfId="0" applyFont="1" applyFill="1" applyBorder="1" applyAlignment="1" applyProtection="1">
      <alignment horizontal="right" vertical="center"/>
    </xf>
    <xf numFmtId="170" fontId="38" fillId="0" borderId="0" xfId="0" applyFont="1" applyFill="1" applyBorder="1" applyAlignment="1" applyProtection="1">
      <alignment horizontal="center" vertical="center"/>
    </xf>
    <xf numFmtId="170" fontId="38" fillId="0" borderId="0" xfId="0" applyFont="1" applyFill="1" applyBorder="1" applyAlignment="1" applyProtection="1">
      <alignment horizontal="right" vertical="center"/>
    </xf>
    <xf numFmtId="170" fontId="38" fillId="19" borderId="81" xfId="0" applyFont="1" applyFill="1" applyBorder="1" applyAlignment="1" applyProtection="1">
      <alignment horizontal="center" vertical="center"/>
    </xf>
    <xf numFmtId="170"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0"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170" fontId="0" fillId="0" borderId="0" xfId="0"/>
    <xf numFmtId="170" fontId="71" fillId="0" borderId="0" xfId="148" applyAlignment="1" applyProtection="1"/>
    <xf numFmtId="14" fontId="0" fillId="0" borderId="0" xfId="0" applyNumberFormat="1" applyFill="1"/>
    <xf numFmtId="178" fontId="113" fillId="0" borderId="0" xfId="52" applyNumberFormat="1" applyFont="1"/>
    <xf numFmtId="178" fontId="0" fillId="0" borderId="0" xfId="52" applyNumberFormat="1" applyFont="1" applyFill="1" applyBorder="1"/>
    <xf numFmtId="11" fontId="0" fillId="0" borderId="0" xfId="0" applyNumberFormat="1"/>
    <xf numFmtId="170" fontId="0" fillId="0" borderId="0" xfId="0"/>
    <xf numFmtId="14" fontId="0" fillId="0" borderId="0" xfId="0" applyNumberFormat="1" applyFill="1"/>
    <xf numFmtId="9" fontId="23" fillId="0" borderId="0" xfId="0" applyNumberFormat="1" applyFont="1" applyFill="1" applyBorder="1"/>
    <xf numFmtId="0" fontId="23" fillId="24" borderId="0" xfId="196" applyNumberFormat="1" applyFont="1" applyFill="1"/>
    <xf numFmtId="17" fontId="23" fillId="24" borderId="0" xfId="196" quotePrefix="1" applyNumberFormat="1" applyFont="1" applyFill="1"/>
    <xf numFmtId="11" fontId="4" fillId="0" borderId="0" xfId="195" applyNumberFormat="1" applyFill="1"/>
    <xf numFmtId="0" fontId="23" fillId="24" borderId="0" xfId="196" applyNumberFormat="1" applyFont="1" applyFill="1"/>
    <xf numFmtId="0" fontId="23" fillId="24" borderId="0" xfId="196" quotePrefix="1" applyNumberFormat="1" applyFont="1" applyFill="1"/>
    <xf numFmtId="2" fontId="0" fillId="0" borderId="0" xfId="0" applyNumberFormat="1" applyBorder="1"/>
    <xf numFmtId="11" fontId="0" fillId="0" borderId="0" xfId="0" applyNumberFormat="1" applyFill="1"/>
    <xf numFmtId="170" fontId="0" fillId="0" borderId="0" xfId="0"/>
    <xf numFmtId="170" fontId="71" fillId="0" borderId="0" xfId="148" quotePrefix="1" applyAlignment="1" applyProtection="1"/>
    <xf numFmtId="14" fontId="0" fillId="0" borderId="0" xfId="0" applyNumberFormat="1" applyFill="1"/>
    <xf numFmtId="170" fontId="71" fillId="0" borderId="0" xfId="148" applyAlignment="1" applyProtection="1"/>
    <xf numFmtId="170" fontId="23" fillId="0" borderId="0" xfId="0" applyFont="1" applyFill="1" applyBorder="1" applyAlignment="1">
      <alignment horizontal="left" vertical="top" wrapText="1"/>
    </xf>
    <xf numFmtId="0" fontId="23"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6" fillId="0" borderId="0" xfId="0" applyNumberFormat="1" applyFont="1" applyFill="1" applyBorder="1" applyAlignment="1">
      <alignment horizontal="left" vertical="center" wrapText="1"/>
    </xf>
    <xf numFmtId="1" fontId="57" fillId="12" borderId="42"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44" fillId="12" borderId="183" xfId="0" applyNumberFormat="1" applyFont="1" applyFill="1" applyBorder="1" applyAlignment="1">
      <alignment horizontal="center"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0" fontId="52" fillId="12" borderId="19" xfId="0" applyFont="1" applyFill="1" applyBorder="1" applyAlignment="1">
      <alignment horizontal="left" vertical="center" wrapText="1"/>
    </xf>
    <xf numFmtId="170"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0" fontId="37" fillId="12" borderId="89" xfId="0" applyFont="1" applyFill="1" applyBorder="1" applyAlignment="1">
      <alignment horizontal="center" vertical="center" wrapText="1"/>
    </xf>
    <xf numFmtId="170" fontId="37" fillId="12" borderId="91" xfId="0" applyFont="1" applyFill="1" applyBorder="1" applyAlignment="1">
      <alignment horizontal="center" vertical="center" wrapText="1"/>
    </xf>
    <xf numFmtId="170" fontId="37" fillId="12" borderId="93" xfId="0" applyFont="1" applyFill="1" applyBorder="1" applyAlignment="1">
      <alignment horizontal="center" vertical="center" wrapText="1"/>
    </xf>
    <xf numFmtId="170" fontId="37" fillId="12" borderId="90" xfId="0" applyFont="1" applyFill="1" applyBorder="1" applyAlignment="1">
      <alignment horizontal="center" vertical="center" wrapText="1"/>
    </xf>
    <xf numFmtId="170" fontId="37" fillId="12" borderId="92" xfId="0" applyFont="1" applyFill="1" applyBorder="1" applyAlignment="1">
      <alignment horizontal="center" vertical="center" wrapText="1"/>
    </xf>
    <xf numFmtId="170" fontId="37" fillId="12" borderId="17" xfId="0" applyFont="1" applyFill="1" applyBorder="1" applyAlignment="1">
      <alignment horizontal="center" vertical="center" wrapText="1"/>
    </xf>
    <xf numFmtId="170" fontId="37" fillId="12" borderId="15" xfId="0" applyFont="1" applyFill="1" applyBorder="1" applyAlignment="1">
      <alignment horizontal="center" vertical="center" wrapText="1"/>
    </xf>
    <xf numFmtId="170" fontId="37" fillId="12" borderId="25" xfId="0" applyFont="1" applyFill="1" applyBorder="1" applyAlignment="1">
      <alignment horizontal="center" vertical="top" wrapText="1"/>
    </xf>
    <xf numFmtId="170" fontId="37" fillId="12" borderId="26" xfId="0" applyFont="1" applyFill="1" applyBorder="1" applyAlignment="1">
      <alignment horizontal="center" vertical="top" wrapText="1"/>
    </xf>
    <xf numFmtId="170" fontId="38" fillId="12" borderId="6" xfId="0" applyFont="1" applyFill="1" applyBorder="1" applyAlignment="1">
      <alignment horizontal="center" vertical="center" wrapText="1"/>
    </xf>
    <xf numFmtId="170" fontId="38" fillId="12" borderId="13" xfId="0" applyFont="1" applyFill="1" applyBorder="1" applyAlignment="1">
      <alignment horizontal="center" vertical="center" wrapText="1"/>
    </xf>
    <xf numFmtId="170" fontId="38" fillId="12" borderId="27" xfId="0" applyFont="1" applyFill="1" applyBorder="1" applyAlignment="1">
      <alignment horizontal="center" vertical="center" wrapText="1"/>
    </xf>
    <xf numFmtId="170" fontId="38" fillId="12" borderId="14" xfId="0" applyFont="1" applyFill="1" applyBorder="1" applyAlignment="1">
      <alignment horizontal="center" vertical="center" wrapText="1"/>
    </xf>
    <xf numFmtId="170" fontId="38" fillId="12" borderId="28" xfId="0" applyFont="1" applyFill="1" applyBorder="1" applyAlignment="1">
      <alignment horizontal="center" vertical="center" wrapText="1"/>
    </xf>
    <xf numFmtId="170" fontId="42" fillId="0" borderId="66" xfId="0" applyFont="1" applyBorder="1" applyAlignment="1" applyProtection="1">
      <alignment horizontal="right" vertical="center"/>
    </xf>
    <xf numFmtId="170" fontId="42" fillId="0" borderId="0" xfId="0" applyFont="1" applyBorder="1" applyAlignment="1" applyProtection="1">
      <alignment horizontal="right" vertical="center"/>
    </xf>
    <xf numFmtId="170" fontId="42" fillId="0" borderId="0" xfId="0" applyFont="1" applyFill="1" applyBorder="1" applyAlignment="1" applyProtection="1">
      <alignment horizontal="right" vertical="center"/>
    </xf>
    <xf numFmtId="170" fontId="38" fillId="0" borderId="0" xfId="0" applyFont="1" applyFill="1" applyBorder="1" applyAlignment="1" applyProtection="1">
      <alignment horizontal="center" vertical="center"/>
    </xf>
    <xf numFmtId="170" fontId="38" fillId="19" borderId="28" xfId="0" applyFont="1" applyFill="1" applyBorder="1" applyAlignment="1" applyProtection="1">
      <alignment horizontal="right" vertical="center"/>
    </xf>
    <xf numFmtId="170" fontId="38" fillId="19" borderId="54" xfId="0" applyFont="1" applyFill="1" applyBorder="1" applyAlignment="1" applyProtection="1">
      <alignment horizontal="right" vertical="center"/>
    </xf>
    <xf numFmtId="170" fontId="38" fillId="0" borderId="0" xfId="0" applyFont="1" applyFill="1" applyBorder="1" applyAlignment="1" applyProtection="1">
      <alignment horizontal="right" vertical="center"/>
    </xf>
    <xf numFmtId="170" fontId="38" fillId="19" borderId="100" xfId="0" applyFont="1" applyFill="1" applyBorder="1" applyAlignment="1" applyProtection="1">
      <alignment horizontal="right" vertical="center"/>
    </xf>
    <xf numFmtId="170" fontId="38" fillId="19" borderId="40" xfId="0" applyFont="1" applyFill="1" applyBorder="1" applyAlignment="1" applyProtection="1">
      <alignment horizontal="right" vertical="center"/>
    </xf>
    <xf numFmtId="170" fontId="38" fillId="19" borderId="11" xfId="0" applyFont="1" applyFill="1" applyBorder="1" applyAlignment="1" applyProtection="1">
      <alignment horizontal="center" vertical="center"/>
    </xf>
    <xf numFmtId="170" fontId="38" fillId="19" borderId="88" xfId="0" applyFont="1" applyFill="1" applyBorder="1" applyAlignment="1" applyProtection="1">
      <alignment horizontal="center" vertical="center"/>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0" fontId="38" fillId="0" borderId="0" xfId="0"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0" fontId="38" fillId="19" borderId="81" xfId="0" applyFont="1" applyFill="1" applyBorder="1" applyAlignment="1" applyProtection="1">
      <alignment horizontal="center" vertical="center"/>
    </xf>
    <xf numFmtId="170" fontId="38" fillId="19" borderId="46" xfId="0" applyFont="1" applyFill="1" applyBorder="1" applyAlignment="1" applyProtection="1">
      <alignment horizontal="center" vertical="center"/>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0" fontId="38" fillId="19" borderId="155" xfId="0" applyFont="1" applyFill="1" applyBorder="1" applyAlignment="1" applyProtection="1">
      <alignment horizontal="center" vertical="center"/>
    </xf>
    <xf numFmtId="170" fontId="38" fillId="19" borderId="44" xfId="0" applyFont="1" applyFill="1" applyBorder="1" applyAlignment="1" applyProtection="1">
      <alignment horizontal="center" vertical="center"/>
    </xf>
    <xf numFmtId="170" fontId="38" fillId="19" borderId="97" xfId="0" applyFont="1" applyFill="1" applyBorder="1" applyAlignment="1" applyProtection="1">
      <alignment horizontal="center" vertical="center"/>
    </xf>
    <xf numFmtId="170" fontId="38" fillId="19" borderId="96" xfId="0" applyFont="1" applyFill="1" applyBorder="1" applyAlignment="1" applyProtection="1">
      <alignment horizontal="center" vertical="center"/>
    </xf>
    <xf numFmtId="170" fontId="31" fillId="12" borderId="48" xfId="0" applyFont="1" applyFill="1" applyBorder="1" applyAlignment="1" applyProtection="1">
      <alignment horizontal="center" vertical="center" wrapText="1"/>
    </xf>
    <xf numFmtId="170" fontId="31" fillId="12" borderId="61" xfId="0" applyFont="1" applyFill="1" applyBorder="1" applyAlignment="1" applyProtection="1">
      <alignment horizontal="center" vertical="center" wrapText="1"/>
    </xf>
    <xf numFmtId="170"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88" fillId="23" borderId="123" xfId="221" applyFont="1" applyFill="1" applyBorder="1"/>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179" fontId="0" fillId="0" borderId="111" xfId="1739" applyNumberFormat="1"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179" fontId="0" fillId="0" borderId="0" xfId="1739" applyNumberFormat="1" applyFont="1"/>
    <xf numFmtId="0" fontId="23" fillId="0" borderId="0" xfId="222" applyFont="1" applyBorder="1"/>
    <xf numFmtId="179" fontId="23" fillId="0" borderId="0" xfId="1739" applyNumberFormat="1" applyFont="1" applyBorder="1"/>
    <xf numFmtId="179" fontId="23" fillId="0" borderId="111" xfId="1739" applyNumberFormat="1"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1740"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179" fontId="0" fillId="0" borderId="0" xfId="1739" applyNumberFormat="1" applyFont="1" applyFill="1"/>
    <xf numFmtId="179" fontId="23" fillId="0" borderId="111" xfId="1739" applyNumberFormat="1" applyFont="1" applyFill="1" applyBorder="1"/>
    <xf numFmtId="3" fontId="23" fillId="0" borderId="111" xfId="222" applyNumberFormat="1" applyFont="1" applyBorder="1"/>
    <xf numFmtId="0" fontId="80" fillId="0" borderId="0" xfId="222" applyFont="1"/>
    <xf numFmtId="0" fontId="23" fillId="23" borderId="52" xfId="222" applyFont="1" applyFill="1" applyBorder="1"/>
    <xf numFmtId="0" fontId="3" fillId="0" borderId="0" xfId="222"/>
    <xf numFmtId="0" fontId="23" fillId="0" borderId="215" xfId="222" applyFont="1" applyBorder="1"/>
    <xf numFmtId="179" fontId="0" fillId="0" borderId="215" xfId="1739" applyNumberFormat="1" applyFont="1" applyBorder="1"/>
    <xf numFmtId="179" fontId="0" fillId="0" borderId="0" xfId="1739" applyNumberFormat="1" applyFont="1" applyBorder="1"/>
    <xf numFmtId="0" fontId="0" fillId="0" borderId="215" xfId="0" applyNumberFormat="1" applyBorder="1"/>
  </cellXfs>
  <cellStyles count="1741">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2x indented GHG Textfiels 2" xfId="350"/>
    <cellStyle name="2x indented GHG Textfiels 2 2" xfId="374"/>
    <cellStyle name="2x indented GHG Textfiels 2 2 2" xfId="997"/>
    <cellStyle name="2x indented GHG Textfiels 2 2 2 2" xfId="1317"/>
    <cellStyle name="2x indented GHG Textfiels 2 2 3" xfId="914"/>
    <cellStyle name="2x indented GHG Textfiels 2 2 4" xfId="699"/>
    <cellStyle name="2x indented GHG Textfiels 2 2 5" xfId="736"/>
    <cellStyle name="2x indented GHG Textfiels 2 2 6" xfId="1614"/>
    <cellStyle name="2x indented GHG Textfiels 2 3" xfId="424"/>
    <cellStyle name="2x indented GHG Textfiels 2 3 2" xfId="1350"/>
    <cellStyle name="2x indented GHG Textfiels 2 3 3" xfId="798"/>
    <cellStyle name="2x indented GHG Textfiels 2 4" xfId="488"/>
    <cellStyle name="2x indented GHG Textfiels 2 4 2" xfId="1414"/>
    <cellStyle name="2x indented GHG Textfiels 2 4 3" xfId="1096"/>
    <cellStyle name="2x indented GHG Textfiels 2 5" xfId="550"/>
    <cellStyle name="2x indented GHG Textfiels 2 5 2" xfId="1476"/>
    <cellStyle name="2x indented GHG Textfiels 2 5 3" xfId="1154"/>
    <cellStyle name="2x indented GHG Textfiels 2 6" xfId="978"/>
    <cellStyle name="2x indented GHG Textfiels 2 7" xfId="657"/>
    <cellStyle name="2x indented GHG Textfiels 2 8" xfId="1573"/>
    <cellStyle name="2x indented GHG Textfiels 3" xfId="307"/>
    <cellStyle name="2x indented GHG Textfiels 3 2" xfId="402"/>
    <cellStyle name="2x indented GHG Textfiels 3 2 2" xfId="1025"/>
    <cellStyle name="2x indented GHG Textfiels 3 2 3" xfId="1229"/>
    <cellStyle name="2x indented GHG Textfiels 3 2 4" xfId="778"/>
    <cellStyle name="2x indented GHG Textfiels 3 2 5" xfId="1641"/>
    <cellStyle name="2x indented GHG Textfiels 3 3" xfId="452"/>
    <cellStyle name="2x indented GHG Textfiels 3 3 2" xfId="1063"/>
    <cellStyle name="2x indented GHG Textfiels 3 3 2 2" xfId="1378"/>
    <cellStyle name="2x indented GHG Textfiels 3 3 3" xfId="715"/>
    <cellStyle name="2x indented GHG Textfiels 3 3 4" xfId="836"/>
    <cellStyle name="2x indented GHG Textfiels 3 4" xfId="516"/>
    <cellStyle name="2x indented GHG Textfiels 3 4 2" xfId="1442"/>
    <cellStyle name="2x indented GHG Textfiels 3 4 3" xfId="1124"/>
    <cellStyle name="2x indented GHG Textfiels 3 5" xfId="578"/>
    <cellStyle name="2x indented GHG Textfiels 3 5 2" xfId="1504"/>
    <cellStyle name="2x indented GHG Textfiels 3 5 3" xfId="1182"/>
    <cellStyle name="2x indented GHG Textfiels 3 6" xfId="950"/>
    <cellStyle name="2x indented GHG Textfiels 3 7" xfId="883"/>
    <cellStyle name="2x indented GHG Textfiels 3 8" xfId="605"/>
    <cellStyle name="2x indented GHG Textfiels 3 9" xfId="1596"/>
    <cellStyle name="2x indented GHG Textfiels 4" xfId="290"/>
    <cellStyle name="2x indented GHG Textfiels 4 2" xfId="903"/>
    <cellStyle name="2x indented GHG Textfiels 4 2 2" xfId="1280"/>
    <cellStyle name="2x indented GHG Textfiels 4 2 3" xfId="1704"/>
    <cellStyle name="2x indented GHG Textfiels 4 3" xfId="1211"/>
    <cellStyle name="2x indented GHG Textfiels 4 4" xfId="691"/>
    <cellStyle name="2x indented GHG Textfiels 4 5" xfId="1557"/>
    <cellStyle name="2x indented GHG Textfiels 5" xfId="280"/>
    <cellStyle name="2x indented GHG Textfiels 5 2" xfId="1272"/>
    <cellStyle name="2x indented GHG Textfiels 5 3" xfId="681"/>
    <cellStyle name="2x indented GHG Textfiels 5 4" xfId="1572"/>
    <cellStyle name="2x indented GHG Textfiels 6" xfId="278"/>
    <cellStyle name="2x indented GHG Textfiels 6 2" xfId="1270"/>
    <cellStyle name="2x indented GHG Textfiels 6 3" xfId="660"/>
    <cellStyle name="2x indented GHG Textfiels 7" xfId="859"/>
    <cellStyle name="2x indented GHG Textfiels 7 2" xfId="1283"/>
    <cellStyle name="2x indented GHG Textfiels 8" xfId="942"/>
    <cellStyle name="2x indented GHG Textfiels 9" xfId="1594"/>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1 2" xfId="298"/>
    <cellStyle name="60% - Accent2" xfId="178" builtinId="36" customBuiltin="1"/>
    <cellStyle name="60% - Accent2 2" xfId="296"/>
    <cellStyle name="60% - Accent3" xfId="182" builtinId="40" customBuiltin="1"/>
    <cellStyle name="60% - Accent3 2" xfId="328"/>
    <cellStyle name="60% - Accent4" xfId="186" builtinId="44" customBuiltin="1"/>
    <cellStyle name="60% - Accent4 2" xfId="330"/>
    <cellStyle name="60% - Accent5" xfId="190" builtinId="48" customBuiltin="1"/>
    <cellStyle name="60% - Accent5 2" xfId="272"/>
    <cellStyle name="60% - Accent6" xfId="194" builtinId="52" customBuiltin="1"/>
    <cellStyle name="60% - Accent6 2" xfId="329"/>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2 2 2" xfId="359"/>
    <cellStyle name="Calc cel 2 2 2 2" xfId="383"/>
    <cellStyle name="Calc cel 2 2 2 2 2" xfId="1006"/>
    <cellStyle name="Calc cel 2 2 2 2 2 2" xfId="1325"/>
    <cellStyle name="Calc cel 2 2 2 2 3" xfId="923"/>
    <cellStyle name="Calc cel 2 2 2 2 4" xfId="713"/>
    <cellStyle name="Calc cel 2 2 2 2 5" xfId="745"/>
    <cellStyle name="Calc cel 2 2 2 2 6" xfId="1623"/>
    <cellStyle name="Calc cel 2 2 2 3" xfId="433"/>
    <cellStyle name="Calc cel 2 2 2 3 2" xfId="1359"/>
    <cellStyle name="Calc cel 2 2 2 3 3" xfId="807"/>
    <cellStyle name="Calc cel 2 2 2 4" xfId="497"/>
    <cellStyle name="Calc cel 2 2 2 4 2" xfId="1423"/>
    <cellStyle name="Calc cel 2 2 2 4 3" xfId="1105"/>
    <cellStyle name="Calc cel 2 2 2 5" xfId="559"/>
    <cellStyle name="Calc cel 2 2 2 5 2" xfId="1485"/>
    <cellStyle name="Calc cel 2 2 2 5 3" xfId="1163"/>
    <cellStyle name="Calc cel 2 2 2 6" xfId="987"/>
    <cellStyle name="Calc cel 2 2 2 7" xfId="873"/>
    <cellStyle name="Calc cel 2 2 2 8" xfId="1548"/>
    <cellStyle name="Calc cel 2 2 3" xfId="338"/>
    <cellStyle name="Calc cel 2 2 3 2" xfId="412"/>
    <cellStyle name="Calc cel 2 2 3 2 2" xfId="1034"/>
    <cellStyle name="Calc cel 2 2 3 2 3" xfId="1238"/>
    <cellStyle name="Calc cel 2 2 3 2 4" xfId="787"/>
    <cellStyle name="Calc cel 2 2 3 2 5" xfId="1650"/>
    <cellStyle name="Calc cel 2 2 3 3" xfId="462"/>
    <cellStyle name="Calc cel 2 2 3 3 2" xfId="1073"/>
    <cellStyle name="Calc cel 2 2 3 3 2 2" xfId="1388"/>
    <cellStyle name="Calc cel 2 2 3 3 3" xfId="1254"/>
    <cellStyle name="Calc cel 2 2 3 3 4" xfId="847"/>
    <cellStyle name="Calc cel 2 2 3 4" xfId="526"/>
    <cellStyle name="Calc cel 2 2 3 4 2" xfId="1452"/>
    <cellStyle name="Calc cel 2 2 3 4 3" xfId="1134"/>
    <cellStyle name="Calc cel 2 2 3 5" xfId="587"/>
    <cellStyle name="Calc cel 2 2 3 5 2" xfId="1513"/>
    <cellStyle name="Calc cel 2 2 3 5 3" xfId="1191"/>
    <cellStyle name="Calc cel 2 2 3 6" xfId="966"/>
    <cellStyle name="Calc cel 2 2 3 7" xfId="698"/>
    <cellStyle name="Calc cel 2 2 3 8" xfId="611"/>
    <cellStyle name="Calc cel 2 2 3 9" xfId="1551"/>
    <cellStyle name="Calc cel 2 2 4" xfId="281"/>
    <cellStyle name="Calc cel 2 2 4 2" xfId="666"/>
    <cellStyle name="Calc cel 2 2 4 2 2" xfId="1273"/>
    <cellStyle name="Calc cel 2 2 4 2 3" xfId="1697"/>
    <cellStyle name="Calc cel 2 2 4 3" xfId="893"/>
    <cellStyle name="Calc cel 2 2 4 4" xfId="722"/>
    <cellStyle name="Calc cel 2 2 4 5" xfId="1580"/>
    <cellStyle name="Calc cel 2 2 5" xfId="476"/>
    <cellStyle name="Calc cel 2 2 5 2" xfId="1402"/>
    <cellStyle name="Calc cel 2 2 5 3" xfId="759"/>
    <cellStyle name="Calc cel 2 2 5 4" xfId="1678"/>
    <cellStyle name="Calc cel 2 2 6" xfId="539"/>
    <cellStyle name="Calc cel 2 2 6 2" xfId="1465"/>
    <cellStyle name="Calc cel 2 2 6 3" xfId="1147"/>
    <cellStyle name="Calc cel 2 2 7" xfId="874"/>
    <cellStyle name="Calc cel 2 2 7 2" xfId="641"/>
    <cellStyle name="Calc cel 2 2 8" xfId="1088"/>
    <cellStyle name="Calc cel 2 2 9" xfId="1600"/>
    <cellStyle name="Calc cel 2 3" xfId="318"/>
    <cellStyle name="Calc cel 2 3 2" xfId="409"/>
    <cellStyle name="Calc cel 2 3 2 2" xfId="459"/>
    <cellStyle name="Calc cel 2 3 2 2 2" xfId="1385"/>
    <cellStyle name="Calc cel 2 3 2 2 3" xfId="1251"/>
    <cellStyle name="Calc cel 2 3 2 2 4" xfId="1070"/>
    <cellStyle name="Calc cel 2 3 2 2 5" xfId="1674"/>
    <cellStyle name="Calc cel 2 3 2 3" xfId="523"/>
    <cellStyle name="Calc cel 2 3 2 3 2" xfId="1449"/>
    <cellStyle name="Calc cel 2 3 2 3 3" xfId="1131"/>
    <cellStyle name="Calc cel 2 3 2 4" xfId="584"/>
    <cellStyle name="Calc cel 2 3 2 4 2" xfId="1510"/>
    <cellStyle name="Calc cel 2 3 2 4 3" xfId="1188"/>
    <cellStyle name="Calc cel 2 3 2 5" xfId="1031"/>
    <cellStyle name="Calc cel 2 3 2 5 2" xfId="1343"/>
    <cellStyle name="Calc cel 2 3 2 6" xfId="946"/>
    <cellStyle name="Calc cel 2 3 2 7" xfId="816"/>
    <cellStyle name="Calc cel 2 3 2 8" xfId="844"/>
    <cellStyle name="Calc cel 2 3 2 9" xfId="1647"/>
    <cellStyle name="Calc cel 2 3 3" xfId="372"/>
    <cellStyle name="Calc cel 2 3 3 2" xfId="1315"/>
    <cellStyle name="Calc cel 2 3 3 2 2" xfId="1737"/>
    <cellStyle name="Calc cel 2 3 3 3" xfId="783"/>
    <cellStyle name="Calc cel 2 3 3 4" xfId="1612"/>
    <cellStyle name="Calc cel 2 3 4" xfId="1293"/>
    <cellStyle name="Calc cel 2 3 4 2" xfId="1726"/>
    <cellStyle name="Calc cel 2 3 5" xfId="1051"/>
    <cellStyle name="Calc cel 2 3 6" xfId="694"/>
    <cellStyle name="Calc cel 3" xfId="12"/>
    <cellStyle name="Calc cel 3 2" xfId="251"/>
    <cellStyle name="Calc cel 3 2 2" xfId="357"/>
    <cellStyle name="Calc cel 3 2 2 2" xfId="381"/>
    <cellStyle name="Calc cel 3 2 2 2 2" xfId="1004"/>
    <cellStyle name="Calc cel 3 2 2 2 2 2" xfId="1323"/>
    <cellStyle name="Calc cel 3 2 2 2 3" xfId="921"/>
    <cellStyle name="Calc cel 3 2 2 2 4" xfId="863"/>
    <cellStyle name="Calc cel 3 2 2 2 5" xfId="743"/>
    <cellStyle name="Calc cel 3 2 2 2 6" xfId="1621"/>
    <cellStyle name="Calc cel 3 2 2 3" xfId="431"/>
    <cellStyle name="Calc cel 3 2 2 3 2" xfId="1357"/>
    <cellStyle name="Calc cel 3 2 2 3 3" xfId="805"/>
    <cellStyle name="Calc cel 3 2 2 4" xfId="495"/>
    <cellStyle name="Calc cel 3 2 2 4 2" xfId="1421"/>
    <cellStyle name="Calc cel 3 2 2 4 3" xfId="1103"/>
    <cellStyle name="Calc cel 3 2 2 5" xfId="557"/>
    <cellStyle name="Calc cel 3 2 2 5 2" xfId="1483"/>
    <cellStyle name="Calc cel 3 2 2 5 3" xfId="1161"/>
    <cellStyle name="Calc cel 3 2 2 6" xfId="985"/>
    <cellStyle name="Calc cel 3 2 2 7" xfId="702"/>
    <cellStyle name="Calc cel 3 2 2 8" xfId="1602"/>
    <cellStyle name="Calc cel 3 2 3" xfId="339"/>
    <cellStyle name="Calc cel 3 2 3 2" xfId="413"/>
    <cellStyle name="Calc cel 3 2 3 2 2" xfId="1035"/>
    <cellStyle name="Calc cel 3 2 3 2 3" xfId="1239"/>
    <cellStyle name="Calc cel 3 2 3 2 4" xfId="788"/>
    <cellStyle name="Calc cel 3 2 3 2 5" xfId="1651"/>
    <cellStyle name="Calc cel 3 2 3 3" xfId="463"/>
    <cellStyle name="Calc cel 3 2 3 3 2" xfId="1074"/>
    <cellStyle name="Calc cel 3 2 3 3 2 2" xfId="1389"/>
    <cellStyle name="Calc cel 3 2 3 3 3" xfId="1255"/>
    <cellStyle name="Calc cel 3 2 3 3 4" xfId="848"/>
    <cellStyle name="Calc cel 3 2 3 4" xfId="527"/>
    <cellStyle name="Calc cel 3 2 3 4 2" xfId="1453"/>
    <cellStyle name="Calc cel 3 2 3 4 3" xfId="1135"/>
    <cellStyle name="Calc cel 3 2 3 5" xfId="588"/>
    <cellStyle name="Calc cel 3 2 3 5 2" xfId="1514"/>
    <cellStyle name="Calc cel 3 2 3 5 3" xfId="1192"/>
    <cellStyle name="Calc cel 3 2 3 6" xfId="967"/>
    <cellStyle name="Calc cel 3 2 3 7" xfId="822"/>
    <cellStyle name="Calc cel 3 2 3 8" xfId="612"/>
    <cellStyle name="Calc cel 3 2 3 9" xfId="1564"/>
    <cellStyle name="Calc cel 3 2 4" xfId="327"/>
    <cellStyle name="Calc cel 3 2 4 2" xfId="962"/>
    <cellStyle name="Calc cel 3 2 4 2 2" xfId="1299"/>
    <cellStyle name="Calc cel 3 2 4 2 3" xfId="1712"/>
    <cellStyle name="Calc cel 3 2 4 3" xfId="644"/>
    <cellStyle name="Calc cel 3 2 4 4" xfId="723"/>
    <cellStyle name="Calc cel 3 2 4 5" xfId="1592"/>
    <cellStyle name="Calc cel 3 2 5" xfId="477"/>
    <cellStyle name="Calc cel 3 2 5 2" xfId="1403"/>
    <cellStyle name="Calc cel 3 2 5 3" xfId="760"/>
    <cellStyle name="Calc cel 3 2 5 4" xfId="1679"/>
    <cellStyle name="Calc cel 3 2 6" xfId="540"/>
    <cellStyle name="Calc cel 3 2 6 2" xfId="1466"/>
    <cellStyle name="Calc cel 3 2 6 3" xfId="1148"/>
    <cellStyle name="Calc cel 3 2 7" xfId="665"/>
    <cellStyle name="Calc cel 3 2 7 2" xfId="860"/>
    <cellStyle name="Calc cel 3 2 8" xfId="911"/>
    <cellStyle name="Calc cel 3 2 9" xfId="1549"/>
    <cellStyle name="Calc cel 3 3" xfId="312"/>
    <cellStyle name="Calc cel 3 3 2" xfId="407"/>
    <cellStyle name="Calc cel 3 3 2 2" xfId="457"/>
    <cellStyle name="Calc cel 3 3 2 2 2" xfId="1383"/>
    <cellStyle name="Calc cel 3 3 2 2 3" xfId="1249"/>
    <cellStyle name="Calc cel 3 3 2 2 4" xfId="1068"/>
    <cellStyle name="Calc cel 3 3 2 2 5" xfId="1672"/>
    <cellStyle name="Calc cel 3 3 2 3" xfId="521"/>
    <cellStyle name="Calc cel 3 3 2 3 2" xfId="1447"/>
    <cellStyle name="Calc cel 3 3 2 3 3" xfId="1129"/>
    <cellStyle name="Calc cel 3 3 2 4" xfId="583"/>
    <cellStyle name="Calc cel 3 3 2 4 2" xfId="1509"/>
    <cellStyle name="Calc cel 3 3 2 4 3" xfId="1187"/>
    <cellStyle name="Calc cel 3 3 2 5" xfId="1030"/>
    <cellStyle name="Calc cel 3 3 2 5 2" xfId="1342"/>
    <cellStyle name="Calc cel 3 3 2 6" xfId="943"/>
    <cellStyle name="Calc cel 3 3 2 7" xfId="629"/>
    <cellStyle name="Calc cel 3 3 2 8" xfId="841"/>
    <cellStyle name="Calc cel 3 3 2 9" xfId="1646"/>
    <cellStyle name="Calc cel 3 3 3" xfId="270"/>
    <cellStyle name="Calc cel 3 3 3 2" xfId="1267"/>
    <cellStyle name="Calc cel 3 3 3 2 2" xfId="1715"/>
    <cellStyle name="Calc cel 3 3 3 3" xfId="869"/>
    <cellStyle name="Calc cel 3 3 3 4" xfId="1585"/>
    <cellStyle name="Calc cel 3 3 4" xfId="1307"/>
    <cellStyle name="Calc cel 3 3 4 2" xfId="1733"/>
    <cellStyle name="Calc cel 3 3 5" xfId="894"/>
    <cellStyle name="Calc cel 3 3 6" xfId="627"/>
    <cellStyle name="Calc cel 4" xfId="249"/>
    <cellStyle name="Calc cel 4 2" xfId="360"/>
    <cellStyle name="Calc cel 4 2 2" xfId="384"/>
    <cellStyle name="Calc cel 4 2 2 2" xfId="1007"/>
    <cellStyle name="Calc cel 4 2 2 2 2" xfId="1326"/>
    <cellStyle name="Calc cel 4 2 2 3" xfId="924"/>
    <cellStyle name="Calc cel 4 2 2 4" xfId="1087"/>
    <cellStyle name="Calc cel 4 2 2 5" xfId="746"/>
    <cellStyle name="Calc cel 4 2 2 6" xfId="1624"/>
    <cellStyle name="Calc cel 4 2 3" xfId="434"/>
    <cellStyle name="Calc cel 4 2 3 2" xfId="1360"/>
    <cellStyle name="Calc cel 4 2 3 3" xfId="808"/>
    <cellStyle name="Calc cel 4 2 4" xfId="498"/>
    <cellStyle name="Calc cel 4 2 4 2" xfId="1424"/>
    <cellStyle name="Calc cel 4 2 4 3" xfId="1106"/>
    <cellStyle name="Calc cel 4 2 5" xfId="560"/>
    <cellStyle name="Calc cel 4 2 5 2" xfId="1486"/>
    <cellStyle name="Calc cel 4 2 5 3" xfId="1164"/>
    <cellStyle name="Calc cel 4 2 6" xfId="988"/>
    <cellStyle name="Calc cel 4 2 7" xfId="683"/>
    <cellStyle name="Calc cel 4 2 8" xfId="1542"/>
    <cellStyle name="Calc cel 4 3" xfId="337"/>
    <cellStyle name="Calc cel 4 3 2" xfId="411"/>
    <cellStyle name="Calc cel 4 3 2 2" xfId="1033"/>
    <cellStyle name="Calc cel 4 3 2 3" xfId="1237"/>
    <cellStyle name="Calc cel 4 3 2 4" xfId="786"/>
    <cellStyle name="Calc cel 4 3 2 5" xfId="1649"/>
    <cellStyle name="Calc cel 4 3 3" xfId="461"/>
    <cellStyle name="Calc cel 4 3 3 2" xfId="1072"/>
    <cellStyle name="Calc cel 4 3 3 2 2" xfId="1387"/>
    <cellStyle name="Calc cel 4 3 3 3" xfId="1253"/>
    <cellStyle name="Calc cel 4 3 3 4" xfId="846"/>
    <cellStyle name="Calc cel 4 3 4" xfId="525"/>
    <cellStyle name="Calc cel 4 3 4 2" xfId="1451"/>
    <cellStyle name="Calc cel 4 3 4 3" xfId="1133"/>
    <cellStyle name="Calc cel 4 3 5" xfId="586"/>
    <cellStyle name="Calc cel 4 3 5 2" xfId="1512"/>
    <cellStyle name="Calc cel 4 3 5 3" xfId="1190"/>
    <cellStyle name="Calc cel 4 3 6" xfId="965"/>
    <cellStyle name="Calc cel 4 3 7" xfId="889"/>
    <cellStyle name="Calc cel 4 3 8" xfId="610"/>
    <cellStyle name="Calc cel 4 3 9" xfId="1550"/>
    <cellStyle name="Calc cel 4 4" xfId="302"/>
    <cellStyle name="Calc cel 4 4 2" xfId="775"/>
    <cellStyle name="Calc cel 4 4 2 2" xfId="1285"/>
    <cellStyle name="Calc cel 4 4 2 3" xfId="1699"/>
    <cellStyle name="Calc cel 4 4 3" xfId="1244"/>
    <cellStyle name="Calc cel 4 4 4" xfId="636"/>
    <cellStyle name="Calc cel 4 4 5" xfId="1527"/>
    <cellStyle name="Calc cel 4 5" xfId="475"/>
    <cellStyle name="Calc cel 4 5 2" xfId="1401"/>
    <cellStyle name="Calc cel 4 5 3" xfId="758"/>
    <cellStyle name="Calc cel 4 5 4" xfId="1677"/>
    <cellStyle name="Calc cel 4 6" xfId="538"/>
    <cellStyle name="Calc cel 4 6 2" xfId="1464"/>
    <cellStyle name="Calc cel 4 6 3" xfId="1146"/>
    <cellStyle name="Calc cel 4 7" xfId="945"/>
    <cellStyle name="Calc cel 4 7 2" xfId="909"/>
    <cellStyle name="Calc cel 4 8" xfId="678"/>
    <cellStyle name="Calc cel 4 9" xfId="1588"/>
    <cellStyle name="Calc cel 5" xfId="294"/>
    <cellStyle name="Calc cel 5 2" xfId="397"/>
    <cellStyle name="Calc cel 5 2 2" xfId="447"/>
    <cellStyle name="Calc cel 5 2 2 2" xfId="1373"/>
    <cellStyle name="Calc cel 5 2 2 3" xfId="1214"/>
    <cellStyle name="Calc cel 5 2 2 4" xfId="1058"/>
    <cellStyle name="Calc cel 5 2 2 5" xfId="1666"/>
    <cellStyle name="Calc cel 5 2 3" xfId="511"/>
    <cellStyle name="Calc cel 5 2 3 2" xfId="1437"/>
    <cellStyle name="Calc cel 5 2 3 3" xfId="1119"/>
    <cellStyle name="Calc cel 5 2 4" xfId="573"/>
    <cellStyle name="Calc cel 5 2 4 2" xfId="1499"/>
    <cellStyle name="Calc cel 5 2 4 3" xfId="1177"/>
    <cellStyle name="Calc cel 5 2 5" xfId="1020"/>
    <cellStyle name="Calc cel 5 2 5 2" xfId="1336"/>
    <cellStyle name="Calc cel 5 2 6" xfId="940"/>
    <cellStyle name="Calc cel 5 2 7" xfId="872"/>
    <cellStyle name="Calc cel 5 2 8" xfId="831"/>
    <cellStyle name="Calc cel 5 2 9" xfId="1636"/>
    <cellStyle name="Calc cel 5 3" xfId="291"/>
    <cellStyle name="Calc cel 5 3 2" xfId="1281"/>
    <cellStyle name="Calc cel 5 3 2 2" xfId="1719"/>
    <cellStyle name="Calc cel 5 3 3" xfId="897"/>
    <cellStyle name="Calc cel 5 3 4" xfId="1534"/>
    <cellStyle name="Calc cel 5 4" xfId="1289"/>
    <cellStyle name="Calc cel 5 4 2" xfId="1724"/>
    <cellStyle name="Calc cel 5 5" xfId="888"/>
    <cellStyle name="Calc cel 5 6" xfId="711"/>
    <cellStyle name="Calculation" xfId="164" builtinId="22" customBuiltin="1"/>
    <cellStyle name="Check Cell" xfId="166" builtinId="23" customBuiltin="1"/>
    <cellStyle name="Comma" xfId="1739" builtinId="3"/>
    <cellStyle name="Comma 2" xfId="13"/>
    <cellStyle name="Comma 3" xfId="157"/>
    <cellStyle name="Comma 4" xfId="201"/>
    <cellStyle name="Comma 5" xfId="315"/>
    <cellStyle name="Comma 6" xfId="1546"/>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1740"/>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2 2 2" xfId="354"/>
    <cellStyle name="Input cel 2 2 2 2" xfId="378"/>
    <cellStyle name="Input cel 2 2 2 2 2" xfId="1001"/>
    <cellStyle name="Input cel 2 2 2 2 2 2" xfId="1320"/>
    <cellStyle name="Input cel 2 2 2 2 3" xfId="918"/>
    <cellStyle name="Input cel 2 2 2 2 4" xfId="687"/>
    <cellStyle name="Input cel 2 2 2 2 5" xfId="740"/>
    <cellStyle name="Input cel 2 2 2 2 6" xfId="1618"/>
    <cellStyle name="Input cel 2 2 2 3" xfId="428"/>
    <cellStyle name="Input cel 2 2 2 3 2" xfId="1354"/>
    <cellStyle name="Input cel 2 2 2 3 3" xfId="802"/>
    <cellStyle name="Input cel 2 2 2 4" xfId="492"/>
    <cellStyle name="Input cel 2 2 2 4 2" xfId="1418"/>
    <cellStyle name="Input cel 2 2 2 4 3" xfId="1100"/>
    <cellStyle name="Input cel 2 2 2 5" xfId="554"/>
    <cellStyle name="Input cel 2 2 2 5 2" xfId="1480"/>
    <cellStyle name="Input cel 2 2 2 5 3" xfId="1158"/>
    <cellStyle name="Input cel 2 2 2 6" xfId="982"/>
    <cellStyle name="Input cel 2 2 2 7" xfId="632"/>
    <cellStyle name="Input cel 2 2 2 8" xfId="1539"/>
    <cellStyle name="Input cel 2 2 3" xfId="341"/>
    <cellStyle name="Input cel 2 2 3 2" xfId="415"/>
    <cellStyle name="Input cel 2 2 3 2 2" xfId="1037"/>
    <cellStyle name="Input cel 2 2 3 2 3" xfId="1241"/>
    <cellStyle name="Input cel 2 2 3 2 4" xfId="790"/>
    <cellStyle name="Input cel 2 2 3 2 5" xfId="1653"/>
    <cellStyle name="Input cel 2 2 3 3" xfId="465"/>
    <cellStyle name="Input cel 2 2 3 3 2" xfId="1076"/>
    <cellStyle name="Input cel 2 2 3 3 2 2" xfId="1391"/>
    <cellStyle name="Input cel 2 2 3 3 3" xfId="1257"/>
    <cellStyle name="Input cel 2 2 3 3 4" xfId="850"/>
    <cellStyle name="Input cel 2 2 3 4" xfId="529"/>
    <cellStyle name="Input cel 2 2 3 4 2" xfId="1455"/>
    <cellStyle name="Input cel 2 2 3 4 3" xfId="1137"/>
    <cellStyle name="Input cel 2 2 3 5" xfId="590"/>
    <cellStyle name="Input cel 2 2 3 5 2" xfId="1516"/>
    <cellStyle name="Input cel 2 2 3 5 3" xfId="1194"/>
    <cellStyle name="Input cel 2 2 3 6" xfId="969"/>
    <cellStyle name="Input cel 2 2 3 7" xfId="646"/>
    <cellStyle name="Input cel 2 2 3 8" xfId="614"/>
    <cellStyle name="Input cel 2 2 3 9" xfId="1565"/>
    <cellStyle name="Input cel 2 2 4" xfId="332"/>
    <cellStyle name="Input cel 2 2 4 2" xfId="964"/>
    <cellStyle name="Input cel 2 2 4 2 2" xfId="1301"/>
    <cellStyle name="Input cel 2 2 4 2 3" xfId="1713"/>
    <cellStyle name="Input cel 2 2 4 3" xfId="1245"/>
    <cellStyle name="Input cel 2 2 4 4" xfId="725"/>
    <cellStyle name="Input cel 2 2 4 5" xfId="1541"/>
    <cellStyle name="Input cel 2 2 5" xfId="479"/>
    <cellStyle name="Input cel 2 2 5 2" xfId="1405"/>
    <cellStyle name="Input cel 2 2 5 3" xfId="762"/>
    <cellStyle name="Input cel 2 2 5 4" xfId="1681"/>
    <cellStyle name="Input cel 2 2 6" xfId="542"/>
    <cellStyle name="Input cel 2 2 6 2" xfId="1468"/>
    <cellStyle name="Input cel 2 2 6 3" xfId="1150"/>
    <cellStyle name="Input cel 2 2 7" xfId="664"/>
    <cellStyle name="Input cel 2 2 7 2" xfId="1213"/>
    <cellStyle name="Input cel 2 2 8" xfId="1046"/>
    <cellStyle name="Input cel 2 2 9" xfId="1607"/>
    <cellStyle name="Input cel 2 3" xfId="269"/>
    <cellStyle name="Input cel 2 3 2" xfId="392"/>
    <cellStyle name="Input cel 2 3 2 2" xfId="442"/>
    <cellStyle name="Input cel 2 3 2 2 2" xfId="1368"/>
    <cellStyle name="Input cel 2 3 2 2 3" xfId="647"/>
    <cellStyle name="Input cel 2 3 2 2 4" xfId="1053"/>
    <cellStyle name="Input cel 2 3 2 2 5" xfId="1661"/>
    <cellStyle name="Input cel 2 3 2 3" xfId="506"/>
    <cellStyle name="Input cel 2 3 2 3 2" xfId="1432"/>
    <cellStyle name="Input cel 2 3 2 3 3" xfId="1114"/>
    <cellStyle name="Input cel 2 3 2 4" xfId="568"/>
    <cellStyle name="Input cel 2 3 2 4 2" xfId="1494"/>
    <cellStyle name="Input cel 2 3 2 4 3" xfId="1172"/>
    <cellStyle name="Input cel 2 3 2 5" xfId="1015"/>
    <cellStyle name="Input cel 2 3 2 5 2" xfId="1331"/>
    <cellStyle name="Input cel 2 3 2 6" xfId="935"/>
    <cellStyle name="Input cel 2 3 2 7" xfId="1085"/>
    <cellStyle name="Input cel 2 3 2 8" xfId="826"/>
    <cellStyle name="Input cel 2 3 2 9" xfId="1631"/>
    <cellStyle name="Input cel 2 3 3" xfId="297"/>
    <cellStyle name="Input cel 2 3 3 2" xfId="1284"/>
    <cellStyle name="Input cel 2 3 3 2 2" xfId="1721"/>
    <cellStyle name="Input cel 2 3 3 3" xfId="870"/>
    <cellStyle name="Input cel 2 3 3 4" xfId="1533"/>
    <cellStyle name="Input cel 2 3 4" xfId="1311"/>
    <cellStyle name="Input cel 2 3 4 2" xfId="1735"/>
    <cellStyle name="Input cel 2 3 5" xfId="735"/>
    <cellStyle name="Input cel 2 3 6" xfId="710"/>
    <cellStyle name="Input cel 3" xfId="22"/>
    <cellStyle name="Input cel 3 2" xfId="254"/>
    <cellStyle name="Input cel 3 2 2" xfId="361"/>
    <cellStyle name="Input cel 3 2 2 2" xfId="385"/>
    <cellStyle name="Input cel 3 2 2 2 2" xfId="1008"/>
    <cellStyle name="Input cel 3 2 2 2 2 2" xfId="1327"/>
    <cellStyle name="Input cel 3 2 2 2 3" xfId="925"/>
    <cellStyle name="Input cel 3 2 2 2 4" xfId="780"/>
    <cellStyle name="Input cel 3 2 2 2 5" xfId="747"/>
    <cellStyle name="Input cel 3 2 2 2 6" xfId="1625"/>
    <cellStyle name="Input cel 3 2 2 3" xfId="435"/>
    <cellStyle name="Input cel 3 2 2 3 2" xfId="1361"/>
    <cellStyle name="Input cel 3 2 2 3 3" xfId="809"/>
    <cellStyle name="Input cel 3 2 2 4" xfId="499"/>
    <cellStyle name="Input cel 3 2 2 4 2" xfId="1425"/>
    <cellStyle name="Input cel 3 2 2 4 3" xfId="1107"/>
    <cellStyle name="Input cel 3 2 2 5" xfId="561"/>
    <cellStyle name="Input cel 3 2 2 5 2" xfId="1487"/>
    <cellStyle name="Input cel 3 2 2 5 3" xfId="1165"/>
    <cellStyle name="Input cel 3 2 2 6" xfId="989"/>
    <cellStyle name="Input cel 3 2 2 7" xfId="682"/>
    <cellStyle name="Input cel 3 2 2 8" xfId="1524"/>
    <cellStyle name="Input cel 3 2 3" xfId="342"/>
    <cellStyle name="Input cel 3 2 3 2" xfId="416"/>
    <cellStyle name="Input cel 3 2 3 2 2" xfId="1038"/>
    <cellStyle name="Input cel 3 2 3 2 3" xfId="1242"/>
    <cellStyle name="Input cel 3 2 3 2 4" xfId="791"/>
    <cellStyle name="Input cel 3 2 3 2 5" xfId="1654"/>
    <cellStyle name="Input cel 3 2 3 3" xfId="466"/>
    <cellStyle name="Input cel 3 2 3 3 2" xfId="1077"/>
    <cellStyle name="Input cel 3 2 3 3 2 2" xfId="1392"/>
    <cellStyle name="Input cel 3 2 3 3 3" xfId="1258"/>
    <cellStyle name="Input cel 3 2 3 3 4" xfId="851"/>
    <cellStyle name="Input cel 3 2 3 4" xfId="530"/>
    <cellStyle name="Input cel 3 2 3 4 2" xfId="1456"/>
    <cellStyle name="Input cel 3 2 3 4 3" xfId="1138"/>
    <cellStyle name="Input cel 3 2 3 5" xfId="591"/>
    <cellStyle name="Input cel 3 2 3 5 2" xfId="1517"/>
    <cellStyle name="Input cel 3 2 3 5 3" xfId="1195"/>
    <cellStyle name="Input cel 3 2 3 6" xfId="970"/>
    <cellStyle name="Input cel 3 2 3 7" xfId="754"/>
    <cellStyle name="Input cel 3 2 3 8" xfId="615"/>
    <cellStyle name="Input cel 3 2 3 9" xfId="1567"/>
    <cellStyle name="Input cel 3 2 4" xfId="321"/>
    <cellStyle name="Input cel 3 2 4 2" xfId="957"/>
    <cellStyle name="Input cel 3 2 4 2 2" xfId="1294"/>
    <cellStyle name="Input cel 3 2 4 2 3" xfId="1708"/>
    <cellStyle name="Input cel 3 2 4 3" xfId="824"/>
    <cellStyle name="Input cel 3 2 4 4" xfId="726"/>
    <cellStyle name="Input cel 3 2 4 5" xfId="1529"/>
    <cellStyle name="Input cel 3 2 5" xfId="480"/>
    <cellStyle name="Input cel 3 2 5 2" xfId="1406"/>
    <cellStyle name="Input cel 3 2 5 3" xfId="763"/>
    <cellStyle name="Input cel 3 2 5 4" xfId="1682"/>
    <cellStyle name="Input cel 3 2 6" xfId="543"/>
    <cellStyle name="Input cel 3 2 6 2" xfId="1469"/>
    <cellStyle name="Input cel 3 2 6 3" xfId="1151"/>
    <cellStyle name="Input cel 3 2 7" xfId="898"/>
    <cellStyle name="Input cel 3 2 7 2" xfId="667"/>
    <cellStyle name="Input cel 3 2 8" xfId="890"/>
    <cellStyle name="Input cel 3 2 9" xfId="1590"/>
    <cellStyle name="Input cel 3 3" xfId="295"/>
    <cellStyle name="Input cel 3 3 2" xfId="398"/>
    <cellStyle name="Input cel 3 3 2 2" xfId="448"/>
    <cellStyle name="Input cel 3 3 2 2 2" xfId="1374"/>
    <cellStyle name="Input cel 3 3 2 2 3" xfId="1215"/>
    <cellStyle name="Input cel 3 3 2 2 4" xfId="1059"/>
    <cellStyle name="Input cel 3 3 2 2 5" xfId="1667"/>
    <cellStyle name="Input cel 3 3 2 3" xfId="512"/>
    <cellStyle name="Input cel 3 3 2 3 2" xfId="1438"/>
    <cellStyle name="Input cel 3 3 2 3 3" xfId="1120"/>
    <cellStyle name="Input cel 3 3 2 4" xfId="574"/>
    <cellStyle name="Input cel 3 3 2 4 2" xfId="1500"/>
    <cellStyle name="Input cel 3 3 2 4 3" xfId="1178"/>
    <cellStyle name="Input cel 3 3 2 5" xfId="1021"/>
    <cellStyle name="Input cel 3 3 2 5 2" xfId="1337"/>
    <cellStyle name="Input cel 3 3 2 6" xfId="941"/>
    <cellStyle name="Input cel 3 3 2 7" xfId="630"/>
    <cellStyle name="Input cel 3 3 2 8" xfId="832"/>
    <cellStyle name="Input cel 3 3 2 9" xfId="1637"/>
    <cellStyle name="Input cel 3 3 3" xfId="289"/>
    <cellStyle name="Input cel 3 3 3 2" xfId="1279"/>
    <cellStyle name="Input cel 3 3 3 2 2" xfId="1718"/>
    <cellStyle name="Input cel 3 3 3 3" xfId="695"/>
    <cellStyle name="Input cel 3 3 3 4" xfId="1570"/>
    <cellStyle name="Input cel 3 3 4" xfId="649"/>
    <cellStyle name="Input cel 3 3 4 2" xfId="1696"/>
    <cellStyle name="Input cel 3 3 5" xfId="937"/>
    <cellStyle name="Input cel 3 3 6" xfId="690"/>
    <cellStyle name="Input cel 4" xfId="252"/>
    <cellStyle name="Input cel 4 2" xfId="356"/>
    <cellStyle name="Input cel 4 2 2" xfId="380"/>
    <cellStyle name="Input cel 4 2 2 2" xfId="1003"/>
    <cellStyle name="Input cel 4 2 2 2 2" xfId="1322"/>
    <cellStyle name="Input cel 4 2 2 3" xfId="920"/>
    <cellStyle name="Input cel 4 2 2 4" xfId="1236"/>
    <cellStyle name="Input cel 4 2 2 5" xfId="742"/>
    <cellStyle name="Input cel 4 2 2 6" xfId="1620"/>
    <cellStyle name="Input cel 4 2 3" xfId="430"/>
    <cellStyle name="Input cel 4 2 3 2" xfId="1356"/>
    <cellStyle name="Input cel 4 2 3 3" xfId="804"/>
    <cellStyle name="Input cel 4 2 4" xfId="494"/>
    <cellStyle name="Input cel 4 2 4 2" xfId="1420"/>
    <cellStyle name="Input cel 4 2 4 3" xfId="1102"/>
    <cellStyle name="Input cel 4 2 5" xfId="556"/>
    <cellStyle name="Input cel 4 2 5 2" xfId="1482"/>
    <cellStyle name="Input cel 4 2 5 3" xfId="1160"/>
    <cellStyle name="Input cel 4 2 6" xfId="984"/>
    <cellStyle name="Input cel 4 2 7" xfId="871"/>
    <cellStyle name="Input cel 4 2 8" xfId="1589"/>
    <cellStyle name="Input cel 4 3" xfId="340"/>
    <cellStyle name="Input cel 4 3 2" xfId="414"/>
    <cellStyle name="Input cel 4 3 2 2" xfId="1036"/>
    <cellStyle name="Input cel 4 3 2 3" xfId="1240"/>
    <cellStyle name="Input cel 4 3 2 4" xfId="789"/>
    <cellStyle name="Input cel 4 3 2 5" xfId="1652"/>
    <cellStyle name="Input cel 4 3 3" xfId="464"/>
    <cellStyle name="Input cel 4 3 3 2" xfId="1075"/>
    <cellStyle name="Input cel 4 3 3 2 2" xfId="1390"/>
    <cellStyle name="Input cel 4 3 3 3" xfId="1256"/>
    <cellStyle name="Input cel 4 3 3 4" xfId="849"/>
    <cellStyle name="Input cel 4 3 4" xfId="528"/>
    <cellStyle name="Input cel 4 3 4 2" xfId="1454"/>
    <cellStyle name="Input cel 4 3 4 3" xfId="1136"/>
    <cellStyle name="Input cel 4 3 5" xfId="589"/>
    <cellStyle name="Input cel 4 3 5 2" xfId="1515"/>
    <cellStyle name="Input cel 4 3 5 3" xfId="1193"/>
    <cellStyle name="Input cel 4 3 6" xfId="968"/>
    <cellStyle name="Input cel 4 3 7" xfId="648"/>
    <cellStyle name="Input cel 4 3 8" xfId="613"/>
    <cellStyle name="Input cel 4 3 9" xfId="1578"/>
    <cellStyle name="Input cel 4 4" xfId="316"/>
    <cellStyle name="Input cel 4 4 2" xfId="953"/>
    <cellStyle name="Input cel 4 4 2 2" xfId="1291"/>
    <cellStyle name="Input cel 4 4 2 3" xfId="1705"/>
    <cellStyle name="Input cel 4 4 3" xfId="1232"/>
    <cellStyle name="Input cel 4 4 4" xfId="724"/>
    <cellStyle name="Input cel 4 4 5" xfId="1576"/>
    <cellStyle name="Input cel 4 5" xfId="478"/>
    <cellStyle name="Input cel 4 5 2" xfId="1404"/>
    <cellStyle name="Input cel 4 5 3" xfId="761"/>
    <cellStyle name="Input cel 4 5 4" xfId="1680"/>
    <cellStyle name="Input cel 4 6" xfId="541"/>
    <cellStyle name="Input cel 4 6 2" xfId="1467"/>
    <cellStyle name="Input cel 4 6 3" xfId="1149"/>
    <cellStyle name="Input cel 4 7" xfId="895"/>
    <cellStyle name="Input cel 4 7 2" xfId="668"/>
    <cellStyle name="Input cel 4 8" xfId="886"/>
    <cellStyle name="Input cel 4 9" xfId="1605"/>
    <cellStyle name="Input cel 5" xfId="293"/>
    <cellStyle name="Input cel 5 2" xfId="396"/>
    <cellStyle name="Input cel 5 2 2" xfId="446"/>
    <cellStyle name="Input cel 5 2 2 2" xfId="1372"/>
    <cellStyle name="Input cel 5 2 2 3" xfId="1086"/>
    <cellStyle name="Input cel 5 2 2 4" xfId="1057"/>
    <cellStyle name="Input cel 5 2 2 5" xfId="1665"/>
    <cellStyle name="Input cel 5 2 3" xfId="510"/>
    <cellStyle name="Input cel 5 2 3 2" xfId="1436"/>
    <cellStyle name="Input cel 5 2 3 3" xfId="1118"/>
    <cellStyle name="Input cel 5 2 4" xfId="572"/>
    <cellStyle name="Input cel 5 2 4 2" xfId="1498"/>
    <cellStyle name="Input cel 5 2 4 3" xfId="1176"/>
    <cellStyle name="Input cel 5 2 5" xfId="1019"/>
    <cellStyle name="Input cel 5 2 5 2" xfId="1335"/>
    <cellStyle name="Input cel 5 2 6" xfId="939"/>
    <cellStyle name="Input cel 5 2 7" xfId="733"/>
    <cellStyle name="Input cel 5 2 8" xfId="830"/>
    <cellStyle name="Input cel 5 2 9" xfId="1635"/>
    <cellStyle name="Input cel 5 3" xfId="323"/>
    <cellStyle name="Input cel 5 3 2" xfId="1295"/>
    <cellStyle name="Input cel 5 3 2 2" xfId="1727"/>
    <cellStyle name="Input cel 5 3 3" xfId="658"/>
    <cellStyle name="Input cel 5 3 4" xfId="1603"/>
    <cellStyle name="Input cel 5 4" xfId="1329"/>
    <cellStyle name="Input cel 5 4 2" xfId="1738"/>
    <cellStyle name="Input cel 5 5" xfId="637"/>
    <cellStyle name="Input cel 5 6" xfId="624"/>
    <cellStyle name="Input cel new" xfId="23"/>
    <cellStyle name="Input cel new 2" xfId="24"/>
    <cellStyle name="Input cel new 2 2" xfId="212"/>
    <cellStyle name="Input cel new 2 2 2" xfId="259"/>
    <cellStyle name="Input cel new 2 2 2 2" xfId="365"/>
    <cellStyle name="Input cel new 2 2 2 2 2" xfId="389"/>
    <cellStyle name="Input cel new 2 2 2 2 2 2" xfId="1012"/>
    <cellStyle name="Input cel new 2 2 2 2 2 3" xfId="929"/>
    <cellStyle name="Input cel new 2 2 2 2 2 4" xfId="1224"/>
    <cellStyle name="Input cel new 2 2 2 2 2 5" xfId="751"/>
    <cellStyle name="Input cel new 2 2 2 2 2 6" xfId="1629"/>
    <cellStyle name="Input cel new 2 2 2 2 3" xfId="439"/>
    <cellStyle name="Input cel new 2 2 2 2 3 2" xfId="1365"/>
    <cellStyle name="Input cel new 2 2 2 2 3 3" xfId="772"/>
    <cellStyle name="Input cel new 2 2 2 2 3 4" xfId="813"/>
    <cellStyle name="Input cel new 2 2 2 2 4" xfId="503"/>
    <cellStyle name="Input cel new 2 2 2 2 4 2" xfId="1429"/>
    <cellStyle name="Input cel new 2 2 2 2 4 3" xfId="1111"/>
    <cellStyle name="Input cel new 2 2 2 2 5" xfId="565"/>
    <cellStyle name="Input cel new 2 2 2 2 5 2" xfId="1491"/>
    <cellStyle name="Input cel new 2 2 2 2 5 3" xfId="1169"/>
    <cellStyle name="Input cel new 2 2 2 2 6" xfId="993"/>
    <cellStyle name="Input cel new 2 2 2 2 7" xfId="693"/>
    <cellStyle name="Input cel new 2 2 2 2 8" xfId="1561"/>
    <cellStyle name="Input cel new 2 2 2 3" xfId="347"/>
    <cellStyle name="Input cel new 2 2 2 3 2" xfId="421"/>
    <cellStyle name="Input cel new 2 2 2 3 2 2" xfId="1043"/>
    <cellStyle name="Input cel new 2 2 2 3 2 2 2" xfId="1348"/>
    <cellStyle name="Input cel new 2 2 2 3 2 3" xfId="1263"/>
    <cellStyle name="Input cel new 2 2 2 3 2 4" xfId="796"/>
    <cellStyle name="Input cel new 2 2 2 3 2 5" xfId="1659"/>
    <cellStyle name="Input cel new 2 2 2 3 3" xfId="471"/>
    <cellStyle name="Input cel new 2 2 2 3 3 2" xfId="1082"/>
    <cellStyle name="Input cel new 2 2 2 3 3 3" xfId="1397"/>
    <cellStyle name="Input cel new 2 2 2 3 3 4" xfId="856"/>
    <cellStyle name="Input cel new 2 2 2 3 4" xfId="535"/>
    <cellStyle name="Input cel new 2 2 2 3 4 2" xfId="1461"/>
    <cellStyle name="Input cel new 2 2 2 3 4 3" xfId="1143"/>
    <cellStyle name="Input cel new 2 2 2 3 5" xfId="596"/>
    <cellStyle name="Input cel new 2 2 2 3 5 2" xfId="1522"/>
    <cellStyle name="Input cel new 2 2 2 3 5 3" xfId="1200"/>
    <cellStyle name="Input cel new 2 2 2 3 6" xfId="975"/>
    <cellStyle name="Input cel new 2 2 2 3 7" xfId="815"/>
    <cellStyle name="Input cel new 2 2 2 3 8" xfId="620"/>
    <cellStyle name="Input cel new 2 2 2 3 9" xfId="1568"/>
    <cellStyle name="Input cel new 2 2 2 4" xfId="292"/>
    <cellStyle name="Input cel new 2 2 2 4 2" xfId="900"/>
    <cellStyle name="Input cel new 2 2 2 4 2 2" xfId="1703"/>
    <cellStyle name="Input cel new 2 2 2 4 3" xfId="1203"/>
    <cellStyle name="Input cel new 2 2 2 4 4" xfId="1545"/>
    <cellStyle name="Input cel new 2 2 2 5" xfId="485"/>
    <cellStyle name="Input cel new 2 2 2 5 2" xfId="1093"/>
    <cellStyle name="Input cel new 2 2 2 5 2 2" xfId="1411"/>
    <cellStyle name="Input cel new 2 2 2 5 3" xfId="843"/>
    <cellStyle name="Input cel new 2 2 2 5 4" xfId="731"/>
    <cellStyle name="Input cel new 2 2 2 5 5" xfId="1687"/>
    <cellStyle name="Input cel new 2 2 2 6" xfId="548"/>
    <cellStyle name="Input cel new 2 2 2 6 2" xfId="1474"/>
    <cellStyle name="Input cel new 2 2 2 6 3" xfId="768"/>
    <cellStyle name="Input cel new 2 2 2 7" xfId="948"/>
    <cellStyle name="Input cel new 2 2 2 7 2" xfId="1208"/>
    <cellStyle name="Input cel new 2 2 2 8" xfId="1604"/>
    <cellStyle name="Input cel new 2 2 3" xfId="309"/>
    <cellStyle name="Input cel new 2 2 3 2" xfId="404"/>
    <cellStyle name="Input cel new 2 2 3 2 2" xfId="454"/>
    <cellStyle name="Input cel new 2 2 3 2 2 2" xfId="1065"/>
    <cellStyle name="Input cel new 2 2 3 2 2 2 2" xfId="1380"/>
    <cellStyle name="Input cel new 2 2 3 2 2 3" xfId="1246"/>
    <cellStyle name="Input cel new 2 2 3 2 2 4" xfId="838"/>
    <cellStyle name="Input cel new 2 2 3 2 2 5" xfId="1670"/>
    <cellStyle name="Input cel new 2 2 3 2 3" xfId="518"/>
    <cellStyle name="Input cel new 2 2 3 2 3 2" xfId="1444"/>
    <cellStyle name="Input cel new 2 2 3 2 3 3" xfId="1126"/>
    <cellStyle name="Input cel new 2 2 3 2 4" xfId="580"/>
    <cellStyle name="Input cel new 2 2 3 2 4 2" xfId="1506"/>
    <cellStyle name="Input cel new 2 2 3 2 4 3" xfId="1184"/>
    <cellStyle name="Input cel new 2 2 3 2 5" xfId="1027"/>
    <cellStyle name="Input cel new 2 2 3 2 5 2" xfId="1340"/>
    <cellStyle name="Input cel new 2 2 3 2 6" xfId="1048"/>
    <cellStyle name="Input cel new 2 2 3 2 7" xfId="671"/>
    <cellStyle name="Input cel new 2 2 3 2 8" xfId="1643"/>
    <cellStyle name="Input cel new 2 2 3 3" xfId="335"/>
    <cellStyle name="Input cel new 2 2 3 3 2" xfId="1304"/>
    <cellStyle name="Input cel new 2 2 3 3 2 2" xfId="1730"/>
    <cellStyle name="Input cel new 2 2 3 3 3" xfId="880"/>
    <cellStyle name="Input cel new 2 2 3 3 4" xfId="1543"/>
    <cellStyle name="Input cel new 2 2 3 4" xfId="1282"/>
    <cellStyle name="Input cel new 2 2 3 4 2" xfId="1720"/>
    <cellStyle name="Input cel new 2 2 3 5" xfId="938"/>
    <cellStyle name="Input cel new 2 2 4" xfId="602"/>
    <cellStyle name="Input cel new 2 2 4 2" xfId="1694"/>
    <cellStyle name="Input cel new 2 3" xfId="256"/>
    <cellStyle name="Input cel new 2 3 2" xfId="362"/>
    <cellStyle name="Input cel new 2 3 2 2" xfId="386"/>
    <cellStyle name="Input cel new 2 3 2 2 2" xfId="1009"/>
    <cellStyle name="Input cel new 2 3 2 2 3" xfId="926"/>
    <cellStyle name="Input cel new 2 3 2 2 4" xfId="1221"/>
    <cellStyle name="Input cel new 2 3 2 2 5" xfId="748"/>
    <cellStyle name="Input cel new 2 3 2 2 6" xfId="1626"/>
    <cellStyle name="Input cel new 2 3 2 3" xfId="436"/>
    <cellStyle name="Input cel new 2 3 2 3 2" xfId="1362"/>
    <cellStyle name="Input cel new 2 3 2 3 3" xfId="891"/>
    <cellStyle name="Input cel new 2 3 2 3 4" xfId="810"/>
    <cellStyle name="Input cel new 2 3 2 4" xfId="500"/>
    <cellStyle name="Input cel new 2 3 2 4 2" xfId="1426"/>
    <cellStyle name="Input cel new 2 3 2 4 3" xfId="1108"/>
    <cellStyle name="Input cel new 2 3 2 5" xfId="562"/>
    <cellStyle name="Input cel new 2 3 2 5 2" xfId="1488"/>
    <cellStyle name="Input cel new 2 3 2 5 3" xfId="1166"/>
    <cellStyle name="Input cel new 2 3 2 6" xfId="990"/>
    <cellStyle name="Input cel new 2 3 2 7" xfId="631"/>
    <cellStyle name="Input cel new 2 3 2 8" xfId="1562"/>
    <cellStyle name="Input cel new 2 3 3" xfId="344"/>
    <cellStyle name="Input cel new 2 3 3 2" xfId="418"/>
    <cellStyle name="Input cel new 2 3 3 2 2" xfId="1040"/>
    <cellStyle name="Input cel new 2 3 3 2 2 2" xfId="1345"/>
    <cellStyle name="Input cel new 2 3 3 2 3" xfId="1260"/>
    <cellStyle name="Input cel new 2 3 3 2 4" xfId="793"/>
    <cellStyle name="Input cel new 2 3 3 2 5" xfId="1656"/>
    <cellStyle name="Input cel new 2 3 3 3" xfId="468"/>
    <cellStyle name="Input cel new 2 3 3 3 2" xfId="1079"/>
    <cellStyle name="Input cel new 2 3 3 3 3" xfId="1394"/>
    <cellStyle name="Input cel new 2 3 3 3 4" xfId="853"/>
    <cellStyle name="Input cel new 2 3 3 4" xfId="532"/>
    <cellStyle name="Input cel new 2 3 3 4 2" xfId="1458"/>
    <cellStyle name="Input cel new 2 3 3 4 3" xfId="1140"/>
    <cellStyle name="Input cel new 2 3 3 5" xfId="593"/>
    <cellStyle name="Input cel new 2 3 3 5 2" xfId="1519"/>
    <cellStyle name="Input cel new 2 3 3 5 3" xfId="1197"/>
    <cellStyle name="Input cel new 2 3 3 6" xfId="972"/>
    <cellStyle name="Input cel new 2 3 3 7" xfId="659"/>
    <cellStyle name="Input cel new 2 3 3 8" xfId="617"/>
    <cellStyle name="Input cel new 2 3 3 9" xfId="1531"/>
    <cellStyle name="Input cel new 2 3 4" xfId="271"/>
    <cellStyle name="Input cel new 2 3 4 2" xfId="877"/>
    <cellStyle name="Input cel new 2 3 4 2 2" xfId="1701"/>
    <cellStyle name="Input cel new 2 3 4 3" xfId="823"/>
    <cellStyle name="Input cel new 2 3 4 4" xfId="1579"/>
    <cellStyle name="Input cel new 2 3 5" xfId="482"/>
    <cellStyle name="Input cel new 2 3 5 2" xfId="1090"/>
    <cellStyle name="Input cel new 2 3 5 2 2" xfId="1408"/>
    <cellStyle name="Input cel new 2 3 5 3" xfId="706"/>
    <cellStyle name="Input cel new 2 3 5 4" xfId="728"/>
    <cellStyle name="Input cel new 2 3 5 5" xfId="1684"/>
    <cellStyle name="Input cel new 2 3 6" xfId="545"/>
    <cellStyle name="Input cel new 2 3 6 2" xfId="1471"/>
    <cellStyle name="Input cel new 2 3 6 3" xfId="765"/>
    <cellStyle name="Input cel new 2 3 7" xfId="947"/>
    <cellStyle name="Input cel new 2 3 7 2" xfId="884"/>
    <cellStyle name="Input cel new 2 3 8" xfId="1597"/>
    <cellStyle name="Input cel new 2 4" xfId="276"/>
    <cellStyle name="Input cel new 2 4 2" xfId="395"/>
    <cellStyle name="Input cel new 2 4 2 2" xfId="445"/>
    <cellStyle name="Input cel new 2 4 2 2 2" xfId="1056"/>
    <cellStyle name="Input cel new 2 4 2 2 2 2" xfId="1371"/>
    <cellStyle name="Input cel new 2 4 2 2 3" xfId="1243"/>
    <cellStyle name="Input cel new 2 4 2 2 4" xfId="829"/>
    <cellStyle name="Input cel new 2 4 2 2 5" xfId="1664"/>
    <cellStyle name="Input cel new 2 4 2 3" xfId="509"/>
    <cellStyle name="Input cel new 2 4 2 3 2" xfId="1435"/>
    <cellStyle name="Input cel new 2 4 2 3 3" xfId="1117"/>
    <cellStyle name="Input cel new 2 4 2 4" xfId="571"/>
    <cellStyle name="Input cel new 2 4 2 4 2" xfId="1497"/>
    <cellStyle name="Input cel new 2 4 2 4 3" xfId="1175"/>
    <cellStyle name="Input cel new 2 4 2 5" xfId="1018"/>
    <cellStyle name="Input cel new 2 4 2 5 2" xfId="1334"/>
    <cellStyle name="Input cel new 2 4 2 6" xfId="908"/>
    <cellStyle name="Input cel new 2 4 2 7" xfId="674"/>
    <cellStyle name="Input cel new 2 4 2 8" xfId="1634"/>
    <cellStyle name="Input cel new 2 4 3" xfId="334"/>
    <cellStyle name="Input cel new 2 4 3 2" xfId="1303"/>
    <cellStyle name="Input cel new 2 4 3 2 2" xfId="1729"/>
    <cellStyle name="Input cel new 2 4 3 3" xfId="719"/>
    <cellStyle name="Input cel new 2 4 3 4" xfId="1537"/>
    <cellStyle name="Input cel new 2 4 4" xfId="1268"/>
    <cellStyle name="Input cel new 2 4 4 2" xfId="1716"/>
    <cellStyle name="Input cel new 2 4 5" xfId="1153"/>
    <cellStyle name="Input cel new 2 5" xfId="303"/>
    <cellStyle name="Input cel new 2 5 2" xfId="1581"/>
    <cellStyle name="Input cel new 2 6" xfId="599"/>
    <cellStyle name="Input cel new 2 6 2" xfId="1691"/>
    <cellStyle name="Input cel new 3" xfId="25"/>
    <cellStyle name="Input cel new 3 2" xfId="213"/>
    <cellStyle name="Input cel new 3 2 2" xfId="260"/>
    <cellStyle name="Input cel new 3 2 2 2" xfId="366"/>
    <cellStyle name="Input cel new 3 2 2 2 2" xfId="390"/>
    <cellStyle name="Input cel new 3 2 2 2 2 2" xfId="1013"/>
    <cellStyle name="Input cel new 3 2 2 2 2 3" xfId="930"/>
    <cellStyle name="Input cel new 3 2 2 2 2 4" xfId="1225"/>
    <cellStyle name="Input cel new 3 2 2 2 2 5" xfId="752"/>
    <cellStyle name="Input cel new 3 2 2 2 2 6" xfId="1630"/>
    <cellStyle name="Input cel new 3 2 2 2 3" xfId="440"/>
    <cellStyle name="Input cel new 3 2 2 2 3 2" xfId="1366"/>
    <cellStyle name="Input cel new 3 2 2 2 3 3" xfId="707"/>
    <cellStyle name="Input cel new 3 2 2 2 3 4" xfId="814"/>
    <cellStyle name="Input cel new 3 2 2 2 4" xfId="504"/>
    <cellStyle name="Input cel new 3 2 2 2 4 2" xfId="1430"/>
    <cellStyle name="Input cel new 3 2 2 2 4 3" xfId="1112"/>
    <cellStyle name="Input cel new 3 2 2 2 5" xfId="566"/>
    <cellStyle name="Input cel new 3 2 2 2 5 2" xfId="1492"/>
    <cellStyle name="Input cel new 3 2 2 2 5 3" xfId="1170"/>
    <cellStyle name="Input cel new 3 2 2 2 6" xfId="994"/>
    <cellStyle name="Input cel new 3 2 2 2 7" xfId="640"/>
    <cellStyle name="Input cel new 3 2 2 2 8" xfId="1538"/>
    <cellStyle name="Input cel new 3 2 2 3" xfId="348"/>
    <cellStyle name="Input cel new 3 2 2 3 2" xfId="422"/>
    <cellStyle name="Input cel new 3 2 2 3 2 2" xfId="1044"/>
    <cellStyle name="Input cel new 3 2 2 3 2 2 2" xfId="1349"/>
    <cellStyle name="Input cel new 3 2 2 3 2 3" xfId="1264"/>
    <cellStyle name="Input cel new 3 2 2 3 2 4" xfId="797"/>
    <cellStyle name="Input cel new 3 2 2 3 2 5" xfId="1660"/>
    <cellStyle name="Input cel new 3 2 2 3 3" xfId="472"/>
    <cellStyle name="Input cel new 3 2 2 3 3 2" xfId="1083"/>
    <cellStyle name="Input cel new 3 2 2 3 3 3" xfId="1398"/>
    <cellStyle name="Input cel new 3 2 2 3 3 4" xfId="857"/>
    <cellStyle name="Input cel new 3 2 2 3 4" xfId="536"/>
    <cellStyle name="Input cel new 3 2 2 3 4 2" xfId="1462"/>
    <cellStyle name="Input cel new 3 2 2 3 4 3" xfId="1144"/>
    <cellStyle name="Input cel new 3 2 2 3 5" xfId="597"/>
    <cellStyle name="Input cel new 3 2 2 3 5 2" xfId="1523"/>
    <cellStyle name="Input cel new 3 2 2 3 5 3" xfId="1201"/>
    <cellStyle name="Input cel new 3 2 2 3 6" xfId="976"/>
    <cellStyle name="Input cel new 3 2 2 3 7" xfId="820"/>
    <cellStyle name="Input cel new 3 2 2 3 8" xfId="621"/>
    <cellStyle name="Input cel new 3 2 2 3 9" xfId="1560"/>
    <cellStyle name="Input cel new 3 2 2 4" xfId="299"/>
    <cellStyle name="Input cel new 3 2 2 4 2" xfId="896"/>
    <cellStyle name="Input cel new 3 2 2 4 2 2" xfId="1702"/>
    <cellStyle name="Input cel new 3 2 2 4 3" xfId="1204"/>
    <cellStyle name="Input cel new 3 2 2 4 4" xfId="1582"/>
    <cellStyle name="Input cel new 3 2 2 5" xfId="486"/>
    <cellStyle name="Input cel new 3 2 2 5 2" xfId="1094"/>
    <cellStyle name="Input cel new 3 2 2 5 2 2" xfId="1412"/>
    <cellStyle name="Input cel new 3 2 2 5 3" xfId="1216"/>
    <cellStyle name="Input cel new 3 2 2 5 4" xfId="732"/>
    <cellStyle name="Input cel new 3 2 2 5 5" xfId="1688"/>
    <cellStyle name="Input cel new 3 2 2 6" xfId="549"/>
    <cellStyle name="Input cel new 3 2 2 6 2" xfId="1475"/>
    <cellStyle name="Input cel new 3 2 2 6 3" xfId="769"/>
    <cellStyle name="Input cel new 3 2 2 7" xfId="932"/>
    <cellStyle name="Input cel new 3 2 2 7 2" xfId="1209"/>
    <cellStyle name="Input cel new 3 2 2 8" xfId="1608"/>
    <cellStyle name="Input cel new 3 2 3" xfId="308"/>
    <cellStyle name="Input cel new 3 2 3 2" xfId="403"/>
    <cellStyle name="Input cel new 3 2 3 2 2" xfId="453"/>
    <cellStyle name="Input cel new 3 2 3 2 2 2" xfId="1064"/>
    <cellStyle name="Input cel new 3 2 3 2 2 2 2" xfId="1379"/>
    <cellStyle name="Input cel new 3 2 3 2 2 3" xfId="1205"/>
    <cellStyle name="Input cel new 3 2 3 2 2 4" xfId="837"/>
    <cellStyle name="Input cel new 3 2 3 2 2 5" xfId="1669"/>
    <cellStyle name="Input cel new 3 2 3 2 3" xfId="517"/>
    <cellStyle name="Input cel new 3 2 3 2 3 2" xfId="1443"/>
    <cellStyle name="Input cel new 3 2 3 2 3 3" xfId="1125"/>
    <cellStyle name="Input cel new 3 2 3 2 4" xfId="579"/>
    <cellStyle name="Input cel new 3 2 3 2 4 2" xfId="1505"/>
    <cellStyle name="Input cel new 3 2 3 2 4 3" xfId="1183"/>
    <cellStyle name="Input cel new 3 2 3 2 5" xfId="1026"/>
    <cellStyle name="Input cel new 3 2 3 2 5 2" xfId="1339"/>
    <cellStyle name="Input cel new 3 2 3 2 6" xfId="892"/>
    <cellStyle name="Input cel new 3 2 3 2 7" xfId="672"/>
    <cellStyle name="Input cel new 3 2 3 2 8" xfId="1642"/>
    <cellStyle name="Input cel new 3 2 3 3" xfId="336"/>
    <cellStyle name="Input cel new 3 2 3 3 2" xfId="1305"/>
    <cellStyle name="Input cel new 3 2 3 3 2 2" xfId="1731"/>
    <cellStyle name="Input cel new 3 2 3 3 3" xfId="881"/>
    <cellStyle name="Input cel new 3 2 3 3 4" xfId="1526"/>
    <cellStyle name="Input cel new 3 2 3 4" xfId="1308"/>
    <cellStyle name="Input cel new 3 2 3 4 2" xfId="1734"/>
    <cellStyle name="Input cel new 3 2 3 5" xfId="701"/>
    <cellStyle name="Input cel new 3 2 4" xfId="603"/>
    <cellStyle name="Input cel new 3 2 4 2" xfId="1695"/>
    <cellStyle name="Input cel new 3 3" xfId="257"/>
    <cellStyle name="Input cel new 3 3 2" xfId="363"/>
    <cellStyle name="Input cel new 3 3 2 2" xfId="387"/>
    <cellStyle name="Input cel new 3 3 2 2 2" xfId="1010"/>
    <cellStyle name="Input cel new 3 3 2 2 3" xfId="927"/>
    <cellStyle name="Input cel new 3 3 2 2 4" xfId="1222"/>
    <cellStyle name="Input cel new 3 3 2 2 5" xfId="749"/>
    <cellStyle name="Input cel new 3 3 2 2 6" xfId="1627"/>
    <cellStyle name="Input cel new 3 3 2 3" xfId="437"/>
    <cellStyle name="Input cel new 3 3 2 3 2" xfId="1363"/>
    <cellStyle name="Input cel new 3 3 2 3 3" xfId="1049"/>
    <cellStyle name="Input cel new 3 3 2 3 4" xfId="811"/>
    <cellStyle name="Input cel new 3 3 2 4" xfId="501"/>
    <cellStyle name="Input cel new 3 3 2 4 2" xfId="1427"/>
    <cellStyle name="Input cel new 3 3 2 4 3" xfId="1109"/>
    <cellStyle name="Input cel new 3 3 2 5" xfId="563"/>
    <cellStyle name="Input cel new 3 3 2 5 2" xfId="1489"/>
    <cellStyle name="Input cel new 3 3 2 5 3" xfId="1167"/>
    <cellStyle name="Input cel new 3 3 2 6" xfId="991"/>
    <cellStyle name="Input cel new 3 3 2 7" xfId="676"/>
    <cellStyle name="Input cel new 3 3 2 8" xfId="1556"/>
    <cellStyle name="Input cel new 3 3 3" xfId="345"/>
    <cellStyle name="Input cel new 3 3 3 2" xfId="419"/>
    <cellStyle name="Input cel new 3 3 3 2 2" xfId="1041"/>
    <cellStyle name="Input cel new 3 3 3 2 2 2" xfId="1346"/>
    <cellStyle name="Input cel new 3 3 3 2 3" xfId="1261"/>
    <cellStyle name="Input cel new 3 3 3 2 4" xfId="794"/>
    <cellStyle name="Input cel new 3 3 3 2 5" xfId="1657"/>
    <cellStyle name="Input cel new 3 3 3 3" xfId="469"/>
    <cellStyle name="Input cel new 3 3 3 3 2" xfId="1080"/>
    <cellStyle name="Input cel new 3 3 3 3 3" xfId="1395"/>
    <cellStyle name="Input cel new 3 3 3 3 4" xfId="854"/>
    <cellStyle name="Input cel new 3 3 3 4" xfId="533"/>
    <cellStyle name="Input cel new 3 3 3 4 2" xfId="1459"/>
    <cellStyle name="Input cel new 3 3 3 4 3" xfId="1141"/>
    <cellStyle name="Input cel new 3 3 3 5" xfId="594"/>
    <cellStyle name="Input cel new 3 3 3 5 2" xfId="1520"/>
    <cellStyle name="Input cel new 3 3 3 5 3" xfId="1198"/>
    <cellStyle name="Input cel new 3 3 3 6" xfId="973"/>
    <cellStyle name="Input cel new 3 3 3 7" xfId="675"/>
    <cellStyle name="Input cel new 3 3 3 8" xfId="618"/>
    <cellStyle name="Input cel new 3 3 3 9" xfId="1574"/>
    <cellStyle name="Input cel new 3 3 4" xfId="317"/>
    <cellStyle name="Input cel new 3 3 4 2" xfId="954"/>
    <cellStyle name="Input cel new 3 3 4 2 2" xfId="1706"/>
    <cellStyle name="Input cel new 3 3 4 3" xfId="634"/>
    <cellStyle name="Input cel new 3 3 4 4" xfId="1593"/>
    <cellStyle name="Input cel new 3 3 5" xfId="483"/>
    <cellStyle name="Input cel new 3 3 5 2" xfId="1091"/>
    <cellStyle name="Input cel new 3 3 5 2 2" xfId="1409"/>
    <cellStyle name="Input cel new 3 3 5 3" xfId="653"/>
    <cellStyle name="Input cel new 3 3 5 4" xfId="729"/>
    <cellStyle name="Input cel new 3 3 5 5" xfId="1685"/>
    <cellStyle name="Input cel new 3 3 6" xfId="546"/>
    <cellStyle name="Input cel new 3 3 6 2" xfId="1472"/>
    <cellStyle name="Input cel new 3 3 6 3" xfId="766"/>
    <cellStyle name="Input cel new 3 3 7" xfId="933"/>
    <cellStyle name="Input cel new 3 3 7 2" xfId="679"/>
    <cellStyle name="Input cel new 3 3 8" xfId="1601"/>
    <cellStyle name="Input cel new 3 4" xfId="275"/>
    <cellStyle name="Input cel new 3 4 2" xfId="394"/>
    <cellStyle name="Input cel new 3 4 2 2" xfId="444"/>
    <cellStyle name="Input cel new 3 4 2 2 2" xfId="1055"/>
    <cellStyle name="Input cel new 3 4 2 2 2 2" xfId="1370"/>
    <cellStyle name="Input cel new 3 4 2 2 3" xfId="1045"/>
    <cellStyle name="Input cel new 3 4 2 2 4" xfId="828"/>
    <cellStyle name="Input cel new 3 4 2 2 5" xfId="1663"/>
    <cellStyle name="Input cel new 3 4 2 3" xfId="508"/>
    <cellStyle name="Input cel new 3 4 2 3 2" xfId="1434"/>
    <cellStyle name="Input cel new 3 4 2 3 3" xfId="1116"/>
    <cellStyle name="Input cel new 3 4 2 4" xfId="570"/>
    <cellStyle name="Input cel new 3 4 2 4 2" xfId="1496"/>
    <cellStyle name="Input cel new 3 4 2 4 3" xfId="1174"/>
    <cellStyle name="Input cel new 3 4 2 5" xfId="1017"/>
    <cellStyle name="Input cel new 3 4 2 5 2" xfId="1333"/>
    <cellStyle name="Input cel new 3 4 2 6" xfId="680"/>
    <cellStyle name="Input cel new 3 4 2 7" xfId="628"/>
    <cellStyle name="Input cel new 3 4 2 8" xfId="1633"/>
    <cellStyle name="Input cel new 3 4 3" xfId="306"/>
    <cellStyle name="Input cel new 3 4 3 2" xfId="1287"/>
    <cellStyle name="Input cel new 3 4 3 2 2" xfId="1722"/>
    <cellStyle name="Input cel new 3 4 3 3" xfId="867"/>
    <cellStyle name="Input cel new 3 4 3 4" xfId="1554"/>
    <cellStyle name="Input cel new 3 4 4" xfId="1292"/>
    <cellStyle name="Input cel new 3 4 4 2" xfId="1725"/>
    <cellStyle name="Input cel new 3 4 5" xfId="913"/>
    <cellStyle name="Input cel new 3 5" xfId="370"/>
    <cellStyle name="Input cel new 3 5 2" xfId="1611"/>
    <cellStyle name="Input cel new 3 6" xfId="600"/>
    <cellStyle name="Input cel new 3 6 2" xfId="1692"/>
    <cellStyle name="Input cel new 4" xfId="211"/>
    <cellStyle name="Input cel new 4 2" xfId="258"/>
    <cellStyle name="Input cel new 4 2 2" xfId="364"/>
    <cellStyle name="Input cel new 4 2 2 2" xfId="388"/>
    <cellStyle name="Input cel new 4 2 2 2 2" xfId="1011"/>
    <cellStyle name="Input cel new 4 2 2 2 3" xfId="928"/>
    <cellStyle name="Input cel new 4 2 2 2 4" xfId="1223"/>
    <cellStyle name="Input cel new 4 2 2 2 5" xfId="750"/>
    <cellStyle name="Input cel new 4 2 2 2 6" xfId="1628"/>
    <cellStyle name="Input cel new 4 2 2 3" xfId="438"/>
    <cellStyle name="Input cel new 4 2 2 3 2" xfId="1364"/>
    <cellStyle name="Input cel new 4 2 2 3 3" xfId="655"/>
    <cellStyle name="Input cel new 4 2 2 3 4" xfId="812"/>
    <cellStyle name="Input cel new 4 2 2 4" xfId="502"/>
    <cellStyle name="Input cel new 4 2 2 4 2" xfId="1428"/>
    <cellStyle name="Input cel new 4 2 2 4 3" xfId="1110"/>
    <cellStyle name="Input cel new 4 2 2 5" xfId="564"/>
    <cellStyle name="Input cel new 4 2 2 5 2" xfId="1490"/>
    <cellStyle name="Input cel new 4 2 2 5 3" xfId="1168"/>
    <cellStyle name="Input cel new 4 2 2 6" xfId="992"/>
    <cellStyle name="Input cel new 4 2 2 7" xfId="704"/>
    <cellStyle name="Input cel new 4 2 2 8" xfId="1555"/>
    <cellStyle name="Input cel new 4 2 3" xfId="346"/>
    <cellStyle name="Input cel new 4 2 3 2" xfId="420"/>
    <cellStyle name="Input cel new 4 2 3 2 2" xfId="1042"/>
    <cellStyle name="Input cel new 4 2 3 2 2 2" xfId="1347"/>
    <cellStyle name="Input cel new 4 2 3 2 3" xfId="1262"/>
    <cellStyle name="Input cel new 4 2 3 2 4" xfId="795"/>
    <cellStyle name="Input cel new 4 2 3 2 5" xfId="1658"/>
    <cellStyle name="Input cel new 4 2 3 3" xfId="470"/>
    <cellStyle name="Input cel new 4 2 3 3 2" xfId="1081"/>
    <cellStyle name="Input cel new 4 2 3 3 3" xfId="1396"/>
    <cellStyle name="Input cel new 4 2 3 3 4" xfId="855"/>
    <cellStyle name="Input cel new 4 2 3 4" xfId="534"/>
    <cellStyle name="Input cel new 4 2 3 4 2" xfId="1460"/>
    <cellStyle name="Input cel new 4 2 3 4 3" xfId="1142"/>
    <cellStyle name="Input cel new 4 2 3 5" xfId="595"/>
    <cellStyle name="Input cel new 4 2 3 5 2" xfId="1521"/>
    <cellStyle name="Input cel new 4 2 3 5 3" xfId="1199"/>
    <cellStyle name="Input cel new 4 2 3 6" xfId="974"/>
    <cellStyle name="Input cel new 4 2 3 7" xfId="645"/>
    <cellStyle name="Input cel new 4 2 3 8" xfId="619"/>
    <cellStyle name="Input cel new 4 2 3 9" xfId="1571"/>
    <cellStyle name="Input cel new 4 2 4" xfId="320"/>
    <cellStyle name="Input cel new 4 2 4 2" xfId="956"/>
    <cellStyle name="Input cel new 4 2 4 2 2" xfId="1707"/>
    <cellStyle name="Input cel new 4 2 4 3" xfId="1202"/>
    <cellStyle name="Input cel new 4 2 4 4" xfId="1583"/>
    <cellStyle name="Input cel new 4 2 5" xfId="484"/>
    <cellStyle name="Input cel new 4 2 5 2" xfId="1092"/>
    <cellStyle name="Input cel new 4 2 5 2 2" xfId="1410"/>
    <cellStyle name="Input cel new 4 2 5 3" xfId="858"/>
    <cellStyle name="Input cel new 4 2 5 4" xfId="730"/>
    <cellStyle name="Input cel new 4 2 5 5" xfId="1686"/>
    <cellStyle name="Input cel new 4 2 6" xfId="547"/>
    <cellStyle name="Input cel new 4 2 6 2" xfId="1473"/>
    <cellStyle name="Input cel new 4 2 6 3" xfId="767"/>
    <cellStyle name="Input cel new 4 2 7" xfId="643"/>
    <cellStyle name="Input cel new 4 2 7 2" xfId="817"/>
    <cellStyle name="Input cel new 4 2 8" xfId="1530"/>
    <cellStyle name="Input cel new 4 3" xfId="310"/>
    <cellStyle name="Input cel new 4 3 2" xfId="405"/>
    <cellStyle name="Input cel new 4 3 2 2" xfId="455"/>
    <cellStyle name="Input cel new 4 3 2 2 2" xfId="1066"/>
    <cellStyle name="Input cel new 4 3 2 2 2 2" xfId="1381"/>
    <cellStyle name="Input cel new 4 3 2 2 3" xfId="1247"/>
    <cellStyle name="Input cel new 4 3 2 2 4" xfId="839"/>
    <cellStyle name="Input cel new 4 3 2 2 5" xfId="1671"/>
    <cellStyle name="Input cel new 4 3 2 3" xfId="519"/>
    <cellStyle name="Input cel new 4 3 2 3 2" xfId="1445"/>
    <cellStyle name="Input cel new 4 3 2 3 3" xfId="1127"/>
    <cellStyle name="Input cel new 4 3 2 4" xfId="581"/>
    <cellStyle name="Input cel new 4 3 2 4 2" xfId="1507"/>
    <cellStyle name="Input cel new 4 3 2 4 3" xfId="1185"/>
    <cellStyle name="Input cel new 4 3 2 5" xfId="1028"/>
    <cellStyle name="Input cel new 4 3 2 5 2" xfId="1341"/>
    <cellStyle name="Input cel new 4 3 2 6" xfId="642"/>
    <cellStyle name="Input cel new 4 3 2 7" xfId="714"/>
    <cellStyle name="Input cel new 4 3 2 8" xfId="1644"/>
    <cellStyle name="Input cel new 4 3 3" xfId="333"/>
    <cellStyle name="Input cel new 4 3 3 2" xfId="1302"/>
    <cellStyle name="Input cel new 4 3 3 2 2" xfId="1728"/>
    <cellStyle name="Input cel new 4 3 3 3" xfId="879"/>
    <cellStyle name="Input cel new 4 3 3 4" xfId="1577"/>
    <cellStyle name="Input cel new 4 3 4" xfId="1288"/>
    <cellStyle name="Input cel new 4 3 4 2" xfId="1723"/>
    <cellStyle name="Input cel new 4 3 5" xfId="703"/>
    <cellStyle name="Input cel new 4 4" xfId="601"/>
    <cellStyle name="Input cel new 4 4 2" xfId="1693"/>
    <cellStyle name="Input cel new 5" xfId="255"/>
    <cellStyle name="Input cel new 5 2" xfId="352"/>
    <cellStyle name="Input cel new 5 2 2" xfId="376"/>
    <cellStyle name="Input cel new 5 2 2 2" xfId="999"/>
    <cellStyle name="Input cel new 5 2 2 3" xfId="916"/>
    <cellStyle name="Input cel new 5 2 2 4" xfId="1220"/>
    <cellStyle name="Input cel new 5 2 2 5" xfId="738"/>
    <cellStyle name="Input cel new 5 2 2 6" xfId="1616"/>
    <cellStyle name="Input cel new 5 2 3" xfId="426"/>
    <cellStyle name="Input cel new 5 2 3 2" xfId="1352"/>
    <cellStyle name="Input cel new 5 2 3 3" xfId="1235"/>
    <cellStyle name="Input cel new 5 2 3 4" xfId="800"/>
    <cellStyle name="Input cel new 5 2 4" xfId="490"/>
    <cellStyle name="Input cel new 5 2 4 2" xfId="1416"/>
    <cellStyle name="Input cel new 5 2 4 3" xfId="1098"/>
    <cellStyle name="Input cel new 5 2 5" xfId="552"/>
    <cellStyle name="Input cel new 5 2 5 2" xfId="1478"/>
    <cellStyle name="Input cel new 5 2 5 3" xfId="1156"/>
    <cellStyle name="Input cel new 5 2 6" xfId="980"/>
    <cellStyle name="Input cel new 5 2 7" xfId="696"/>
    <cellStyle name="Input cel new 5 2 8" xfId="1563"/>
    <cellStyle name="Input cel new 5 3" xfId="343"/>
    <cellStyle name="Input cel new 5 3 2" xfId="417"/>
    <cellStyle name="Input cel new 5 3 2 2" xfId="1039"/>
    <cellStyle name="Input cel new 5 3 2 2 2" xfId="1344"/>
    <cellStyle name="Input cel new 5 3 2 3" xfId="1259"/>
    <cellStyle name="Input cel new 5 3 2 4" xfId="792"/>
    <cellStyle name="Input cel new 5 3 2 5" xfId="1655"/>
    <cellStyle name="Input cel new 5 3 3" xfId="467"/>
    <cellStyle name="Input cel new 5 3 3 2" xfId="1078"/>
    <cellStyle name="Input cel new 5 3 3 3" xfId="1393"/>
    <cellStyle name="Input cel new 5 3 3 4" xfId="852"/>
    <cellStyle name="Input cel new 5 3 4" xfId="531"/>
    <cellStyle name="Input cel new 5 3 4 2" xfId="1457"/>
    <cellStyle name="Input cel new 5 3 4 3" xfId="1139"/>
    <cellStyle name="Input cel new 5 3 5" xfId="592"/>
    <cellStyle name="Input cel new 5 3 5 2" xfId="1518"/>
    <cellStyle name="Input cel new 5 3 5 3" xfId="1196"/>
    <cellStyle name="Input cel new 5 3 6" xfId="971"/>
    <cellStyle name="Input cel new 5 3 7" xfId="718"/>
    <cellStyle name="Input cel new 5 3 8" xfId="616"/>
    <cellStyle name="Input cel new 5 3 9" xfId="1569"/>
    <cellStyle name="Input cel new 5 4" xfId="322"/>
    <cellStyle name="Input cel new 5 4 2" xfId="958"/>
    <cellStyle name="Input cel new 5 4 2 2" xfId="1709"/>
    <cellStyle name="Input cel new 5 4 3" xfId="770"/>
    <cellStyle name="Input cel new 5 4 4" xfId="1609"/>
    <cellStyle name="Input cel new 5 5" xfId="481"/>
    <cellStyle name="Input cel new 5 5 2" xfId="1089"/>
    <cellStyle name="Input cel new 5 5 2 2" xfId="1407"/>
    <cellStyle name="Input cel new 5 5 3" xfId="1217"/>
    <cellStyle name="Input cel new 5 5 4" xfId="727"/>
    <cellStyle name="Input cel new 5 5 5" xfId="1683"/>
    <cellStyle name="Input cel new 5 6" xfId="544"/>
    <cellStyle name="Input cel new 5 6 2" xfId="1470"/>
    <cellStyle name="Input cel new 5 6 3" xfId="764"/>
    <cellStyle name="Input cel new 5 7" xfId="661"/>
    <cellStyle name="Input cel new 5 7 2" xfId="651"/>
    <cellStyle name="Input cel new 5 8" xfId="1584"/>
    <cellStyle name="Input cel new 6" xfId="300"/>
    <cellStyle name="Input cel new 6 2" xfId="399"/>
    <cellStyle name="Input cel new 6 2 2" xfId="449"/>
    <cellStyle name="Input cel new 6 2 2 2" xfId="1060"/>
    <cellStyle name="Input cel new 6 2 2 2 2" xfId="1375"/>
    <cellStyle name="Input cel new 6 2 2 3" xfId="1212"/>
    <cellStyle name="Input cel new 6 2 2 4" xfId="833"/>
    <cellStyle name="Input cel new 6 2 2 5" xfId="1668"/>
    <cellStyle name="Input cel new 6 2 3" xfId="513"/>
    <cellStyle name="Input cel new 6 2 3 2" xfId="1439"/>
    <cellStyle name="Input cel new 6 2 3 3" xfId="1121"/>
    <cellStyle name="Input cel new 6 2 4" xfId="575"/>
    <cellStyle name="Input cel new 6 2 4 2" xfId="1501"/>
    <cellStyle name="Input cel new 6 2 4 3" xfId="1179"/>
    <cellStyle name="Input cel new 6 2 5" xfId="1022"/>
    <cellStyle name="Input cel new 6 2 5 2" xfId="1338"/>
    <cellStyle name="Input cel new 6 2 6" xfId="842"/>
    <cellStyle name="Input cel new 6 2 7" xfId="692"/>
    <cellStyle name="Input cel new 6 2 8" xfId="1638"/>
    <cellStyle name="Input cel new 6 3" xfId="368"/>
    <cellStyle name="Input cel new 6 3 2" xfId="1312"/>
    <cellStyle name="Input cel new 6 3 2 2" xfId="1736"/>
    <cellStyle name="Input cel new 6 3 3" xfId="876"/>
    <cellStyle name="Input cel new 6 3 4" xfId="1610"/>
    <cellStyle name="Input cel new 6 4" xfId="784"/>
    <cellStyle name="Input cel new 6 4 2" xfId="1700"/>
    <cellStyle name="Input cel new 6 5" xfId="686"/>
    <cellStyle name="Input cel new 7" xfId="285"/>
    <cellStyle name="Input cel new 7 2" xfId="1544"/>
    <cellStyle name="Input cel new 8" xfId="598"/>
    <cellStyle name="Input cel new 8 2" xfId="1690"/>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eutral 3" xfId="273"/>
    <cellStyle name="Normal" xfId="0" builtinId="0"/>
    <cellStyle name="Normal 10" xfId="150"/>
    <cellStyle name="Normal 10 2" xfId="209"/>
    <cellStyle name="Normal 10 3" xfId="229"/>
    <cellStyle name="Normal 11" xfId="156"/>
    <cellStyle name="Normal 12" xfId="202"/>
    <cellStyle name="Normal 13" xfId="203"/>
    <cellStyle name="Normal 13 2" xfId="266"/>
    <cellStyle name="Normal 13 3" xfId="265"/>
    <cellStyle name="Normal 14" xfId="196"/>
    <cellStyle name="Normal 15" xfId="217"/>
    <cellStyle name="Normal 15 2" xfId="1152"/>
    <cellStyle name="Normal 15 3" xfId="697"/>
    <cellStyle name="Normal 16" xfId="218"/>
    <cellStyle name="Normal 16 2" xfId="912"/>
    <cellStyle name="Normal 16 3" xfId="639"/>
    <cellStyle name="Normal 17" xfId="195"/>
    <cellStyle name="Normal 18" xfId="261"/>
    <cellStyle name="Normal 19" xfId="262"/>
    <cellStyle name="Normal 2" xfId="3"/>
    <cellStyle name="Normal 2 2" xfId="32"/>
    <cellStyle name="Normal 2 3" xfId="230"/>
    <cellStyle name="Normal 20" xfId="264"/>
    <cellStyle name="Normal 21" xfId="263"/>
    <cellStyle name="Normal 22" xfId="268"/>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Numbers (0.00) 2 2" xfId="355"/>
    <cellStyle name="Normal GHG Numbers (0.00) 2 2 2" xfId="379"/>
    <cellStyle name="Normal GHG Numbers (0.00) 2 2 2 2" xfId="1002"/>
    <cellStyle name="Normal GHG Numbers (0.00) 2 2 2 2 2" xfId="1321"/>
    <cellStyle name="Normal GHG Numbers (0.00) 2 2 2 3" xfId="919"/>
    <cellStyle name="Normal GHG Numbers (0.00) 2 2 2 4" xfId="904"/>
    <cellStyle name="Normal GHG Numbers (0.00) 2 2 2 5" xfId="741"/>
    <cellStyle name="Normal GHG Numbers (0.00) 2 2 2 6" xfId="1619"/>
    <cellStyle name="Normal GHG Numbers (0.00) 2 2 3" xfId="429"/>
    <cellStyle name="Normal GHG Numbers (0.00) 2 2 3 2" xfId="1355"/>
    <cellStyle name="Normal GHG Numbers (0.00) 2 2 3 3" xfId="803"/>
    <cellStyle name="Normal GHG Numbers (0.00) 2 2 4" xfId="493"/>
    <cellStyle name="Normal GHG Numbers (0.00) 2 2 4 2" xfId="1419"/>
    <cellStyle name="Normal GHG Numbers (0.00) 2 2 4 3" xfId="1101"/>
    <cellStyle name="Normal GHG Numbers (0.00) 2 2 5" xfId="555"/>
    <cellStyle name="Normal GHG Numbers (0.00) 2 2 5 2" xfId="1481"/>
    <cellStyle name="Normal GHG Numbers (0.00) 2 2 5 3" xfId="1159"/>
    <cellStyle name="Normal GHG Numbers (0.00) 2 2 6" xfId="983"/>
    <cellStyle name="Normal GHG Numbers (0.00) 2 2 7" xfId="782"/>
    <cellStyle name="Normal GHG Numbers (0.00) 2 2 8" xfId="1575"/>
    <cellStyle name="Normal GHG Numbers (0.00) 2 3" xfId="301"/>
    <cellStyle name="Normal GHG Numbers (0.00) 2 3 2" xfId="400"/>
    <cellStyle name="Normal GHG Numbers (0.00) 2 3 2 2" xfId="1023"/>
    <cellStyle name="Normal GHG Numbers (0.00) 2 3 2 3" xfId="1227"/>
    <cellStyle name="Normal GHG Numbers (0.00) 2 3 2 4" xfId="776"/>
    <cellStyle name="Normal GHG Numbers (0.00) 2 3 2 5" xfId="1639"/>
    <cellStyle name="Normal GHG Numbers (0.00) 2 3 3" xfId="450"/>
    <cellStyle name="Normal GHG Numbers (0.00) 2 3 3 2" xfId="1061"/>
    <cellStyle name="Normal GHG Numbers (0.00) 2 3 3 2 2" xfId="1376"/>
    <cellStyle name="Normal GHG Numbers (0.00) 2 3 3 3" xfId="670"/>
    <cellStyle name="Normal GHG Numbers (0.00) 2 3 3 4" xfId="834"/>
    <cellStyle name="Normal GHG Numbers (0.00) 2 3 4" xfId="514"/>
    <cellStyle name="Normal GHG Numbers (0.00) 2 3 4 2" xfId="1440"/>
    <cellStyle name="Normal GHG Numbers (0.00) 2 3 4 3" xfId="1122"/>
    <cellStyle name="Normal GHG Numbers (0.00) 2 3 5" xfId="576"/>
    <cellStyle name="Normal GHG Numbers (0.00) 2 3 5 2" xfId="1502"/>
    <cellStyle name="Normal GHG Numbers (0.00) 2 3 5 3" xfId="1180"/>
    <cellStyle name="Normal GHG Numbers (0.00) 2 3 6" xfId="906"/>
    <cellStyle name="Normal GHG Numbers (0.00) 2 3 7" xfId="1047"/>
    <cellStyle name="Normal GHG Numbers (0.00) 2 3 8" xfId="606"/>
    <cellStyle name="Normal GHG Numbers (0.00) 2 3 9" xfId="1553"/>
    <cellStyle name="Normal GHG Numbers (0.00) 2 4" xfId="349"/>
    <cellStyle name="Normal GHG Numbers (0.00) 2 4 2" xfId="977"/>
    <cellStyle name="Normal GHG Numbers (0.00) 2 4 2 2" xfId="1309"/>
    <cellStyle name="Normal GHG Numbers (0.00) 2 4 2 3" xfId="1714"/>
    <cellStyle name="Normal GHG Numbers (0.00) 2 4 3" xfId="1218"/>
    <cellStyle name="Normal GHG Numbers (0.00) 2 4 4" xfId="700"/>
    <cellStyle name="Normal GHG Numbers (0.00) 2 4 5" xfId="1528"/>
    <cellStyle name="Normal GHG Numbers (0.00) 2 5" xfId="373"/>
    <cellStyle name="Normal GHG Numbers (0.00) 2 5 2" xfId="1316"/>
    <cellStyle name="Normal GHG Numbers (0.00) 2 5 3" xfId="705"/>
    <cellStyle name="Normal GHG Numbers (0.00) 2 5 4" xfId="1613"/>
    <cellStyle name="Normal GHG Numbers (0.00) 2 6" xfId="369"/>
    <cellStyle name="Normal GHG Numbers (0.00) 2 6 2" xfId="1313"/>
    <cellStyle name="Normal GHG Numbers (0.00) 2 6 3" xfId="995"/>
    <cellStyle name="Normal GHG Numbers (0.00) 2 7" xfId="862"/>
    <cellStyle name="Normal GHG Numbers (0.00) 2 7 2" xfId="1219"/>
    <cellStyle name="Normal GHG Numbers (0.00) 2 8" xfId="626"/>
    <cellStyle name="Normal GHG Numbers (0.00) 2 9" xfId="1587"/>
    <cellStyle name="Normal GHG Numbers (0.00) 3" xfId="274"/>
    <cellStyle name="Normal GHG Numbers (0.00) 3 2" xfId="393"/>
    <cellStyle name="Normal GHG Numbers (0.00) 3 2 2" xfId="443"/>
    <cellStyle name="Normal GHG Numbers (0.00) 3 2 2 2" xfId="1369"/>
    <cellStyle name="Normal GHG Numbers (0.00) 3 2 2 3" xfId="757"/>
    <cellStyle name="Normal GHG Numbers (0.00) 3 2 2 4" xfId="1054"/>
    <cellStyle name="Normal GHG Numbers (0.00) 3 2 2 5" xfId="1662"/>
    <cellStyle name="Normal GHG Numbers (0.00) 3 2 3" xfId="507"/>
    <cellStyle name="Normal GHG Numbers (0.00) 3 2 3 2" xfId="1433"/>
    <cellStyle name="Normal GHG Numbers (0.00) 3 2 3 3" xfId="1115"/>
    <cellStyle name="Normal GHG Numbers (0.00) 3 2 4" xfId="569"/>
    <cellStyle name="Normal GHG Numbers (0.00) 3 2 4 2" xfId="1495"/>
    <cellStyle name="Normal GHG Numbers (0.00) 3 2 4 3" xfId="1173"/>
    <cellStyle name="Normal GHG Numbers (0.00) 3 2 5" xfId="1016"/>
    <cellStyle name="Normal GHG Numbers (0.00) 3 2 5 2" xfId="1332"/>
    <cellStyle name="Normal GHG Numbers (0.00) 3 2 6" xfId="936"/>
    <cellStyle name="Normal GHG Numbers (0.00) 3 2 7" xfId="819"/>
    <cellStyle name="Normal GHG Numbers (0.00) 3 2 8" xfId="827"/>
    <cellStyle name="Normal GHG Numbers (0.00) 3 2 9" xfId="1632"/>
    <cellStyle name="Normal GHG Numbers (0.00) 3 3" xfId="277"/>
    <cellStyle name="Normal GHG Numbers (0.00) 3 3 2" xfId="1269"/>
    <cellStyle name="Normal GHG Numbers (0.00) 3 3 2 2" xfId="1717"/>
    <cellStyle name="Normal GHG Numbers (0.00) 3 3 3" xfId="875"/>
    <cellStyle name="Normal GHG Numbers (0.00) 3 3 4" xfId="1552"/>
    <cellStyle name="Normal GHG Numbers (0.00) 3 4" xfId="1306"/>
    <cellStyle name="Normal GHG Numbers (0.00) 3 4 2" xfId="1732"/>
    <cellStyle name="Normal GHG Numbers (0.00) 3 5" xfId="887"/>
    <cellStyle name="Normal GHG Numbers (0.00) 3 6" xfId="673"/>
    <cellStyle name="Normal GHG Textfiels Bold" xfId="233"/>
    <cellStyle name="Normal GHG Textfiels Bold 2" xfId="353"/>
    <cellStyle name="Normal GHG Textfiels Bold 2 2" xfId="377"/>
    <cellStyle name="Normal GHG Textfiels Bold 2 2 2" xfId="1000"/>
    <cellStyle name="Normal GHG Textfiels Bold 2 2 2 2" xfId="1319"/>
    <cellStyle name="Normal GHG Textfiels Bold 2 2 3" xfId="917"/>
    <cellStyle name="Normal GHG Textfiels Bold 2 2 4" xfId="771"/>
    <cellStyle name="Normal GHG Textfiels Bold 2 2 5" xfId="739"/>
    <cellStyle name="Normal GHG Textfiels Bold 2 2 6" xfId="1617"/>
    <cellStyle name="Normal GHG Textfiels Bold 2 3" xfId="427"/>
    <cellStyle name="Normal GHG Textfiels Bold 2 3 2" xfId="1353"/>
    <cellStyle name="Normal GHG Textfiels Bold 2 3 3" xfId="801"/>
    <cellStyle name="Normal GHG Textfiels Bold 2 4" xfId="491"/>
    <cellStyle name="Normal GHG Textfiels Bold 2 4 2" xfId="1417"/>
    <cellStyle name="Normal GHG Textfiels Bold 2 4 3" xfId="1099"/>
    <cellStyle name="Normal GHG Textfiels Bold 2 5" xfId="553"/>
    <cellStyle name="Normal GHG Textfiels Bold 2 5 2" xfId="1479"/>
    <cellStyle name="Normal GHG Textfiels Bold 2 5 3" xfId="1157"/>
    <cellStyle name="Normal GHG Textfiels Bold 2 6" xfId="981"/>
    <cellStyle name="Normal GHG Textfiels Bold 2 7" xfId="756"/>
    <cellStyle name="Normal GHG Textfiels Bold 2 8" xfId="1558"/>
    <cellStyle name="Normal GHG Textfiels Bold 3" xfId="319"/>
    <cellStyle name="Normal GHG Textfiels Bold 3 2" xfId="410"/>
    <cellStyle name="Normal GHG Textfiels Bold 3 2 2" xfId="1032"/>
    <cellStyle name="Normal GHG Textfiels Bold 3 2 3" xfId="1233"/>
    <cellStyle name="Normal GHG Textfiels Bold 3 2 4" xfId="785"/>
    <cellStyle name="Normal GHG Textfiels Bold 3 2 5" xfId="1648"/>
    <cellStyle name="Normal GHG Textfiels Bold 3 3" xfId="460"/>
    <cellStyle name="Normal GHG Textfiels Bold 3 3 2" xfId="1071"/>
    <cellStyle name="Normal GHG Textfiels Bold 3 3 2 2" xfId="1386"/>
    <cellStyle name="Normal GHG Textfiels Bold 3 3 3" xfId="1252"/>
    <cellStyle name="Normal GHG Textfiels Bold 3 3 4" xfId="845"/>
    <cellStyle name="Normal GHG Textfiels Bold 3 4" xfId="524"/>
    <cellStyle name="Normal GHG Textfiels Bold 3 4 2" xfId="1450"/>
    <cellStyle name="Normal GHG Textfiels Bold 3 4 3" xfId="1132"/>
    <cellStyle name="Normal GHG Textfiels Bold 3 5" xfId="585"/>
    <cellStyle name="Normal GHG Textfiels Bold 3 5 2" xfId="1511"/>
    <cellStyle name="Normal GHG Textfiels Bold 3 5 3" xfId="1189"/>
    <cellStyle name="Normal GHG Textfiels Bold 3 6" xfId="955"/>
    <cellStyle name="Normal GHG Textfiels Bold 3 7" xfId="910"/>
    <cellStyle name="Normal GHG Textfiels Bold 3 8" xfId="607"/>
    <cellStyle name="Normal GHG Textfiels Bold 3 9" xfId="1591"/>
    <cellStyle name="Normal GHG Textfiels Bold 4" xfId="324"/>
    <cellStyle name="Normal GHG Textfiels Bold 4 2" xfId="959"/>
    <cellStyle name="Normal GHG Textfiels Bold 4 2 2" xfId="1296"/>
    <cellStyle name="Normal GHG Textfiels Bold 4 2 3" xfId="1710"/>
    <cellStyle name="Normal GHG Textfiels Bold 4 3" xfId="1206"/>
    <cellStyle name="Normal GHG Textfiels Bold 4 4" xfId="635"/>
    <cellStyle name="Normal GHG Textfiels Bold 4 5" xfId="1525"/>
    <cellStyle name="Normal GHG Textfiels Bold 5" xfId="288"/>
    <cellStyle name="Normal GHG Textfiels Bold 5 2" xfId="1278"/>
    <cellStyle name="Normal GHG Textfiels Bold 5 3" xfId="716"/>
    <cellStyle name="Normal GHG Textfiels Bold 5 4" xfId="1536"/>
    <cellStyle name="Normal GHG Textfiels Bold 6" xfId="371"/>
    <cellStyle name="Normal GHG Textfiels Bold 6 2" xfId="1314"/>
    <cellStyle name="Normal GHG Textfiels Bold 6 3" xfId="996"/>
    <cellStyle name="Normal GHG Textfiels Bold 7" xfId="861"/>
    <cellStyle name="Normal GHG Textfiels Bold 7 2" xfId="709"/>
    <cellStyle name="Normal GHG Textfiels Bold 8" xfId="656"/>
    <cellStyle name="Normal GHG Textfiels Bold 9" xfId="1599"/>
    <cellStyle name="Normal GHG whole table" xfId="234"/>
    <cellStyle name="Normal GHG whole table 2" xfId="351"/>
    <cellStyle name="Normal GHG whole table 2 2" xfId="375"/>
    <cellStyle name="Normal GHG whole table 2 2 2" xfId="998"/>
    <cellStyle name="Normal GHG whole table 2 2 2 2" xfId="1318"/>
    <cellStyle name="Normal GHG whole table 2 2 3" xfId="915"/>
    <cellStyle name="Normal GHG whole table 2 2 4" xfId="821"/>
    <cellStyle name="Normal GHG whole table 2 2 5" xfId="737"/>
    <cellStyle name="Normal GHG whole table 2 2 6" xfId="1615"/>
    <cellStyle name="Normal GHG whole table 2 3" xfId="425"/>
    <cellStyle name="Normal GHG whole table 2 3 2" xfId="1351"/>
    <cellStyle name="Normal GHG whole table 2 3 3" xfId="799"/>
    <cellStyle name="Normal GHG whole table 2 4" xfId="489"/>
    <cellStyle name="Normal GHG whole table 2 4 2" xfId="1415"/>
    <cellStyle name="Normal GHG whole table 2 4 3" xfId="1097"/>
    <cellStyle name="Normal GHG whole table 2 5" xfId="551"/>
    <cellStyle name="Normal GHG whole table 2 5 2" xfId="1477"/>
    <cellStyle name="Normal GHG whole table 2 5 3" xfId="1155"/>
    <cellStyle name="Normal GHG whole table 2 6" xfId="979"/>
    <cellStyle name="Normal GHG whole table 2 7" xfId="650"/>
    <cellStyle name="Normal GHG whole table 2 8" xfId="1559"/>
    <cellStyle name="Normal GHG whole table 3" xfId="311"/>
    <cellStyle name="Normal GHG whole table 3 2" xfId="406"/>
    <cellStyle name="Normal GHG whole table 3 2 2" xfId="1029"/>
    <cellStyle name="Normal GHG whole table 3 2 3" xfId="1230"/>
    <cellStyle name="Normal GHG whole table 3 2 4" xfId="781"/>
    <cellStyle name="Normal GHG whole table 3 2 5" xfId="1645"/>
    <cellStyle name="Normal GHG whole table 3 3" xfId="456"/>
    <cellStyle name="Normal GHG whole table 3 3 2" xfId="1067"/>
    <cellStyle name="Normal GHG whole table 3 3 2 2" xfId="1382"/>
    <cellStyle name="Normal GHG whole table 3 3 3" xfId="1248"/>
    <cellStyle name="Normal GHG whole table 3 3 4" xfId="840"/>
    <cellStyle name="Normal GHG whole table 3 4" xfId="520"/>
    <cellStyle name="Normal GHG whole table 3 4 2" xfId="1446"/>
    <cellStyle name="Normal GHG whole table 3 4 3" xfId="1128"/>
    <cellStyle name="Normal GHG whole table 3 5" xfId="582"/>
    <cellStyle name="Normal GHG whole table 3 5 2" xfId="1508"/>
    <cellStyle name="Normal GHG whole table 3 5 3" xfId="1186"/>
    <cellStyle name="Normal GHG whole table 3 6" xfId="951"/>
    <cellStyle name="Normal GHG whole table 3 7" xfId="654"/>
    <cellStyle name="Normal GHG whole table 3 8" xfId="608"/>
    <cellStyle name="Normal GHG whole table 3 9" xfId="1606"/>
    <cellStyle name="Normal GHG whole table 4" xfId="282"/>
    <cellStyle name="Normal GHG whole table 4 2" xfId="721"/>
    <cellStyle name="Normal GHG whole table 4 2 2" xfId="1274"/>
    <cellStyle name="Normal GHG whole table 4 2 3" xfId="1698"/>
    <cellStyle name="Normal GHG whole table 4 3" xfId="865"/>
    <cellStyle name="Normal GHG whole table 4 4" xfId="708"/>
    <cellStyle name="Normal GHG whole table 4 5" xfId="1532"/>
    <cellStyle name="Normal GHG whole table 5" xfId="304"/>
    <cellStyle name="Normal GHG whole table 5 2" xfId="1286"/>
    <cellStyle name="Normal GHG whole table 5 3" xfId="669"/>
    <cellStyle name="Normal GHG whole table 5 4" xfId="1535"/>
    <cellStyle name="Normal GHG whole table 6" xfId="326"/>
    <cellStyle name="Normal GHG whole table 6 2" xfId="1298"/>
    <cellStyle name="Normal GHG whole table 6 3" xfId="961"/>
    <cellStyle name="Normal GHG whole table 7" xfId="901"/>
    <cellStyle name="Normal GHG whole table 7 2" xfId="1266"/>
    <cellStyle name="Normal GHG whole table 8" xfId="688"/>
    <cellStyle name="Normal GHG whole table 9" xfId="1540"/>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attern 2" xfId="358"/>
    <cellStyle name="Pattern 2 2" xfId="382"/>
    <cellStyle name="Pattern 2 2 2" xfId="1005"/>
    <cellStyle name="Pattern 2 2 2 2" xfId="1324"/>
    <cellStyle name="Pattern 2 2 3" xfId="922"/>
    <cellStyle name="Pattern 2 2 4" xfId="1234"/>
    <cellStyle name="Pattern 2 2 5" xfId="744"/>
    <cellStyle name="Pattern 2 2 6" xfId="1622"/>
    <cellStyle name="Pattern 2 3" xfId="432"/>
    <cellStyle name="Pattern 2 3 2" xfId="1358"/>
    <cellStyle name="Pattern 2 3 3" xfId="806"/>
    <cellStyle name="Pattern 2 4" xfId="496"/>
    <cellStyle name="Pattern 2 4 2" xfId="1422"/>
    <cellStyle name="Pattern 2 4 3" xfId="1104"/>
    <cellStyle name="Pattern 2 5" xfId="558"/>
    <cellStyle name="Pattern 2 5 2" xfId="1484"/>
    <cellStyle name="Pattern 2 5 3" xfId="1162"/>
    <cellStyle name="Pattern 2 6" xfId="986"/>
    <cellStyle name="Pattern 2 7" xfId="677"/>
    <cellStyle name="Pattern 2 8" xfId="1586"/>
    <cellStyle name="Pattern 3" xfId="305"/>
    <cellStyle name="Pattern 3 2" xfId="401"/>
    <cellStyle name="Pattern 3 2 2" xfId="1024"/>
    <cellStyle name="Pattern 3 2 3" xfId="1228"/>
    <cellStyle name="Pattern 3 2 4" xfId="777"/>
    <cellStyle name="Pattern 3 2 5" xfId="1640"/>
    <cellStyle name="Pattern 3 3" xfId="451"/>
    <cellStyle name="Pattern 3 3 2" xfId="1062"/>
    <cellStyle name="Pattern 3 3 2 2" xfId="1377"/>
    <cellStyle name="Pattern 3 3 3" xfId="638"/>
    <cellStyle name="Pattern 3 3 4" xfId="835"/>
    <cellStyle name="Pattern 3 4" xfId="515"/>
    <cellStyle name="Pattern 3 4 2" xfId="1441"/>
    <cellStyle name="Pattern 3 4 3" xfId="1123"/>
    <cellStyle name="Pattern 3 5" xfId="577"/>
    <cellStyle name="Pattern 3 5 2" xfId="1503"/>
    <cellStyle name="Pattern 3 5 3" xfId="1181"/>
    <cellStyle name="Pattern 3 6" xfId="905"/>
    <cellStyle name="Pattern 3 7" xfId="633"/>
    <cellStyle name="Pattern 3 8" xfId="609"/>
    <cellStyle name="Pattern 3 9" xfId="1566"/>
    <cellStyle name="Pattern 4" xfId="325"/>
    <cellStyle name="Pattern 4 2" xfId="960"/>
    <cellStyle name="Pattern 4 2 2" xfId="1297"/>
    <cellStyle name="Pattern 4 2 3" xfId="1711"/>
    <cellStyle name="Pattern 4 3" xfId="1210"/>
    <cellStyle name="Pattern 4 4" xfId="625"/>
    <cellStyle name="Pattern 4 5" xfId="1598"/>
    <cellStyle name="Pattern 5" xfId="474"/>
    <cellStyle name="Pattern 5 2" xfId="1400"/>
    <cellStyle name="Pattern 5 3" xfId="623"/>
    <cellStyle name="Pattern 5 4" xfId="1676"/>
    <cellStyle name="Pattern 6" xfId="286"/>
    <cellStyle name="Pattern 6 2" xfId="1277"/>
    <cellStyle name="Pattern 6 3" xfId="864"/>
    <cellStyle name="Pattern 7" xfId="878"/>
    <cellStyle name="Pattern 7 2" xfId="1310"/>
    <cellStyle name="Pattern 8" xfId="885"/>
    <cellStyle name="Pattern 9" xfId="1595"/>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abeltitel 2" xfId="267"/>
    <cellStyle name="Tabeltitel 2 2" xfId="367"/>
    <cellStyle name="Tabeltitel 2 2 2" xfId="423"/>
    <cellStyle name="Tabeltitel 2 2 2 2" xfId="473"/>
    <cellStyle name="Tabeltitel 2 2 2 2 2" xfId="1084"/>
    <cellStyle name="Tabeltitel 2 2 2 2 2 2" xfId="1399"/>
    <cellStyle name="Tabeltitel 2 2 2 2 3" xfId="1265"/>
    <cellStyle name="Tabeltitel 2 2 2 2 4" xfId="949"/>
    <cellStyle name="Tabeltitel 2 2 2 2 5" xfId="1675"/>
    <cellStyle name="Tabeltitel 2 2 2 3" xfId="537"/>
    <cellStyle name="Tabeltitel 2 2 2 3 2" xfId="1463"/>
    <cellStyle name="Tabeltitel 2 2 2 3 3" xfId="1145"/>
    <cellStyle name="Tabeltitel 2 2 2 4" xfId="931"/>
    <cellStyle name="Tabeltitel 2 2 2 5" xfId="1226"/>
    <cellStyle name="Tabeltitel 2 2 2 6" xfId="753"/>
    <cellStyle name="Tabeltitel 2 2 3" xfId="391"/>
    <cellStyle name="Tabeltitel 2 2 3 2" xfId="1014"/>
    <cellStyle name="Tabeltitel 2 2 3 3" xfId="1330"/>
    <cellStyle name="Tabeltitel 2 2 3 4" xfId="934"/>
    <cellStyle name="Tabeltitel 2 2 4" xfId="441"/>
    <cellStyle name="Tabeltitel 2 2 4 2" xfId="1367"/>
    <cellStyle name="Tabeltitel 2 2 4 3" xfId="1052"/>
    <cellStyle name="Tabeltitel 2 2 5" xfId="505"/>
    <cellStyle name="Tabeltitel 2 2 5 2" xfId="1431"/>
    <cellStyle name="Tabeltitel 2 2 5 3" xfId="1113"/>
    <cellStyle name="Tabeltitel 2 2 6" xfId="567"/>
    <cellStyle name="Tabeltitel 2 2 6 2" xfId="1493"/>
    <cellStyle name="Tabeltitel 2 2 6 3" xfId="1171"/>
    <cellStyle name="Tabeltitel 2 2 7" xfId="755"/>
    <cellStyle name="Tabeltitel 2 2 8" xfId="712"/>
    <cellStyle name="Tabeltitel 2 3" xfId="487"/>
    <cellStyle name="Tabeltitel 2 3 2" xfId="1095"/>
    <cellStyle name="Tabeltitel 2 3 2 2" xfId="1413"/>
    <cellStyle name="Tabeltitel 2 3 3" xfId="902"/>
    <cellStyle name="Tabeltitel 2 3 4" xfId="1207"/>
    <cellStyle name="Tabeltitel 2 3 5" xfId="720"/>
    <cellStyle name="Tabeltitel 2 3 6" xfId="1689"/>
    <cellStyle name="Tabeltitel 2 4" xfId="734"/>
    <cellStyle name="Tabeltitel 2 4 2" xfId="685"/>
    <cellStyle name="Tabeltitel 2 4 3" xfId="773"/>
    <cellStyle name="Tabeltitel 2 5" xfId="663"/>
    <cellStyle name="Tabeltitel 2 6" xfId="622"/>
    <cellStyle name="Tabeltitel 3" xfId="314"/>
    <cellStyle name="Tabeltitel 3 2" xfId="408"/>
    <cellStyle name="Tabeltitel 3 2 2" xfId="458"/>
    <cellStyle name="Tabeltitel 3 2 2 2" xfId="1069"/>
    <cellStyle name="Tabeltitel 3 2 2 2 2" xfId="1384"/>
    <cellStyle name="Tabeltitel 3 2 2 3" xfId="1250"/>
    <cellStyle name="Tabeltitel 3 2 2 4" xfId="944"/>
    <cellStyle name="Tabeltitel 3 2 2 5" xfId="1673"/>
    <cellStyle name="Tabeltitel 3 2 3" xfId="522"/>
    <cellStyle name="Tabeltitel 3 2 3 2" xfId="1448"/>
    <cellStyle name="Tabeltitel 3 2 3 3" xfId="1130"/>
    <cellStyle name="Tabeltitel 3 2 4" xfId="907"/>
    <cellStyle name="Tabeltitel 3 2 5" xfId="882"/>
    <cellStyle name="Tabeltitel 3 2 6" xfId="689"/>
    <cellStyle name="Tabeltitel 3 3" xfId="331"/>
    <cellStyle name="Tabeltitel 3 3 2" xfId="963"/>
    <cellStyle name="Tabeltitel 3 3 2 2" xfId="1300"/>
    <cellStyle name="Tabeltitel 3 3 3" xfId="1231"/>
    <cellStyle name="Tabeltitel 3 3 4" xfId="868"/>
    <cellStyle name="Tabeltitel 3 4" xfId="313"/>
    <cellStyle name="Tabeltitel 3 4 2" xfId="1290"/>
    <cellStyle name="Tabeltitel 3 4 3" xfId="952"/>
    <cellStyle name="Tabeltitel 3 5" xfId="283"/>
    <cellStyle name="Tabeltitel 3 5 2" xfId="1275"/>
    <cellStyle name="Tabeltitel 3 5 3" xfId="717"/>
    <cellStyle name="Tabeltitel 3 6" xfId="284"/>
    <cellStyle name="Tabeltitel 3 6 2" xfId="1276"/>
    <cellStyle name="Tabeltitel 3 6 3" xfId="779"/>
    <cellStyle name="Tabeltitel 3 7" xfId="1328"/>
    <cellStyle name="Tabeltitel 3 8" xfId="1050"/>
    <cellStyle name="Tabeltitel 3 9" xfId="604"/>
    <cellStyle name="Tabeltitel 4" xfId="279"/>
    <cellStyle name="Tabeltitel 4 2" xfId="899"/>
    <cellStyle name="Tabeltitel 4 2 2" xfId="1271"/>
    <cellStyle name="Tabeltitel 4 3" xfId="774"/>
    <cellStyle name="Tabeltitel 4 4" xfId="818"/>
    <cellStyle name="Tabeltitel 4 5" xfId="662"/>
    <cellStyle name="Tabeltitel 4 6" xfId="1547"/>
    <cellStyle name="Tabeltitel 5" xfId="684"/>
    <cellStyle name="Tabeltitel 5 2" xfId="866"/>
    <cellStyle name="Tabeltitel 5 3" xfId="825"/>
    <cellStyle name="Tabeltitel 6" xfId="652"/>
    <cellStyle name="Tabeltitel 7" xfId="287"/>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5">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dxf>
    <dxf>
      <numFmt numFmtId="178" formatCode="0.0%"/>
    </dxf>
    <dxf>
      <numFmt numFmtId="178" formatCode="0.0%"/>
    </dxf>
    <dxf>
      <numFmt numFmtId="178" formatCode="0.0%"/>
      <fill>
        <patternFill patternType="none">
          <fgColor indexed="64"/>
          <bgColor indexed="65"/>
        </patternFill>
      </fill>
    </dxf>
    <dxf>
      <numFmt numFmtId="178" formatCode="0.0%"/>
    </dxf>
    <dxf>
      <numFmt numFmtId="178"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5" customFormat="1" ht="20.25" customHeight="1">
      <c r="A2" s="397" t="s">
        <v>736</v>
      </c>
      <c r="B2" s="398"/>
      <c r="C2" s="399"/>
    </row>
    <row r="3" spans="1:7" s="12" customFormat="1" ht="15" customHeight="1">
      <c r="A3" s="94"/>
      <c r="B3" s="75"/>
      <c r="C3" s="95"/>
    </row>
    <row r="4" spans="1:7" s="12" customFormat="1" ht="15.75" customHeight="1" thickBot="1">
      <c r="A4" s="106" t="s">
        <v>946</v>
      </c>
      <c r="B4" s="107"/>
      <c r="C4" s="108"/>
    </row>
    <row r="5" spans="1:7" s="392" customFormat="1" ht="15.75" customHeight="1">
      <c r="A5" s="389" t="s">
        <v>0</v>
      </c>
      <c r="B5" s="390"/>
      <c r="C5" s="391"/>
    </row>
    <row r="6" spans="1:7" s="392" customFormat="1" ht="15" customHeight="1">
      <c r="A6" s="393" t="str">
        <f>txtNIS</f>
        <v>31006</v>
      </c>
      <c r="B6" s="394"/>
      <c r="C6" s="395"/>
    </row>
    <row r="7" spans="1:7" s="392" customFormat="1" ht="15.75" customHeight="1">
      <c r="A7" s="396" t="str">
        <f>txtMunicipality</f>
        <v>DAMME</v>
      </c>
      <c r="B7" s="394"/>
      <c r="C7" s="395"/>
    </row>
    <row r="8" spans="1:7" ht="15.75" thickBot="1">
      <c r="A8" s="46"/>
      <c r="B8" s="109"/>
      <c r="C8" s="110"/>
    </row>
    <row r="9" spans="1:7" s="385" customFormat="1" ht="15.75" thickBot="1">
      <c r="A9" s="409" t="s">
        <v>356</v>
      </c>
      <c r="B9" s="412"/>
      <c r="C9" s="413"/>
    </row>
    <row r="10" spans="1:7" s="16" customFormat="1" ht="57.75" customHeight="1" thickBot="1">
      <c r="A10" s="1068" t="s">
        <v>683</v>
      </c>
      <c r="B10" s="1069"/>
      <c r="C10" s="1070"/>
    </row>
    <row r="11" spans="1:7" s="386" customFormat="1" ht="15.75" thickBot="1">
      <c r="A11" s="409" t="s">
        <v>359</v>
      </c>
      <c r="B11" s="412"/>
      <c r="C11" s="413"/>
      <c r="G11" s="387"/>
    </row>
    <row r="12" spans="1:7">
      <c r="A12" s="45"/>
      <c r="B12" s="44"/>
      <c r="C12" s="97"/>
    </row>
    <row r="13" spans="1:7" s="386" customFormat="1">
      <c r="A13" s="763" t="s">
        <v>633</v>
      </c>
      <c r="B13" s="383"/>
      <c r="C13" s="384"/>
      <c r="D13" s="385"/>
      <c r="E13" s="385"/>
      <c r="G13" s="387"/>
    </row>
    <row r="14" spans="1:7" s="386" customFormat="1">
      <c r="A14" s="388"/>
      <c r="B14" s="383"/>
      <c r="C14" s="384"/>
      <c r="D14" s="385"/>
      <c r="E14" s="385"/>
      <c r="G14" s="387"/>
    </row>
    <row r="15" spans="1:7" s="16" customFormat="1" ht="15.75" thickBot="1">
      <c r="A15" s="98"/>
      <c r="B15" s="44"/>
      <c r="C15" s="97"/>
      <c r="D15"/>
      <c r="E15"/>
      <c r="G15" s="69"/>
    </row>
    <row r="16" spans="1:7" s="385" customFormat="1" ht="32.25" customHeight="1" thickBot="1">
      <c r="A16" s="409" t="s">
        <v>360</v>
      </c>
      <c r="B16" s="1071" t="s">
        <v>537</v>
      </c>
      <c r="C16" s="1072"/>
    </row>
    <row r="17" spans="1:3" s="16" customFormat="1" ht="15.75">
      <c r="A17" s="99"/>
      <c r="B17" s="71"/>
      <c r="C17" s="100"/>
    </row>
    <row r="18" spans="1:3">
      <c r="A18" s="96" t="s">
        <v>363</v>
      </c>
      <c r="B18" s="70" t="s">
        <v>375</v>
      </c>
      <c r="C18" s="101" t="s">
        <v>374</v>
      </c>
    </row>
    <row r="19" spans="1:3" s="338" customFormat="1">
      <c r="A19" s="376" t="s">
        <v>361</v>
      </c>
      <c r="B19" s="377" t="s">
        <v>681</v>
      </c>
      <c r="C19" s="378" t="s">
        <v>535</v>
      </c>
    </row>
    <row r="20" spans="1:3" s="338" customFormat="1">
      <c r="A20" s="379"/>
      <c r="B20" s="335"/>
      <c r="C20" s="380"/>
    </row>
    <row r="21" spans="1:3" s="338" customFormat="1">
      <c r="A21" s="381" t="s">
        <v>362</v>
      </c>
      <c r="B21" s="377" t="s">
        <v>532</v>
      </c>
      <c r="C21" s="378" t="s">
        <v>536</v>
      </c>
    </row>
    <row r="22" spans="1:3" s="338" customFormat="1">
      <c r="A22" s="382"/>
      <c r="B22" s="335"/>
      <c r="C22" s="380"/>
    </row>
    <row r="23" spans="1:3" s="338" customFormat="1" ht="30">
      <c r="A23" s="376" t="s">
        <v>449</v>
      </c>
      <c r="B23" s="448" t="s">
        <v>453</v>
      </c>
      <c r="C23" s="378" t="s">
        <v>533</v>
      </c>
    </row>
    <row r="24" spans="1:3" s="338" customFormat="1">
      <c r="A24" s="382"/>
      <c r="B24" s="335"/>
      <c r="C24" s="380"/>
    </row>
    <row r="25" spans="1:3" s="338" customFormat="1">
      <c r="A25" s="376" t="s">
        <v>451</v>
      </c>
      <c r="B25" s="377" t="s">
        <v>450</v>
      </c>
      <c r="C25" s="378" t="s">
        <v>534</v>
      </c>
    </row>
    <row r="26" spans="1:3" s="338" customFormat="1">
      <c r="A26" s="382"/>
      <c r="B26" s="335"/>
      <c r="C26" s="380"/>
    </row>
    <row r="27" spans="1:3" s="338" customFormat="1">
      <c r="A27" s="376" t="s">
        <v>422</v>
      </c>
      <c r="B27" s="377" t="s">
        <v>448</v>
      </c>
      <c r="C27" s="378"/>
    </row>
    <row r="28" spans="1:3" s="338" customFormat="1">
      <c r="A28" s="382"/>
      <c r="B28" s="335" t="s">
        <v>590</v>
      </c>
      <c r="C28" s="380"/>
    </row>
    <row r="29" spans="1:3" ht="15.75" thickBot="1">
      <c r="A29" s="45"/>
      <c r="B29" s="44"/>
      <c r="C29" s="97"/>
    </row>
    <row r="30" spans="1:3" s="385" customFormat="1" ht="15.75" thickBot="1">
      <c r="A30" s="409" t="s">
        <v>372</v>
      </c>
      <c r="B30" s="410"/>
      <c r="C30" s="411"/>
    </row>
    <row r="31" spans="1:3" s="16" customFormat="1" ht="15.75">
      <c r="A31" s="99"/>
      <c r="B31" s="72"/>
      <c r="C31" s="103"/>
    </row>
    <row r="32" spans="1:3" s="16" customFormat="1">
      <c r="A32" s="104" t="s">
        <v>373</v>
      </c>
      <c r="B32" s="74" t="s">
        <v>375</v>
      </c>
      <c r="C32" s="105"/>
    </row>
    <row r="33" spans="1:3" s="403" customFormat="1">
      <c r="A33" s="400" t="s">
        <v>364</v>
      </c>
      <c r="B33" s="401" t="s">
        <v>376</v>
      </c>
      <c r="C33" s="402"/>
    </row>
    <row r="34" spans="1:3" s="403" customFormat="1">
      <c r="A34" s="404" t="s">
        <v>365</v>
      </c>
      <c r="B34" s="405" t="s">
        <v>366</v>
      </c>
      <c r="C34" s="406"/>
    </row>
    <row r="35" spans="1:3" s="403" customFormat="1">
      <c r="A35" s="407" t="s">
        <v>367</v>
      </c>
      <c r="B35" s="405" t="s">
        <v>368</v>
      </c>
      <c r="C35" s="406"/>
    </row>
    <row r="36" spans="1:3" s="403" customFormat="1">
      <c r="A36" s="408" t="s">
        <v>369</v>
      </c>
      <c r="B36" s="405" t="s">
        <v>370</v>
      </c>
      <c r="C36" s="406"/>
    </row>
    <row r="37" spans="1:3" s="403" customFormat="1" ht="30">
      <c r="A37" s="436" t="s">
        <v>371</v>
      </c>
      <c r="B37" s="405" t="s">
        <v>481</v>
      </c>
      <c r="C37" s="406"/>
    </row>
    <row r="38" spans="1:3" ht="15.75" thickBot="1">
      <c r="A38" s="437"/>
      <c r="B38" s="438"/>
      <c r="C38" s="43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5" customWidth="1"/>
    <col min="2" max="2" width="15" style="455" customWidth="1"/>
    <col min="3" max="3" width="25.140625" style="455" customWidth="1"/>
    <col min="4" max="4" width="15" style="455" customWidth="1"/>
    <col min="5" max="5" width="40.5703125" style="455" customWidth="1"/>
    <col min="6" max="6" width="14.85546875" style="455" customWidth="1"/>
    <col min="7" max="7" width="6.5703125" style="455" bestFit="1" customWidth="1"/>
    <col min="8" max="8" width="8.140625" style="455" bestFit="1" customWidth="1"/>
    <col min="9" max="9" width="15.7109375" style="455" customWidth="1"/>
    <col min="10" max="10" width="15.42578125" style="455" customWidth="1"/>
    <col min="11" max="11" width="17.42578125" style="455" customWidth="1"/>
    <col min="12" max="12" width="14.5703125" style="455" customWidth="1"/>
    <col min="13" max="13" width="15.5703125" style="455" customWidth="1"/>
    <col min="14" max="14" width="17.85546875" style="455" customWidth="1"/>
    <col min="15" max="15" width="26.42578125" style="455" bestFit="1" customWidth="1"/>
    <col min="16" max="16" width="43.5703125" style="455" customWidth="1"/>
    <col min="17" max="17" width="9.140625" style="455"/>
    <col min="18" max="18" width="20.42578125" style="455" customWidth="1"/>
    <col min="19" max="16384" width="9.140625" style="455"/>
  </cols>
  <sheetData>
    <row r="1" spans="1:16" ht="15.75" customHeight="1" outlineLevel="1" thickTop="1" thickBot="1">
      <c r="A1" s="1185" t="s">
        <v>387</v>
      </c>
      <c r="B1" s="1186" t="s">
        <v>194</v>
      </c>
      <c r="C1" s="1187"/>
      <c r="D1" s="1187"/>
      <c r="E1" s="1187"/>
      <c r="F1" s="1187"/>
      <c r="G1" s="1187"/>
      <c r="H1" s="1187"/>
      <c r="I1" s="1187"/>
      <c r="J1" s="1187"/>
      <c r="K1" s="1187"/>
      <c r="L1" s="1187"/>
      <c r="M1" s="1187"/>
      <c r="N1" s="1187"/>
      <c r="O1" s="1187"/>
      <c r="P1" s="1187"/>
    </row>
    <row r="2" spans="1:16" ht="15" customHeight="1" outlineLevel="1" thickTop="1">
      <c r="A2" s="1185"/>
      <c r="B2" s="1188" t="s">
        <v>20</v>
      </c>
      <c r="C2" s="1188" t="s">
        <v>195</v>
      </c>
      <c r="D2" s="1189" t="s">
        <v>196</v>
      </c>
      <c r="E2" s="1190"/>
      <c r="F2" s="1190"/>
      <c r="G2" s="1190"/>
      <c r="H2" s="1190"/>
      <c r="I2" s="1190"/>
      <c r="J2" s="1190"/>
      <c r="K2" s="1191"/>
      <c r="L2" s="1189" t="s">
        <v>197</v>
      </c>
      <c r="M2" s="1190"/>
      <c r="N2" s="1190"/>
      <c r="O2" s="1190"/>
      <c r="P2" s="1191"/>
    </row>
    <row r="3" spans="1:16" ht="56.25" customHeight="1" outlineLevel="1">
      <c r="A3" s="1185"/>
      <c r="B3" s="1168"/>
      <c r="C3" s="1168"/>
      <c r="D3" s="454" t="s">
        <v>198</v>
      </c>
      <c r="E3" s="454" t="s">
        <v>199</v>
      </c>
      <c r="F3" s="454" t="s">
        <v>200</v>
      </c>
      <c r="G3" s="454" t="s">
        <v>201</v>
      </c>
      <c r="H3" s="454" t="s">
        <v>119</v>
      </c>
      <c r="I3" s="454" t="s">
        <v>202</v>
      </c>
      <c r="J3" s="454" t="s">
        <v>203</v>
      </c>
      <c r="K3" s="454" t="s">
        <v>204</v>
      </c>
      <c r="L3" s="454" t="s">
        <v>205</v>
      </c>
      <c r="M3" s="454" t="s">
        <v>206</v>
      </c>
      <c r="N3" s="454" t="s">
        <v>207</v>
      </c>
      <c r="O3" s="454" t="s">
        <v>208</v>
      </c>
      <c r="P3" s="454" t="s">
        <v>209</v>
      </c>
    </row>
    <row r="4" spans="1:16" outlineLevel="1">
      <c r="A4" s="474"/>
      <c r="B4" s="472"/>
      <c r="C4" s="504"/>
      <c r="D4" s="504"/>
      <c r="E4" s="504"/>
      <c r="F4" s="504"/>
      <c r="G4" s="504"/>
      <c r="H4" s="504"/>
      <c r="I4" s="504"/>
      <c r="J4" s="504"/>
      <c r="K4" s="504"/>
      <c r="L4" s="504"/>
      <c r="M4" s="504"/>
      <c r="N4" s="504"/>
      <c r="O4" s="504"/>
      <c r="P4" s="504"/>
    </row>
    <row r="5" spans="1:16" outlineLevel="1">
      <c r="A5" s="474"/>
      <c r="B5" s="472"/>
      <c r="C5" s="504"/>
      <c r="D5" s="504"/>
      <c r="E5" s="504"/>
      <c r="F5" s="504"/>
      <c r="G5" s="504"/>
      <c r="H5" s="504"/>
      <c r="I5" s="504"/>
      <c r="J5" s="504"/>
      <c r="K5" s="504"/>
      <c r="L5" s="504"/>
      <c r="M5" s="504"/>
      <c r="N5" s="504"/>
      <c r="O5" s="504"/>
      <c r="P5" s="504"/>
    </row>
    <row r="6" spans="1:16" outlineLevel="1">
      <c r="A6" s="474"/>
      <c r="B6" s="472"/>
      <c r="C6" s="504"/>
      <c r="D6" s="504"/>
      <c r="E6" s="504"/>
      <c r="F6" s="504"/>
      <c r="G6" s="504"/>
      <c r="H6" s="504"/>
      <c r="I6" s="504"/>
      <c r="J6" s="504"/>
      <c r="K6" s="504"/>
      <c r="L6" s="504"/>
      <c r="M6" s="504"/>
      <c r="N6" s="504"/>
      <c r="O6" s="504"/>
      <c r="P6" s="504"/>
    </row>
    <row r="7" spans="1:16" outlineLevel="1">
      <c r="A7" s="474"/>
      <c r="B7" s="472"/>
      <c r="C7" s="504"/>
      <c r="D7" s="504"/>
      <c r="E7" s="504"/>
      <c r="F7" s="504"/>
      <c r="G7" s="504"/>
      <c r="H7" s="504"/>
      <c r="I7" s="504"/>
      <c r="J7" s="504"/>
      <c r="K7" s="504"/>
      <c r="L7" s="504"/>
      <c r="M7" s="504"/>
      <c r="N7" s="504"/>
      <c r="O7" s="504"/>
      <c r="P7" s="504"/>
    </row>
    <row r="8" spans="1:16" outlineLevel="1">
      <c r="A8" s="680"/>
      <c r="B8" s="472"/>
      <c r="C8" s="504"/>
      <c r="D8" s="504"/>
      <c r="E8" s="504"/>
      <c r="F8" s="504"/>
      <c r="G8" s="504"/>
      <c r="H8" s="504"/>
      <c r="I8" s="504"/>
      <c r="J8" s="504"/>
      <c r="K8" s="504"/>
      <c r="L8" s="504"/>
      <c r="M8" s="504"/>
      <c r="N8" s="504"/>
      <c r="O8" s="504"/>
      <c r="P8" s="504"/>
    </row>
    <row r="9" spans="1:16" outlineLevel="1">
      <c r="A9" s="474"/>
      <c r="B9" s="472"/>
      <c r="C9" s="504"/>
      <c r="D9" s="504"/>
      <c r="E9" s="504"/>
      <c r="F9" s="504"/>
      <c r="G9" s="504"/>
      <c r="H9" s="504"/>
      <c r="I9" s="504"/>
      <c r="J9" s="504"/>
      <c r="K9" s="504"/>
      <c r="L9" s="504"/>
      <c r="M9" s="504"/>
      <c r="N9" s="504"/>
      <c r="O9" s="504"/>
      <c r="P9" s="504"/>
    </row>
    <row r="10" spans="1:16" outlineLevel="1">
      <c r="A10" s="474"/>
      <c r="B10" s="472"/>
      <c r="C10" s="504"/>
      <c r="D10" s="504"/>
      <c r="E10" s="504"/>
      <c r="F10" s="504"/>
      <c r="G10" s="504"/>
      <c r="H10" s="504"/>
      <c r="I10" s="504"/>
      <c r="J10" s="504"/>
      <c r="K10" s="504"/>
      <c r="L10" s="504"/>
      <c r="M10" s="504"/>
      <c r="N10" s="504"/>
      <c r="O10" s="504"/>
      <c r="P10" s="504"/>
    </row>
    <row r="11" spans="1:16" outlineLevel="1">
      <c r="A11" s="474"/>
      <c r="B11" s="472"/>
      <c r="C11" s="504"/>
      <c r="D11" s="504"/>
      <c r="E11" s="504"/>
      <c r="F11" s="504"/>
      <c r="G11" s="504"/>
      <c r="H11" s="504"/>
      <c r="I11" s="504"/>
      <c r="J11" s="504"/>
      <c r="K11" s="504"/>
      <c r="L11" s="504"/>
      <c r="M11" s="504"/>
      <c r="N11" s="504"/>
      <c r="O11" s="504"/>
      <c r="P11" s="504"/>
    </row>
    <row r="12" spans="1:16" ht="15.75" outlineLevel="1" thickBot="1">
      <c r="A12" s="474"/>
      <c r="B12" s="472"/>
      <c r="C12" s="504"/>
      <c r="D12" s="504"/>
      <c r="E12" s="504"/>
      <c r="F12" s="504"/>
      <c r="G12" s="504"/>
      <c r="H12" s="504"/>
      <c r="I12" s="504"/>
      <c r="J12" s="504"/>
      <c r="K12" s="504"/>
      <c r="L12" s="504"/>
      <c r="M12" s="504"/>
      <c r="N12" s="504"/>
      <c r="O12" s="504"/>
      <c r="P12" s="504"/>
    </row>
    <row r="13" spans="1:16" ht="25.5" customHeight="1" outlineLevel="1" thickBot="1">
      <c r="A13" s="475" t="s">
        <v>593</v>
      </c>
      <c r="B13" s="457"/>
      <c r="C13" s="476"/>
      <c r="D13" s="476"/>
      <c r="E13" s="476"/>
      <c r="F13" s="476"/>
      <c r="G13" s="476"/>
      <c r="H13" s="476"/>
      <c r="I13" s="476"/>
      <c r="J13" s="476"/>
      <c r="K13" s="476"/>
      <c r="L13" s="476"/>
      <c r="M13" s="476"/>
      <c r="N13" s="476"/>
      <c r="O13" s="1192"/>
      <c r="P13" s="1192"/>
    </row>
    <row r="14" spans="1:16" outlineLevel="1">
      <c r="A14" s="474"/>
      <c r="B14" s="53"/>
      <c r="C14" s="504"/>
      <c r="D14" s="504"/>
      <c r="E14" s="504"/>
      <c r="F14" s="504"/>
      <c r="G14" s="504"/>
      <c r="H14" s="504"/>
      <c r="I14" s="504"/>
      <c r="J14" s="504"/>
      <c r="K14" s="504"/>
      <c r="L14" s="504"/>
      <c r="M14" s="504"/>
      <c r="N14" s="504"/>
      <c r="O14" s="504"/>
      <c r="P14" s="504"/>
    </row>
    <row r="15" spans="1:16" s="469" customFormat="1" outlineLevel="1">
      <c r="A15" s="477" t="s">
        <v>305</v>
      </c>
      <c r="B15" s="478">
        <f>SUM(B4:B12)</f>
        <v>0</v>
      </c>
      <c r="C15" s="479"/>
      <c r="D15" s="479"/>
      <c r="E15" s="479"/>
      <c r="F15" s="479"/>
      <c r="G15" s="479"/>
      <c r="H15" s="479"/>
      <c r="I15" s="479"/>
      <c r="J15" s="479"/>
      <c r="K15" s="479"/>
      <c r="L15" s="479"/>
      <c r="M15" s="479"/>
      <c r="N15" s="479"/>
      <c r="O15" s="480"/>
      <c r="P15" s="480"/>
    </row>
    <row r="16" spans="1:16" outlineLevel="1">
      <c r="B16" s="481"/>
      <c r="C16" s="481"/>
      <c r="D16" s="481"/>
      <c r="E16" s="481"/>
      <c r="F16" s="481"/>
      <c r="G16" s="481"/>
      <c r="H16" s="481"/>
      <c r="I16" s="481"/>
      <c r="J16" s="481"/>
      <c r="K16" s="481"/>
      <c r="L16" s="481"/>
      <c r="M16" s="481"/>
      <c r="N16" s="481"/>
      <c r="O16" s="481"/>
      <c r="P16" s="481"/>
    </row>
    <row r="17" spans="1:16" outlineLevel="1">
      <c r="A17" s="482" t="s">
        <v>620</v>
      </c>
      <c r="B17" s="506">
        <f ca="1">'EF ele_warmte'!B12</f>
        <v>0.20804957814374317</v>
      </c>
      <c r="C17" s="506">
        <f ca="1">'EF ele_warmte'!B22</f>
        <v>0</v>
      </c>
      <c r="D17" s="506">
        <f>EF_CO2_aardgas</f>
        <v>0.20200000000000001</v>
      </c>
      <c r="E17" s="506">
        <f>EF_VLgas_CO2</f>
        <v>0.22700000000000001</v>
      </c>
      <c r="F17" s="506">
        <f>EF_stookolie_CO2</f>
        <v>0.26700000000000002</v>
      </c>
      <c r="G17" s="506"/>
      <c r="H17" s="506"/>
      <c r="I17" s="506">
        <f>EF_bruinkool_CO2</f>
        <v>0.35099999999999998</v>
      </c>
      <c r="J17" s="506">
        <f>EF_steenkool_CO2</f>
        <v>0.35399999999999998</v>
      </c>
      <c r="K17" s="506">
        <f>EF_anderfossiel_CO2</f>
        <v>0.26400000000000001</v>
      </c>
      <c r="L17" s="506">
        <f>'EF brandstof'!J4</f>
        <v>0</v>
      </c>
      <c r="M17" s="506">
        <f>'EF brandstof'!K4</f>
        <v>0</v>
      </c>
      <c r="N17" s="506">
        <f>'EF brandstof'!L4</f>
        <v>0</v>
      </c>
      <c r="O17" s="506">
        <v>0</v>
      </c>
      <c r="P17" s="506">
        <v>0</v>
      </c>
    </row>
    <row r="18" spans="1:16" outlineLevel="1">
      <c r="B18" s="481"/>
      <c r="C18" s="481"/>
      <c r="D18" s="481"/>
      <c r="E18" s="481"/>
      <c r="F18" s="481"/>
      <c r="G18" s="481"/>
      <c r="H18" s="481"/>
      <c r="I18" s="481"/>
      <c r="J18" s="481"/>
      <c r="K18" s="481"/>
      <c r="L18" s="481"/>
      <c r="M18" s="481"/>
      <c r="N18" s="481"/>
      <c r="O18" s="481"/>
      <c r="P18" s="481"/>
    </row>
    <row r="19" spans="1:16" outlineLevel="1">
      <c r="A19" s="477" t="s">
        <v>212</v>
      </c>
      <c r="B19" s="483">
        <f ca="1">B15*B17</f>
        <v>0</v>
      </c>
      <c r="C19" s="483"/>
      <c r="D19" s="483"/>
      <c r="E19" s="483"/>
      <c r="F19" s="483"/>
      <c r="G19" s="483"/>
      <c r="H19" s="483"/>
      <c r="I19" s="483"/>
      <c r="J19" s="483"/>
      <c r="K19" s="483"/>
      <c r="L19" s="483"/>
      <c r="M19" s="483"/>
      <c r="N19" s="483"/>
      <c r="O19" s="483"/>
      <c r="P19" s="483"/>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5" customWidth="1"/>
    <col min="2" max="2" width="14.140625" style="455" customWidth="1"/>
    <col min="3" max="3" width="16.42578125" style="455" customWidth="1"/>
    <col min="4" max="4" width="15" style="455" customWidth="1"/>
    <col min="5" max="5" width="13.85546875" style="455" customWidth="1"/>
    <col min="6" max="6" width="14.85546875" style="455" customWidth="1"/>
    <col min="7" max="7" width="14.7109375" style="455" customWidth="1"/>
    <col min="8" max="8" width="14.28515625" style="455" customWidth="1"/>
    <col min="9" max="9" width="15.7109375" style="455" customWidth="1"/>
    <col min="10" max="10" width="15.42578125" style="455" customWidth="1"/>
    <col min="11" max="11" width="17.42578125" style="455" customWidth="1"/>
    <col min="12" max="12" width="14.5703125" style="455" customWidth="1"/>
    <col min="13" max="13" width="15.5703125" style="455" customWidth="1"/>
    <col min="14" max="14" width="17.85546875" style="455" customWidth="1"/>
    <col min="15" max="15" width="16.140625" style="455" customWidth="1"/>
    <col min="16" max="16" width="17.5703125" style="455" customWidth="1"/>
    <col min="17" max="17" width="9.140625" style="455"/>
    <col min="18" max="18" width="20.42578125" style="455" customWidth="1"/>
    <col min="19" max="16384" width="9.140625" style="455"/>
  </cols>
  <sheetData>
    <row r="1" spans="1:16" ht="15.75" customHeight="1" thickTop="1" thickBot="1">
      <c r="A1" s="1185" t="s">
        <v>327</v>
      </c>
      <c r="B1" s="1186" t="s">
        <v>194</v>
      </c>
      <c r="C1" s="1187"/>
      <c r="D1" s="1187"/>
      <c r="E1" s="1187"/>
      <c r="F1" s="1187"/>
      <c r="G1" s="1187"/>
      <c r="H1" s="1187"/>
      <c r="I1" s="1187"/>
      <c r="J1" s="1187"/>
      <c r="K1" s="1187"/>
      <c r="L1" s="1187"/>
      <c r="M1" s="1187"/>
      <c r="N1" s="1187"/>
      <c r="O1" s="1187"/>
      <c r="P1" s="1187"/>
    </row>
    <row r="2" spans="1:16" ht="15" customHeight="1" thickTop="1">
      <c r="A2" s="1185"/>
      <c r="B2" s="1188" t="s">
        <v>20</v>
      </c>
      <c r="C2" s="1188" t="s">
        <v>195</v>
      </c>
      <c r="D2" s="1189" t="s">
        <v>196</v>
      </c>
      <c r="E2" s="1190"/>
      <c r="F2" s="1190"/>
      <c r="G2" s="1190"/>
      <c r="H2" s="1190"/>
      <c r="I2" s="1190"/>
      <c r="J2" s="1190"/>
      <c r="K2" s="1191"/>
      <c r="L2" s="1189" t="s">
        <v>197</v>
      </c>
      <c r="M2" s="1190"/>
      <c r="N2" s="1190"/>
      <c r="O2" s="1190"/>
      <c r="P2" s="1191"/>
    </row>
    <row r="3" spans="1:16" ht="56.25" customHeight="1">
      <c r="A3" s="1185"/>
      <c r="B3" s="1168"/>
      <c r="C3" s="1168"/>
      <c r="D3" s="454" t="s">
        <v>198</v>
      </c>
      <c r="E3" s="454" t="s">
        <v>199</v>
      </c>
      <c r="F3" s="454" t="s">
        <v>200</v>
      </c>
      <c r="G3" s="454" t="s">
        <v>201</v>
      </c>
      <c r="H3" s="454" t="s">
        <v>119</v>
      </c>
      <c r="I3" s="454" t="s">
        <v>202</v>
      </c>
      <c r="J3" s="454" t="s">
        <v>203</v>
      </c>
      <c r="K3" s="454" t="s">
        <v>204</v>
      </c>
      <c r="L3" s="454" t="s">
        <v>205</v>
      </c>
      <c r="M3" s="454" t="s">
        <v>206</v>
      </c>
      <c r="N3" s="454" t="s">
        <v>207</v>
      </c>
      <c r="O3" s="454" t="s">
        <v>208</v>
      </c>
      <c r="P3" s="454" t="s">
        <v>209</v>
      </c>
    </row>
    <row r="4" spans="1:16">
      <c r="B4" s="472"/>
      <c r="C4" s="504"/>
      <c r="D4" s="473"/>
      <c r="E4" s="473"/>
      <c r="F4" s="504"/>
      <c r="G4" s="473"/>
      <c r="H4" s="473"/>
      <c r="I4" s="504"/>
      <c r="J4" s="504"/>
      <c r="K4" s="504"/>
      <c r="L4" s="504"/>
      <c r="M4" s="504"/>
      <c r="N4" s="504"/>
      <c r="O4" s="504"/>
      <c r="P4" s="504"/>
    </row>
    <row r="5" spans="1:16">
      <c r="B5" s="472"/>
      <c r="C5" s="53"/>
      <c r="D5" s="472"/>
      <c r="E5" s="472"/>
      <c r="F5" s="53"/>
      <c r="G5" s="472"/>
      <c r="H5" s="472"/>
      <c r="I5" s="53"/>
      <c r="J5" s="53"/>
      <c r="K5" s="53"/>
      <c r="L5" s="53"/>
      <c r="M5" s="53"/>
      <c r="N5" s="53"/>
      <c r="O5" s="53"/>
      <c r="P5" s="53"/>
    </row>
    <row r="6" spans="1:16">
      <c r="B6" s="472"/>
      <c r="C6" s="53"/>
      <c r="D6" s="472"/>
      <c r="E6" s="472"/>
      <c r="F6" s="53"/>
      <c r="G6" s="472"/>
      <c r="H6" s="472"/>
      <c r="I6" s="53"/>
      <c r="J6" s="53"/>
      <c r="K6" s="53"/>
      <c r="L6" s="53"/>
      <c r="M6" s="53"/>
      <c r="N6" s="53"/>
      <c r="O6" s="53"/>
      <c r="P6" s="53"/>
    </row>
    <row r="7" spans="1:16">
      <c r="B7" s="472"/>
      <c r="C7" s="53"/>
      <c r="D7" s="472"/>
      <c r="E7" s="472"/>
      <c r="F7" s="53"/>
      <c r="G7" s="472"/>
      <c r="H7" s="472"/>
      <c r="I7" s="53"/>
      <c r="J7" s="53"/>
      <c r="K7" s="53"/>
      <c r="L7" s="53"/>
      <c r="M7" s="53"/>
      <c r="N7" s="53"/>
      <c r="O7" s="53"/>
      <c r="P7" s="53"/>
    </row>
    <row r="8" spans="1:16">
      <c r="A8" s="469"/>
      <c r="B8" s="472"/>
      <c r="C8" s="53"/>
      <c r="D8" s="472"/>
      <c r="E8" s="472"/>
      <c r="F8" s="53"/>
      <c r="G8" s="472"/>
      <c r="H8" s="472"/>
      <c r="I8" s="53"/>
      <c r="J8" s="53"/>
      <c r="K8" s="53"/>
      <c r="L8" s="53"/>
      <c r="M8" s="53"/>
      <c r="N8" s="53"/>
      <c r="O8" s="53"/>
      <c r="P8" s="53"/>
    </row>
    <row r="9" spans="1:16">
      <c r="B9" s="472"/>
      <c r="C9" s="53"/>
      <c r="D9" s="472"/>
      <c r="E9" s="472"/>
      <c r="F9" s="53"/>
      <c r="G9" s="472"/>
      <c r="H9" s="472"/>
      <c r="I9" s="53"/>
      <c r="J9" s="53"/>
      <c r="K9" s="53"/>
      <c r="L9" s="53"/>
      <c r="M9" s="53"/>
      <c r="N9" s="53"/>
      <c r="O9" s="53"/>
      <c r="P9" s="53"/>
    </row>
    <row r="10" spans="1:16">
      <c r="B10" s="472"/>
      <c r="C10" s="53"/>
      <c r="D10" s="472"/>
      <c r="E10" s="472"/>
      <c r="F10" s="53"/>
      <c r="G10" s="472"/>
      <c r="H10" s="472"/>
      <c r="I10" s="53"/>
      <c r="J10" s="53"/>
      <c r="K10" s="53"/>
      <c r="L10" s="53"/>
      <c r="M10" s="53"/>
      <c r="N10" s="53"/>
      <c r="O10" s="53"/>
      <c r="P10" s="53"/>
    </row>
    <row r="11" spans="1:16">
      <c r="B11" s="472"/>
      <c r="C11" s="53"/>
      <c r="D11" s="472"/>
      <c r="E11" s="472"/>
      <c r="F11" s="53"/>
      <c r="G11" s="472"/>
      <c r="H11" s="472"/>
      <c r="I11" s="53"/>
      <c r="J11" s="53"/>
      <c r="K11" s="53"/>
      <c r="L11" s="53"/>
      <c r="M11" s="53"/>
      <c r="N11" s="53"/>
      <c r="O11" s="53"/>
      <c r="P11" s="53"/>
    </row>
    <row r="12" spans="1:16">
      <c r="B12" s="472"/>
      <c r="C12" s="53"/>
      <c r="D12" s="472"/>
      <c r="E12" s="472"/>
      <c r="F12" s="53"/>
      <c r="G12" s="472"/>
      <c r="H12" s="472"/>
      <c r="I12" s="53"/>
      <c r="J12" s="53"/>
      <c r="K12" s="53"/>
      <c r="L12" s="53"/>
      <c r="M12" s="53"/>
      <c r="N12" s="53"/>
      <c r="O12" s="53"/>
      <c r="P12" s="53"/>
    </row>
    <row r="13" spans="1:16">
      <c r="B13" s="472"/>
      <c r="C13" s="53"/>
      <c r="D13" s="472"/>
      <c r="E13" s="472"/>
      <c r="F13" s="53"/>
      <c r="G13" s="472"/>
      <c r="H13" s="472"/>
      <c r="I13" s="53"/>
      <c r="J13" s="53"/>
      <c r="K13" s="53"/>
      <c r="L13" s="53"/>
      <c r="M13" s="53"/>
      <c r="N13" s="53"/>
      <c r="O13" s="53"/>
      <c r="P13" s="53"/>
    </row>
    <row r="14" spans="1:16">
      <c r="B14" s="472"/>
      <c r="C14" s="53"/>
      <c r="D14" s="472"/>
      <c r="E14" s="472"/>
      <c r="F14" s="53"/>
      <c r="G14" s="472"/>
      <c r="H14" s="472"/>
      <c r="I14" s="53"/>
      <c r="J14" s="53"/>
      <c r="K14" s="53"/>
      <c r="L14" s="53"/>
      <c r="M14" s="53"/>
      <c r="N14" s="53"/>
      <c r="O14" s="53"/>
      <c r="P14" s="53"/>
    </row>
    <row r="15" spans="1:16">
      <c r="B15" s="472"/>
      <c r="C15" s="53"/>
      <c r="D15" s="472"/>
      <c r="E15" s="472"/>
      <c r="F15" s="53"/>
      <c r="G15" s="472"/>
      <c r="H15" s="472"/>
      <c r="I15" s="53"/>
      <c r="J15" s="53"/>
      <c r="K15" s="53"/>
      <c r="L15" s="53"/>
      <c r="M15" s="53"/>
      <c r="N15" s="53"/>
      <c r="O15" s="53"/>
      <c r="P15" s="53"/>
    </row>
    <row r="16" spans="1:16">
      <c r="B16" s="472"/>
      <c r="C16" s="53"/>
      <c r="D16" s="472"/>
      <c r="E16" s="472"/>
      <c r="F16" s="53"/>
      <c r="G16" s="472"/>
      <c r="H16" s="472"/>
      <c r="I16" s="53"/>
      <c r="J16" s="53"/>
      <c r="K16" s="53"/>
      <c r="L16" s="53"/>
      <c r="M16" s="53"/>
      <c r="N16" s="53"/>
      <c r="O16" s="53"/>
      <c r="P16" s="53"/>
    </row>
    <row r="17" spans="1:16">
      <c r="B17" s="472"/>
      <c r="C17" s="53"/>
      <c r="D17" s="472"/>
      <c r="E17" s="472"/>
      <c r="F17" s="53"/>
      <c r="G17" s="472"/>
      <c r="H17" s="472"/>
      <c r="I17" s="53"/>
      <c r="J17" s="53"/>
      <c r="K17" s="53"/>
      <c r="L17" s="53"/>
      <c r="M17" s="53"/>
      <c r="N17" s="53"/>
      <c r="O17" s="53"/>
      <c r="P17" s="53"/>
    </row>
    <row r="18" spans="1:16">
      <c r="B18" s="472"/>
      <c r="C18" s="53"/>
      <c r="D18" s="472"/>
      <c r="E18" s="472"/>
      <c r="F18" s="53"/>
      <c r="G18" s="472"/>
      <c r="H18" s="472"/>
      <c r="I18" s="53"/>
      <c r="J18" s="53"/>
      <c r="K18" s="53"/>
      <c r="L18" s="53"/>
      <c r="M18" s="53"/>
      <c r="N18" s="53"/>
      <c r="O18" s="53"/>
      <c r="P18" s="53"/>
    </row>
    <row r="19" spans="1:16">
      <c r="B19" s="472"/>
      <c r="C19" s="53"/>
      <c r="D19" s="472"/>
      <c r="E19" s="472"/>
      <c r="F19" s="53"/>
      <c r="G19" s="472"/>
      <c r="H19" s="472"/>
      <c r="I19" s="53"/>
      <c r="J19" s="53"/>
      <c r="K19" s="53"/>
      <c r="L19" s="53"/>
      <c r="M19" s="53"/>
      <c r="N19" s="53"/>
      <c r="O19" s="53"/>
      <c r="P19" s="53"/>
    </row>
    <row r="20" spans="1:16">
      <c r="B20" s="472"/>
      <c r="C20" s="53"/>
      <c r="D20" s="472"/>
      <c r="E20" s="472"/>
      <c r="F20" s="53"/>
      <c r="G20" s="472"/>
      <c r="H20" s="472"/>
      <c r="I20" s="53"/>
      <c r="J20" s="53"/>
      <c r="K20" s="53"/>
      <c r="L20" s="53"/>
      <c r="M20" s="53"/>
      <c r="N20" s="53"/>
      <c r="O20" s="53"/>
      <c r="P20" s="53"/>
    </row>
    <row r="21" spans="1:16">
      <c r="B21" s="472"/>
      <c r="C21" s="53"/>
      <c r="D21" s="472"/>
      <c r="E21" s="472"/>
      <c r="F21" s="53"/>
      <c r="G21" s="472"/>
      <c r="H21" s="472"/>
      <c r="I21" s="53"/>
      <c r="J21" s="53"/>
      <c r="K21" s="53"/>
      <c r="L21" s="53"/>
      <c r="M21" s="53"/>
      <c r="N21" s="53"/>
      <c r="O21" s="53"/>
      <c r="P21" s="53"/>
    </row>
    <row r="22" spans="1:16">
      <c r="B22" s="472"/>
      <c r="C22" s="53"/>
      <c r="D22" s="472"/>
      <c r="E22" s="472"/>
      <c r="F22" s="53"/>
      <c r="G22" s="472"/>
      <c r="H22" s="472"/>
      <c r="I22" s="53"/>
      <c r="J22" s="53"/>
      <c r="K22" s="53"/>
      <c r="L22" s="53"/>
      <c r="M22" s="53"/>
      <c r="N22" s="53"/>
      <c r="O22" s="53"/>
      <c r="P22" s="53"/>
    </row>
    <row r="23" spans="1:16" ht="15.75" thickBot="1">
      <c r="B23" s="472"/>
      <c r="C23" s="53"/>
      <c r="D23" s="472"/>
      <c r="E23" s="472"/>
      <c r="F23" s="53"/>
      <c r="G23" s="472"/>
      <c r="H23" s="472"/>
      <c r="I23" s="53"/>
      <c r="J23" s="53"/>
      <c r="K23" s="53"/>
      <c r="L23" s="53"/>
      <c r="M23" s="53"/>
      <c r="N23" s="53"/>
      <c r="O23" s="53"/>
      <c r="P23" s="53"/>
    </row>
    <row r="24" spans="1:16" ht="15.75" thickBot="1">
      <c r="A24" s="475" t="s">
        <v>593</v>
      </c>
    </row>
    <row r="26" spans="1:16" s="469" customFormat="1">
      <c r="A26" s="477" t="s">
        <v>542</v>
      </c>
      <c r="B26" s="477">
        <f t="shared" ref="B26:H26" si="0">SUM(B4:B23)</f>
        <v>0</v>
      </c>
      <c r="C26" s="477"/>
      <c r="D26" s="477">
        <f t="shared" si="0"/>
        <v>0</v>
      </c>
      <c r="E26" s="477">
        <f t="shared" si="0"/>
        <v>0</v>
      </c>
      <c r="F26" s="477"/>
      <c r="G26" s="477">
        <f t="shared" si="0"/>
        <v>0</v>
      </c>
      <c r="H26" s="477">
        <f t="shared" si="0"/>
        <v>0</v>
      </c>
      <c r="I26" s="477"/>
      <c r="J26" s="477"/>
      <c r="K26" s="477"/>
      <c r="L26" s="477"/>
      <c r="M26" s="477"/>
      <c r="N26" s="477"/>
      <c r="O26" s="477"/>
      <c r="P26" s="477"/>
    </row>
    <row r="27" spans="1:16" s="469" customFormat="1">
      <c r="A27" s="477" t="s">
        <v>611</v>
      </c>
      <c r="B27" s="477">
        <f>B26</f>
        <v>0</v>
      </c>
      <c r="C27" s="477"/>
      <c r="D27" s="477">
        <f>D26</f>
        <v>0</v>
      </c>
      <c r="E27" s="477">
        <f>E26</f>
        <v>0</v>
      </c>
      <c r="F27" s="477"/>
      <c r="G27" s="477">
        <f>(1-transport!C35)*'Eigen vloot'!G26</f>
        <v>0</v>
      </c>
      <c r="H27" s="477">
        <f>(1-transport!C42)*'Eigen vloot'!H26</f>
        <v>0</v>
      </c>
      <c r="I27" s="477"/>
      <c r="J27" s="477"/>
      <c r="K27" s="477"/>
      <c r="L27" s="477"/>
      <c r="M27" s="681">
        <f>G26*transport!C35+'Eigen vloot'!H26*transport!C42</f>
        <v>0</v>
      </c>
      <c r="N27" s="477"/>
      <c r="O27" s="477"/>
      <c r="P27" s="477"/>
    </row>
    <row r="29" spans="1:16">
      <c r="A29" s="482" t="s">
        <v>620</v>
      </c>
      <c r="B29" s="507">
        <f ca="1">'EF ele_warmte'!B12</f>
        <v>0.20804957814374317</v>
      </c>
      <c r="C29" s="507">
        <f ca="1">'EF ele_warmte'!B22</f>
        <v>0</v>
      </c>
      <c r="D29" s="507">
        <f>EF_CO2_aardgas</f>
        <v>0.20200000000000001</v>
      </c>
      <c r="E29" s="507">
        <f>EF_VLgas_CO2</f>
        <v>0.22700000000000001</v>
      </c>
      <c r="F29" s="507">
        <f>EF_stookolie_CO2</f>
        <v>0.26700000000000002</v>
      </c>
      <c r="G29" s="507">
        <f>EF_diesel_CO2</f>
        <v>0.26700000000000002</v>
      </c>
      <c r="H29" s="507">
        <f>EF_benzine_CO2</f>
        <v>0.249</v>
      </c>
      <c r="I29" s="507">
        <f>EF_bruinkool_CO2</f>
        <v>0.35099999999999998</v>
      </c>
      <c r="J29" s="507">
        <f>EF_steenkool_CO2</f>
        <v>0.35399999999999998</v>
      </c>
      <c r="K29" s="507">
        <f>EF_anderfossiel_CO2</f>
        <v>0.26400000000000001</v>
      </c>
      <c r="L29" s="507">
        <f>'EF brandstof'!J4</f>
        <v>0</v>
      </c>
      <c r="M29" s="507">
        <f>'EF brandstof'!K4</f>
        <v>0</v>
      </c>
      <c r="N29" s="507">
        <f>'EF brandstof'!L4</f>
        <v>0</v>
      </c>
      <c r="O29" s="507">
        <v>0</v>
      </c>
      <c r="P29" s="507">
        <v>0</v>
      </c>
    </row>
    <row r="31" spans="1:16">
      <c r="A31" s="477" t="s">
        <v>212</v>
      </c>
      <c r="B31" s="682">
        <f ca="1">B27*B29</f>
        <v>0</v>
      </c>
      <c r="C31" s="682"/>
      <c r="D31" s="682">
        <f>D27*D29</f>
        <v>0</v>
      </c>
      <c r="E31" s="682">
        <f>E27*E29</f>
        <v>0</v>
      </c>
      <c r="F31" s="682"/>
      <c r="G31" s="682">
        <f>G27*G29</f>
        <v>0</v>
      </c>
      <c r="H31" s="682">
        <f>H27*H29</f>
        <v>0</v>
      </c>
      <c r="I31" s="682"/>
      <c r="J31" s="682"/>
      <c r="K31" s="682"/>
      <c r="L31" s="682"/>
      <c r="M31" s="682">
        <f>M27*M29</f>
        <v>0</v>
      </c>
      <c r="N31" s="505"/>
      <c r="O31" s="505"/>
      <c r="P31" s="50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5" bestFit="1" customWidth="1"/>
    <col min="3" max="3" width="26" customWidth="1"/>
    <col min="4" max="4" width="69.42578125" customWidth="1"/>
  </cols>
  <sheetData>
    <row r="1" spans="1:11" s="44" customFormat="1" ht="15.75" thickBot="1">
      <c r="B1" s="457"/>
    </row>
    <row r="2" spans="1:11" s="44" customFormat="1">
      <c r="A2" s="187" t="s">
        <v>539</v>
      </c>
      <c r="B2" s="508"/>
      <c r="C2" s="188"/>
      <c r="D2" s="189"/>
    </row>
    <row r="3" spans="1:11">
      <c r="A3" s="102"/>
      <c r="B3" s="509"/>
      <c r="C3" s="143" t="s">
        <v>181</v>
      </c>
      <c r="D3" s="146" t="s">
        <v>392</v>
      </c>
    </row>
    <row r="4" spans="1:11">
      <c r="A4" s="45" t="s">
        <v>454</v>
      </c>
      <c r="B4" s="48"/>
      <c r="C4" s="33"/>
      <c r="D4" s="145" t="s">
        <v>394</v>
      </c>
    </row>
    <row r="5" spans="1:11">
      <c r="A5" s="45"/>
      <c r="B5" s="49"/>
      <c r="C5" s="33"/>
      <c r="D5" s="145"/>
    </row>
    <row r="6" spans="1:11" s="11" customFormat="1" ht="21.75" thickBot="1">
      <c r="A6" s="192" t="s">
        <v>487</v>
      </c>
      <c r="B6" s="510"/>
      <c r="C6" s="193"/>
      <c r="D6" s="194"/>
    </row>
    <row r="7" spans="1:11" s="44" customFormat="1" ht="15.75" thickBot="1">
      <c r="B7" s="457"/>
    </row>
    <row r="8" spans="1:11" s="44" customFormat="1">
      <c r="A8" s="187" t="s">
        <v>552</v>
      </c>
      <c r="B8" s="508"/>
      <c r="C8" s="188"/>
      <c r="D8" s="189"/>
    </row>
    <row r="9" spans="1:11" s="33" customFormat="1">
      <c r="A9" s="47"/>
      <c r="B9" s="511"/>
      <c r="C9" s="43"/>
      <c r="D9" s="303"/>
    </row>
    <row r="10" spans="1:11">
      <c r="A10" s="304" t="s">
        <v>581</v>
      </c>
      <c r="B10" s="509"/>
      <c r="C10" s="143" t="s">
        <v>181</v>
      </c>
      <c r="D10" s="146" t="s">
        <v>392</v>
      </c>
      <c r="I10" s="1193"/>
      <c r="K10" s="59"/>
    </row>
    <row r="11" spans="1:11" s="44" customFormat="1">
      <c r="A11" s="45" t="s">
        <v>582</v>
      </c>
      <c r="B11" s="48"/>
      <c r="D11" s="144" t="s">
        <v>393</v>
      </c>
      <c r="I11" s="1193"/>
      <c r="K11" s="59"/>
    </row>
    <row r="12" spans="1:11" s="44" customFormat="1">
      <c r="A12" s="45" t="s">
        <v>583</v>
      </c>
      <c r="B12" s="48"/>
      <c r="D12" s="144" t="s">
        <v>393</v>
      </c>
      <c r="I12" s="1193"/>
      <c r="K12" s="59"/>
    </row>
    <row r="13" spans="1:11" s="44" customFormat="1">
      <c r="A13" s="45"/>
      <c r="B13" s="457"/>
      <c r="D13" s="97"/>
      <c r="I13" s="1193"/>
    </row>
    <row r="14" spans="1:11" s="44" customFormat="1">
      <c r="A14" s="304" t="s">
        <v>580</v>
      </c>
      <c r="B14" s="509"/>
      <c r="C14" s="143" t="s">
        <v>181</v>
      </c>
      <c r="D14" s="146" t="s">
        <v>392</v>
      </c>
      <c r="I14" s="1193"/>
    </row>
    <row r="15" spans="1:11" s="44" customFormat="1">
      <c r="A15" s="45" t="s">
        <v>70</v>
      </c>
      <c r="B15" s="48"/>
      <c r="D15" s="144" t="s">
        <v>393</v>
      </c>
      <c r="I15" s="1193"/>
      <c r="J15" s="1193"/>
    </row>
    <row r="16" spans="1:11" s="44" customFormat="1">
      <c r="A16" s="45" t="s">
        <v>544</v>
      </c>
      <c r="B16" s="48"/>
      <c r="D16" s="144" t="s">
        <v>393</v>
      </c>
      <c r="I16" s="1193"/>
      <c r="J16" s="1193"/>
    </row>
    <row r="17" spans="1:11" s="44" customFormat="1">
      <c r="A17" s="45" t="s">
        <v>77</v>
      </c>
      <c r="B17" s="48"/>
      <c r="D17" s="144" t="s">
        <v>393</v>
      </c>
      <c r="I17" s="1193"/>
      <c r="J17" s="1193"/>
    </row>
    <row r="18" spans="1:11" s="44" customFormat="1">
      <c r="A18" s="45" t="s">
        <v>545</v>
      </c>
      <c r="B18" s="48"/>
      <c r="D18" s="144" t="s">
        <v>393</v>
      </c>
      <c r="I18" s="1193"/>
      <c r="J18" s="1193"/>
      <c r="K18" s="59"/>
    </row>
    <row r="19" spans="1:11" s="44" customFormat="1">
      <c r="A19" s="45" t="s">
        <v>76</v>
      </c>
      <c r="B19" s="48"/>
      <c r="D19" s="144" t="s">
        <v>393</v>
      </c>
      <c r="I19" s="1193"/>
      <c r="J19" s="1194"/>
      <c r="K19" s="59"/>
    </row>
    <row r="20" spans="1:11" s="44" customFormat="1">
      <c r="A20" s="33" t="s">
        <v>546</v>
      </c>
      <c r="B20" s="48"/>
      <c r="D20" s="144" t="s">
        <v>393</v>
      </c>
      <c r="I20" s="305"/>
      <c r="J20" s="306"/>
      <c r="K20" s="59"/>
    </row>
    <row r="21" spans="1:11" s="44" customFormat="1">
      <c r="A21" s="33" t="s">
        <v>547</v>
      </c>
      <c r="B21" s="48"/>
      <c r="D21" s="144" t="s">
        <v>393</v>
      </c>
      <c r="I21" s="305"/>
      <c r="J21" s="306"/>
      <c r="K21" s="59"/>
    </row>
    <row r="22" spans="1:11" s="44" customFormat="1">
      <c r="A22" s="33" t="s">
        <v>548</v>
      </c>
      <c r="B22" s="48"/>
      <c r="D22" s="144" t="s">
        <v>393</v>
      </c>
      <c r="I22" s="305"/>
      <c r="J22" s="306"/>
      <c r="K22" s="59"/>
    </row>
    <row r="23" spans="1:11">
      <c r="A23" s="33" t="s">
        <v>549</v>
      </c>
      <c r="B23" s="48"/>
      <c r="C23" s="44"/>
      <c r="D23" s="144" t="s">
        <v>393</v>
      </c>
      <c r="I23" s="59"/>
      <c r="J23" s="59"/>
      <c r="K23" s="59"/>
    </row>
    <row r="24" spans="1:11">
      <c r="A24" s="33" t="s">
        <v>550</v>
      </c>
      <c r="B24" s="48"/>
      <c r="C24" s="44"/>
      <c r="D24" s="144" t="s">
        <v>393</v>
      </c>
      <c r="I24" s="59"/>
      <c r="J24" s="59"/>
      <c r="K24" s="59"/>
    </row>
    <row r="25" spans="1:11">
      <c r="A25" s="59"/>
      <c r="B25" s="49"/>
      <c r="C25" s="44"/>
      <c r="D25" s="144"/>
      <c r="I25" s="59"/>
      <c r="J25" s="59"/>
      <c r="K25" s="59"/>
    </row>
    <row r="26" spans="1:11" ht="21.75" thickBot="1">
      <c r="A26" s="192" t="s">
        <v>591</v>
      </c>
      <c r="B26" s="512"/>
      <c r="C26" s="109"/>
      <c r="D26" s="110"/>
      <c r="I26" s="59"/>
      <c r="J26" s="59"/>
      <c r="K26" s="59"/>
    </row>
    <row r="28" spans="1:11" ht="15.75" thickBot="1"/>
    <row r="29" spans="1:11" s="44" customFormat="1">
      <c r="A29" s="187" t="s">
        <v>540</v>
      </c>
      <c r="B29" s="508"/>
      <c r="C29" s="188"/>
      <c r="D29" s="189"/>
    </row>
    <row r="30" spans="1:11" s="33" customFormat="1">
      <c r="A30" s="47"/>
      <c r="B30" s="511"/>
      <c r="C30" s="43"/>
      <c r="D30" s="303"/>
    </row>
    <row r="31" spans="1:11">
      <c r="A31" s="304" t="s">
        <v>581</v>
      </c>
      <c r="B31" s="509"/>
      <c r="C31" s="143" t="s">
        <v>181</v>
      </c>
      <c r="D31" s="146" t="s">
        <v>392</v>
      </c>
    </row>
    <row r="32" spans="1:11">
      <c r="A32" s="447" t="s">
        <v>582</v>
      </c>
      <c r="B32" s="48"/>
      <c r="C32" s="49"/>
      <c r="D32" s="144" t="s">
        <v>393</v>
      </c>
    </row>
    <row r="33" spans="1:11">
      <c r="A33" s="45"/>
      <c r="B33" s="49"/>
      <c r="C33" s="49"/>
      <c r="D33" s="144"/>
    </row>
    <row r="34" spans="1:11" s="44" customFormat="1">
      <c r="A34" s="304" t="s">
        <v>580</v>
      </c>
      <c r="B34" s="509"/>
      <c r="C34" s="143" t="s">
        <v>181</v>
      </c>
      <c r="D34" s="146" t="s">
        <v>392</v>
      </c>
      <c r="I34"/>
    </row>
    <row r="35" spans="1:11" s="44" customFormat="1">
      <c r="A35" s="446" t="s">
        <v>70</v>
      </c>
      <c r="B35" s="48"/>
      <c r="D35" s="144" t="s">
        <v>393</v>
      </c>
      <c r="I35" s="1193"/>
      <c r="J35" s="1193"/>
    </row>
    <row r="36" spans="1:11" s="44" customFormat="1">
      <c r="A36" s="446" t="s">
        <v>544</v>
      </c>
      <c r="B36" s="48"/>
      <c r="D36" s="144" t="s">
        <v>393</v>
      </c>
      <c r="I36" s="1193"/>
      <c r="J36" s="1193"/>
    </row>
    <row r="37" spans="1:11" s="44" customFormat="1">
      <c r="A37" s="446" t="s">
        <v>77</v>
      </c>
      <c r="B37" s="48"/>
      <c r="D37" s="144" t="s">
        <v>393</v>
      </c>
      <c r="I37" s="1193"/>
      <c r="J37" s="1193"/>
    </row>
    <row r="38" spans="1:11" s="44" customFormat="1">
      <c r="A38" s="446" t="s">
        <v>545</v>
      </c>
      <c r="B38" s="48"/>
      <c r="D38" s="144" t="s">
        <v>393</v>
      </c>
      <c r="I38" s="1193"/>
      <c r="J38" s="1193"/>
      <c r="K38" s="59"/>
    </row>
    <row r="39" spans="1:11" s="44" customFormat="1">
      <c r="A39" s="446" t="s">
        <v>76</v>
      </c>
      <c r="B39" s="48"/>
      <c r="D39" s="144" t="s">
        <v>393</v>
      </c>
      <c r="I39" s="1193"/>
      <c r="J39" s="1194"/>
      <c r="K39" s="59"/>
    </row>
    <row r="40" spans="1:11" s="44" customFormat="1">
      <c r="A40" s="184" t="s">
        <v>546</v>
      </c>
      <c r="B40" s="49"/>
      <c r="D40" s="144" t="s">
        <v>393</v>
      </c>
      <c r="I40" s="305"/>
      <c r="J40" s="306"/>
      <c r="K40" s="59"/>
    </row>
    <row r="41" spans="1:11" s="44" customFormat="1">
      <c r="A41" s="184" t="s">
        <v>547</v>
      </c>
      <c r="B41" s="48"/>
      <c r="D41" s="144" t="s">
        <v>393</v>
      </c>
      <c r="I41" s="305"/>
      <c r="J41" s="306"/>
      <c r="K41" s="59"/>
    </row>
    <row r="42" spans="1:11" s="44" customFormat="1">
      <c r="A42" s="184" t="s">
        <v>548</v>
      </c>
      <c r="B42" s="48"/>
      <c r="D42" s="144" t="s">
        <v>393</v>
      </c>
      <c r="I42" s="305"/>
      <c r="J42" s="306"/>
      <c r="K42" s="59"/>
    </row>
    <row r="43" spans="1:11">
      <c r="A43" s="184" t="s">
        <v>549</v>
      </c>
      <c r="B43" s="48"/>
      <c r="C43" s="44"/>
      <c r="D43" s="144" t="s">
        <v>393</v>
      </c>
      <c r="I43" s="59"/>
      <c r="J43" s="59"/>
      <c r="K43" s="59"/>
    </row>
    <row r="44" spans="1:11">
      <c r="A44" s="184" t="s">
        <v>550</v>
      </c>
      <c r="B44" s="48"/>
      <c r="C44" s="44"/>
      <c r="D44" s="144" t="s">
        <v>393</v>
      </c>
      <c r="I44" s="59"/>
      <c r="J44" s="59"/>
      <c r="K44" s="59"/>
    </row>
    <row r="45" spans="1:11" s="16" customFormat="1" ht="21.75" thickBot="1">
      <c r="A45" s="192"/>
      <c r="B45" s="190"/>
      <c r="C45" s="156"/>
      <c r="D45" s="307"/>
      <c r="I45" s="59"/>
      <c r="J45" s="59"/>
      <c r="K45" s="59"/>
    </row>
    <row r="46" spans="1:11" s="16" customFormat="1">
      <c r="A46" s="59"/>
      <c r="B46" s="49"/>
      <c r="C46" s="33"/>
      <c r="D46" s="33"/>
      <c r="I46" s="59"/>
      <c r="J46" s="59"/>
      <c r="K46" s="59"/>
    </row>
    <row r="47" spans="1:11" ht="15.75" thickBot="1"/>
    <row r="48" spans="1:11" s="44" customFormat="1">
      <c r="A48" s="187" t="s">
        <v>391</v>
      </c>
      <c r="B48" s="508"/>
      <c r="C48" s="188"/>
      <c r="D48" s="189"/>
    </row>
    <row r="49" spans="1:4">
      <c r="A49" s="102"/>
      <c r="B49" s="509"/>
      <c r="C49" s="143" t="s">
        <v>181</v>
      </c>
      <c r="D49" s="146" t="s">
        <v>392</v>
      </c>
    </row>
    <row r="50" spans="1:4">
      <c r="A50" s="45" t="s">
        <v>584</v>
      </c>
      <c r="B50" s="48"/>
      <c r="C50" s="33"/>
      <c r="D50" s="145" t="s">
        <v>394</v>
      </c>
    </row>
    <row r="51" spans="1:4">
      <c r="A51" s="45" t="s">
        <v>585</v>
      </c>
      <c r="B51" s="48"/>
      <c r="C51" s="33"/>
      <c r="D51" s="145" t="s">
        <v>394</v>
      </c>
    </row>
    <row r="52" spans="1:4" ht="15.75" thickBot="1">
      <c r="A52" s="46"/>
      <c r="B52" s="190"/>
      <c r="C52" s="156"/>
      <c r="D52" s="195"/>
    </row>
    <row r="54" spans="1:4" ht="15.75" thickBot="1"/>
    <row r="55" spans="1:4" s="44" customFormat="1">
      <c r="A55" s="187" t="s">
        <v>541</v>
      </c>
      <c r="B55" s="508"/>
      <c r="C55" s="188"/>
      <c r="D55" s="189"/>
    </row>
    <row r="56" spans="1:4">
      <c r="A56" s="102"/>
      <c r="B56" s="509"/>
      <c r="C56" s="143" t="s">
        <v>181</v>
      </c>
      <c r="D56" s="146" t="s">
        <v>392</v>
      </c>
    </row>
    <row r="57" spans="1:4">
      <c r="A57" s="45" t="s">
        <v>586</v>
      </c>
      <c r="B57" s="48"/>
      <c r="C57" s="33"/>
      <c r="D57" s="144" t="s">
        <v>154</v>
      </c>
    </row>
    <row r="58" spans="1:4">
      <c r="A58" s="45" t="s">
        <v>587</v>
      </c>
      <c r="B58" s="48"/>
      <c r="C58" s="33"/>
      <c r="D58" s="144" t="s">
        <v>155</v>
      </c>
    </row>
    <row r="59" spans="1:4">
      <c r="A59" s="45" t="s">
        <v>588</v>
      </c>
      <c r="B59" s="48"/>
      <c r="C59" s="49"/>
      <c r="D59" s="144" t="s">
        <v>390</v>
      </c>
    </row>
    <row r="60" spans="1:4">
      <c r="A60" s="45" t="s">
        <v>589</v>
      </c>
      <c r="B60" s="48"/>
      <c r="C60" s="49"/>
      <c r="D60" s="144" t="s">
        <v>111</v>
      </c>
    </row>
    <row r="61" spans="1:4">
      <c r="A61" s="45"/>
      <c r="B61" s="49"/>
      <c r="C61" s="49"/>
      <c r="D61" s="144"/>
    </row>
    <row r="62" spans="1:4" ht="21.75" thickBot="1">
      <c r="A62" s="192" t="s">
        <v>543</v>
      </c>
      <c r="B62" s="190"/>
      <c r="C62" s="190"/>
      <c r="D62" s="191"/>
    </row>
    <row r="63" spans="1:4" s="44" customFormat="1">
      <c r="B63" s="45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80" zoomScaleNormal="80" workbookViewId="0">
      <selection activeCell="B25" sqref="B2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3" t="s">
        <v>606</v>
      </c>
      <c r="B1" s="644"/>
      <c r="C1" s="644"/>
      <c r="D1" s="644"/>
      <c r="E1" s="645"/>
    </row>
    <row r="2" spans="1:5">
      <c r="A2" s="656" t="s">
        <v>395</v>
      </c>
      <c r="B2" s="661" t="s">
        <v>531</v>
      </c>
      <c r="C2" s="657"/>
      <c r="D2" s="657"/>
      <c r="E2" s="658"/>
    </row>
    <row r="3" spans="1:5">
      <c r="A3" s="659"/>
      <c r="B3" s="660"/>
      <c r="C3" s="648"/>
      <c r="D3" s="648"/>
      <c r="E3" s="649"/>
    </row>
    <row r="4" spans="1:5" s="332" customFormat="1" ht="45">
      <c r="A4" s="647" t="s">
        <v>610</v>
      </c>
      <c r="B4" s="655" t="s">
        <v>599</v>
      </c>
      <c r="C4" s="676" t="s">
        <v>621</v>
      </c>
      <c r="D4" s="677" t="s">
        <v>622</v>
      </c>
      <c r="E4" s="678" t="s">
        <v>623</v>
      </c>
    </row>
    <row r="5" spans="1:5">
      <c r="A5" s="650" t="s">
        <v>600</v>
      </c>
      <c r="B5" s="642" t="s">
        <v>601</v>
      </c>
      <c r="C5" s="673">
        <v>3.678273E-2</v>
      </c>
      <c r="D5" s="674">
        <v>0.27778000000000003</v>
      </c>
      <c r="E5" s="666">
        <f>C5*D5</f>
        <v>1.0217506739400001E-2</v>
      </c>
    </row>
    <row r="6" spans="1:5">
      <c r="A6" s="650" t="s">
        <v>600</v>
      </c>
      <c r="B6" s="642" t="s">
        <v>602</v>
      </c>
      <c r="C6" s="673">
        <v>4.2278999999999997E-2</v>
      </c>
      <c r="D6" s="674">
        <v>0.27778000000000003</v>
      </c>
      <c r="E6" s="666">
        <f t="shared" ref="E6:E21" si="0">C6*D6</f>
        <v>1.174426062E-2</v>
      </c>
    </row>
    <row r="7" spans="1:5">
      <c r="A7" s="650" t="s">
        <v>600</v>
      </c>
      <c r="B7" s="642" t="s">
        <v>603</v>
      </c>
      <c r="C7" s="673">
        <v>42.279000000000003</v>
      </c>
      <c r="D7" s="674">
        <v>0.27778000000000003</v>
      </c>
      <c r="E7" s="666">
        <f t="shared" si="0"/>
        <v>11.744260620000002</v>
      </c>
    </row>
    <row r="8" spans="1:5">
      <c r="A8" s="650" t="s">
        <v>604</v>
      </c>
      <c r="B8" s="642" t="s">
        <v>601</v>
      </c>
      <c r="C8" s="673">
        <v>3.8573799999999998E-2</v>
      </c>
      <c r="D8" s="674">
        <v>0.27778000000000003</v>
      </c>
      <c r="E8" s="666">
        <f t="shared" si="0"/>
        <v>1.0715030164E-2</v>
      </c>
    </row>
    <row r="9" spans="1:5">
      <c r="A9" s="650" t="s">
        <v>604</v>
      </c>
      <c r="B9" s="642" t="s">
        <v>602</v>
      </c>
      <c r="C9" s="673">
        <v>4.0604000000000001E-2</v>
      </c>
      <c r="D9" s="674">
        <v>0.27778000000000003</v>
      </c>
      <c r="E9" s="666">
        <f t="shared" si="0"/>
        <v>1.1278979120000001E-2</v>
      </c>
    </row>
    <row r="10" spans="1:5">
      <c r="A10" s="650" t="s">
        <v>604</v>
      </c>
      <c r="B10" s="642" t="s">
        <v>603</v>
      </c>
      <c r="C10" s="673">
        <v>40.603999999999999</v>
      </c>
      <c r="D10" s="674">
        <v>0.27778000000000003</v>
      </c>
      <c r="E10" s="666">
        <f t="shared" si="0"/>
        <v>11.278979120000001</v>
      </c>
    </row>
    <row r="11" spans="1:5">
      <c r="A11" s="650" t="s">
        <v>624</v>
      </c>
      <c r="B11" s="642" t="s">
        <v>601</v>
      </c>
      <c r="C11" s="673">
        <v>2.3511000000000001E-2</v>
      </c>
      <c r="D11" s="674">
        <v>0.27778000000000003</v>
      </c>
      <c r="E11" s="666">
        <f t="shared" si="0"/>
        <v>6.5308855800000004E-3</v>
      </c>
    </row>
    <row r="12" spans="1:5">
      <c r="A12" s="650" t="s">
        <v>624</v>
      </c>
      <c r="B12" s="642" t="s">
        <v>602</v>
      </c>
      <c r="C12" s="673">
        <v>4.6100000000000002E-2</v>
      </c>
      <c r="D12" s="674">
        <v>0.27778000000000003</v>
      </c>
      <c r="E12" s="666">
        <f t="shared" si="0"/>
        <v>1.2805658000000001E-2</v>
      </c>
    </row>
    <row r="13" spans="1:5">
      <c r="A13" s="650" t="s">
        <v>624</v>
      </c>
      <c r="B13" s="642" t="s">
        <v>603</v>
      </c>
      <c r="C13" s="673">
        <v>46.1</v>
      </c>
      <c r="D13" s="674">
        <v>0.27778000000000003</v>
      </c>
      <c r="E13" s="666">
        <f t="shared" si="0"/>
        <v>12.805658000000001</v>
      </c>
    </row>
    <row r="14" spans="1:5">
      <c r="A14" s="650" t="s">
        <v>625</v>
      </c>
      <c r="B14" s="642" t="s">
        <v>601</v>
      </c>
      <c r="C14" s="673">
        <v>2.6525139999999999E-2</v>
      </c>
      <c r="D14" s="674">
        <v>0.27778000000000003</v>
      </c>
      <c r="E14" s="666">
        <f t="shared" si="0"/>
        <v>7.3681533892000009E-3</v>
      </c>
    </row>
    <row r="15" spans="1:5">
      <c r="A15" s="650" t="s">
        <v>625</v>
      </c>
      <c r="B15" s="642" t="s">
        <v>602</v>
      </c>
      <c r="C15" s="673">
        <v>4.5733000000000003E-2</v>
      </c>
      <c r="D15" s="674">
        <v>0.27778000000000003</v>
      </c>
      <c r="E15" s="666">
        <f t="shared" si="0"/>
        <v>1.2703712740000001E-2</v>
      </c>
    </row>
    <row r="16" spans="1:5">
      <c r="A16" s="650" t="s">
        <v>625</v>
      </c>
      <c r="B16" s="642" t="s">
        <v>603</v>
      </c>
      <c r="C16" s="673">
        <v>45.732999999999997</v>
      </c>
      <c r="D16" s="674">
        <v>0.27778000000000003</v>
      </c>
      <c r="E16" s="666">
        <f t="shared" si="0"/>
        <v>12.70371274</v>
      </c>
    </row>
    <row r="17" spans="1:10">
      <c r="A17" s="650" t="s">
        <v>608</v>
      </c>
      <c r="B17" s="642" t="s">
        <v>605</v>
      </c>
      <c r="C17" s="673">
        <v>3.2923000000000001E-2</v>
      </c>
      <c r="D17" s="674">
        <f>0.27778</f>
        <v>0.27778000000000003</v>
      </c>
      <c r="E17" s="666">
        <f t="shared" si="0"/>
        <v>9.1453509400000015E-3</v>
      </c>
    </row>
    <row r="18" spans="1:10">
      <c r="A18" s="650" t="s">
        <v>609</v>
      </c>
      <c r="B18" s="642" t="s">
        <v>605</v>
      </c>
      <c r="C18" s="673">
        <v>3.8852400000000002E-2</v>
      </c>
      <c r="D18" s="674">
        <f>0.27778</f>
        <v>0.27778000000000003</v>
      </c>
      <c r="E18" s="666">
        <f t="shared" si="0"/>
        <v>1.0792419672000002E-2</v>
      </c>
    </row>
    <row r="19" spans="1:10">
      <c r="A19" s="650" t="s">
        <v>612</v>
      </c>
      <c r="B19" s="642" t="s">
        <v>601</v>
      </c>
      <c r="C19" s="673">
        <v>2.4812460000000001E-2</v>
      </c>
      <c r="D19" s="674">
        <v>0.27778000000000003</v>
      </c>
      <c r="E19" s="666">
        <f t="shared" si="0"/>
        <v>6.8924051388000009E-3</v>
      </c>
    </row>
    <row r="20" spans="1:10">
      <c r="A20" s="650" t="s">
        <v>612</v>
      </c>
      <c r="B20" s="642" t="s">
        <v>602</v>
      </c>
      <c r="C20" s="673">
        <v>4.5948999999999997E-2</v>
      </c>
      <c r="D20" s="674">
        <v>0.27778000000000003</v>
      </c>
      <c r="E20" s="666">
        <f t="shared" si="0"/>
        <v>1.276371322E-2</v>
      </c>
    </row>
    <row r="21" spans="1:10">
      <c r="A21" s="650" t="s">
        <v>612</v>
      </c>
      <c r="B21" s="642" t="s">
        <v>603</v>
      </c>
      <c r="C21" s="673">
        <v>45.948999999999998</v>
      </c>
      <c r="D21" s="674">
        <v>0.27778000000000003</v>
      </c>
      <c r="E21" s="666">
        <f t="shared" si="0"/>
        <v>12.763713220000001</v>
      </c>
    </row>
    <row r="22" spans="1:10" ht="15.75" thickBot="1">
      <c r="A22" s="671"/>
      <c r="B22" s="653"/>
      <c r="C22" s="675"/>
      <c r="D22" s="675"/>
      <c r="E22" s="654"/>
    </row>
    <row r="23" spans="1:10" ht="15.75" thickBot="1">
      <c r="A23" s="646"/>
      <c r="B23" s="646"/>
      <c r="C23" s="646"/>
      <c r="D23" s="646"/>
      <c r="E23" s="646"/>
    </row>
    <row r="24" spans="1:10" ht="15.75" thickBot="1">
      <c r="A24" s="643" t="s">
        <v>607</v>
      </c>
      <c r="B24" s="644"/>
      <c r="C24" s="644"/>
      <c r="D24" s="644"/>
      <c r="E24" s="645"/>
    </row>
    <row r="25" spans="1:10">
      <c r="A25" s="670" t="s">
        <v>395</v>
      </c>
      <c r="B25" s="1060" t="s">
        <v>932</v>
      </c>
      <c r="C25" s="648"/>
      <c r="D25" s="648"/>
      <c r="E25" s="649"/>
    </row>
    <row r="26" spans="1:10">
      <c r="A26" s="45"/>
      <c r="B26" s="44"/>
      <c r="C26" s="44"/>
      <c r="D26" s="44"/>
      <c r="E26" s="97"/>
    </row>
    <row r="27" spans="1:10" s="332" customFormat="1">
      <c r="A27" s="647" t="s">
        <v>610</v>
      </c>
      <c r="B27" s="655" t="s">
        <v>599</v>
      </c>
      <c r="C27" s="663"/>
      <c r="D27" s="662"/>
      <c r="E27" s="678" t="s">
        <v>614</v>
      </c>
    </row>
    <row r="28" spans="1:10">
      <c r="A28" s="650" t="s">
        <v>201</v>
      </c>
      <c r="B28" s="642" t="s">
        <v>601</v>
      </c>
      <c r="C28" s="664"/>
      <c r="D28" s="665"/>
      <c r="E28" s="672">
        <f>E29*0.84</f>
        <v>9.962166666666666E-3</v>
      </c>
      <c r="G28" s="646"/>
      <c r="H28" s="786"/>
      <c r="I28" s="786"/>
      <c r="J28" s="786"/>
    </row>
    <row r="29" spans="1:10">
      <c r="A29" s="650" t="s">
        <v>201</v>
      </c>
      <c r="B29" s="642" t="s">
        <v>602</v>
      </c>
      <c r="C29" s="664"/>
      <c r="D29" s="665"/>
      <c r="E29" s="672">
        <f>0.042695/3.6</f>
        <v>1.1859722222222221E-2</v>
      </c>
      <c r="G29" s="646"/>
      <c r="H29" s="786"/>
      <c r="I29" s="786"/>
      <c r="J29" s="786"/>
    </row>
    <row r="30" spans="1:10">
      <c r="A30" s="650" t="s">
        <v>119</v>
      </c>
      <c r="B30" s="642" t="s">
        <v>601</v>
      </c>
      <c r="C30" s="664"/>
      <c r="D30" s="665"/>
      <c r="E30" s="672">
        <f>E31*0.75</f>
        <v>9.1195833333333337E-3</v>
      </c>
      <c r="H30" s="786"/>
      <c r="I30" s="786"/>
      <c r="J30" s="786"/>
    </row>
    <row r="31" spans="1:10">
      <c r="A31" s="650" t="s">
        <v>119</v>
      </c>
      <c r="B31" s="642" t="s">
        <v>602</v>
      </c>
      <c r="C31" s="664"/>
      <c r="D31" s="665"/>
      <c r="E31" s="672">
        <f>0.043774/3.6</f>
        <v>1.2159444444444445E-2</v>
      </c>
      <c r="H31" s="786"/>
      <c r="I31" s="786"/>
      <c r="J31" s="786"/>
    </row>
    <row r="32" spans="1:10">
      <c r="A32" s="650" t="s">
        <v>612</v>
      </c>
      <c r="B32" s="642" t="s">
        <v>601</v>
      </c>
      <c r="C32" s="664"/>
      <c r="D32" s="665"/>
      <c r="E32" s="672">
        <f>E33*0.52</f>
        <v>6.7259111111111118E-3</v>
      </c>
      <c r="H32" s="786"/>
    </row>
    <row r="33" spans="1:8">
      <c r="A33" s="650" t="s">
        <v>612</v>
      </c>
      <c r="B33" s="642" t="s">
        <v>602</v>
      </c>
      <c r="C33" s="664"/>
      <c r="D33" s="665"/>
      <c r="E33" s="672">
        <f>0.046564/3.6</f>
        <v>1.2934444444444445E-2</v>
      </c>
      <c r="H33" s="786"/>
    </row>
    <row r="34" spans="1:8">
      <c r="A34" s="650" t="s">
        <v>613</v>
      </c>
      <c r="B34" s="642" t="s">
        <v>601</v>
      </c>
      <c r="C34" s="664"/>
      <c r="D34" s="665"/>
      <c r="E34" s="672">
        <f>E35*0.175</f>
        <v>2.3333333333333331E-3</v>
      </c>
      <c r="H34" s="786"/>
    </row>
    <row r="35" spans="1:8">
      <c r="A35" s="650" t="s">
        <v>613</v>
      </c>
      <c r="B35" s="642" t="s">
        <v>602</v>
      </c>
      <c r="C35" s="664"/>
      <c r="D35" s="665"/>
      <c r="E35" s="672">
        <f>0.048/3.6</f>
        <v>1.3333333333333332E-2</v>
      </c>
      <c r="H35" s="786"/>
    </row>
    <row r="36" spans="1:8" ht="15.75" thickBot="1">
      <c r="A36" s="651"/>
      <c r="B36" s="652"/>
      <c r="C36" s="667"/>
      <c r="D36" s="668"/>
      <c r="E36" s="66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452</v>
      </c>
      <c r="B2" s="111"/>
      <c r="C2" s="112"/>
    </row>
    <row r="3" spans="1:3" s="16" customFormat="1" ht="15.75">
      <c r="A3" s="99"/>
      <c r="B3" s="71"/>
      <c r="C3" s="100"/>
    </row>
    <row r="4" spans="1:3">
      <c r="A4" s="96" t="s">
        <v>363</v>
      </c>
      <c r="B4" s="70" t="s">
        <v>375</v>
      </c>
      <c r="C4" s="101" t="s">
        <v>374</v>
      </c>
    </row>
    <row r="5" spans="1:3">
      <c r="A5" s="113"/>
      <c r="B5" s="44"/>
      <c r="C5" s="97"/>
    </row>
    <row r="6" spans="1:3" s="12" customFormat="1">
      <c r="A6" s="114" t="s">
        <v>465</v>
      </c>
      <c r="B6" s="131" t="s">
        <v>466</v>
      </c>
      <c r="C6" s="132" t="s">
        <v>468</v>
      </c>
    </row>
    <row r="7" spans="1:3" s="12" customFormat="1">
      <c r="A7" s="124"/>
      <c r="B7" s="161"/>
      <c r="C7" s="162" t="s">
        <v>626</v>
      </c>
    </row>
    <row r="8" spans="1:3" s="12" customFormat="1">
      <c r="A8" s="133"/>
      <c r="B8" s="134"/>
      <c r="C8" s="135"/>
    </row>
    <row r="9" spans="1:3" s="12" customFormat="1">
      <c r="A9" s="114" t="s">
        <v>467</v>
      </c>
      <c r="B9" s="131" t="s">
        <v>470</v>
      </c>
      <c r="C9" s="132" t="s">
        <v>527</v>
      </c>
    </row>
    <row r="10" spans="1:3" s="12" customFormat="1">
      <c r="A10" s="133"/>
      <c r="B10" s="134"/>
      <c r="C10" s="135"/>
    </row>
    <row r="11" spans="1:3" s="12" customFormat="1" ht="18">
      <c r="A11" s="114" t="s">
        <v>469</v>
      </c>
      <c r="B11" s="131" t="s">
        <v>471</v>
      </c>
      <c r="C11" s="159" t="s">
        <v>525</v>
      </c>
    </row>
    <row r="12" spans="1:3" s="12" customFormat="1">
      <c r="A12" s="133"/>
      <c r="B12" s="134"/>
      <c r="C12" s="135"/>
    </row>
    <row r="13" spans="1:3" s="12" customFormat="1" ht="18">
      <c r="A13" s="114" t="s">
        <v>472</v>
      </c>
      <c r="B13" s="131" t="s">
        <v>473</v>
      </c>
      <c r="C13" s="160" t="s">
        <v>526</v>
      </c>
    </row>
    <row r="14" spans="1:3" s="12" customFormat="1">
      <c r="A14" s="133"/>
      <c r="B14" s="134"/>
      <c r="C14" s="135"/>
    </row>
    <row r="15" spans="1:3" s="12" customFormat="1" ht="18">
      <c r="A15" s="114" t="s">
        <v>474</v>
      </c>
      <c r="B15" t="s">
        <v>478</v>
      </c>
      <c r="C15" s="132" t="s">
        <v>528</v>
      </c>
    </row>
    <row r="16" spans="1:3" s="12" customFormat="1">
      <c r="A16" s="133"/>
      <c r="B16" s="134"/>
      <c r="C16" s="135"/>
    </row>
    <row r="17" spans="1:3" s="12" customFormat="1" ht="30">
      <c r="A17" s="114" t="s">
        <v>394</v>
      </c>
      <c r="B17" s="131" t="s">
        <v>479</v>
      </c>
      <c r="C17" s="132" t="s">
        <v>529</v>
      </c>
    </row>
    <row r="18" spans="1:3" s="12" customFormat="1">
      <c r="A18" s="133"/>
      <c r="B18" s="134"/>
      <c r="C18" s="135" t="s">
        <v>475</v>
      </c>
    </row>
    <row r="19" spans="1:3" s="12" customFormat="1" ht="30">
      <c r="A19" s="114" t="s">
        <v>476</v>
      </c>
      <c r="B19" s="131" t="s">
        <v>480</v>
      </c>
      <c r="C19" s="132" t="s">
        <v>530</v>
      </c>
    </row>
    <row r="20" spans="1:3" s="12" customFormat="1">
      <c r="A20" s="133"/>
      <c r="B20" s="134"/>
      <c r="C20" s="135"/>
    </row>
    <row r="21" spans="1:3" s="12" customFormat="1" ht="30">
      <c r="A21" s="114" t="s">
        <v>477</v>
      </c>
      <c r="B21" s="131" t="s">
        <v>668</v>
      </c>
      <c r="C21" s="132" t="s">
        <v>594</v>
      </c>
    </row>
    <row r="22" spans="1:3" s="12" customFormat="1">
      <c r="A22" s="142"/>
      <c r="B22" s="161"/>
      <c r="C22" s="162"/>
    </row>
    <row r="23" spans="1:3" ht="21">
      <c r="A23" s="127" t="s">
        <v>482</v>
      </c>
      <c r="B23" s="126"/>
      <c r="C23" s="123"/>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5" zoomScaleNormal="100" workbookViewId="0">
      <selection sqref="A1:XFD1048576"/>
    </sheetView>
  </sheetViews>
  <sheetFormatPr defaultRowHeight="15"/>
  <cols>
    <col min="1" max="1" width="68.85546875" style="1062" bestFit="1" customWidth="1"/>
    <col min="2" max="2" width="59.42578125" style="1062" bestFit="1" customWidth="1"/>
    <col min="3" max="4" width="28.7109375" style="1062" customWidth="1"/>
    <col min="5" max="5" width="44.28515625" style="1062" customWidth="1"/>
    <col min="6" max="6" width="35" style="1062" bestFit="1" customWidth="1"/>
    <col min="7" max="16384" width="9.140625" style="1062"/>
  </cols>
  <sheetData>
    <row r="1" spans="1:6" ht="62.45" customHeight="1" thickTop="1" thickBot="1">
      <c r="A1" s="137" t="s">
        <v>948</v>
      </c>
      <c r="B1" s="1286">
        <v>2012</v>
      </c>
      <c r="C1" s="1287"/>
      <c r="D1" s="1287"/>
      <c r="E1" s="1287"/>
      <c r="F1" s="1288"/>
    </row>
    <row r="2" spans="1:6">
      <c r="A2" s="332"/>
      <c r="B2" s="332"/>
      <c r="C2" s="332"/>
      <c r="D2" s="332"/>
      <c r="E2" s="332"/>
      <c r="F2" s="332"/>
    </row>
    <row r="3" spans="1:6" ht="19.5">
      <c r="A3" s="1289" t="s">
        <v>0</v>
      </c>
      <c r="B3" s="332"/>
      <c r="C3" s="332"/>
      <c r="D3" s="332"/>
      <c r="E3" s="332"/>
      <c r="F3" s="332"/>
    </row>
    <row r="4" spans="1:6" ht="22.5">
      <c r="A4" s="1290" t="s">
        <v>948</v>
      </c>
      <c r="B4" s="332"/>
      <c r="C4" s="332"/>
      <c r="D4" s="332"/>
      <c r="E4" s="332"/>
      <c r="F4" s="332"/>
    </row>
    <row r="5" spans="1:6" ht="22.5">
      <c r="A5" s="1290" t="s">
        <v>949</v>
      </c>
      <c r="B5" s="332"/>
      <c r="C5" s="332"/>
      <c r="D5" s="332"/>
      <c r="E5" s="332"/>
      <c r="F5" s="332"/>
    </row>
    <row r="6" spans="1:6" ht="15.75" thickBot="1">
      <c r="A6" s="332"/>
      <c r="B6" s="332"/>
      <c r="C6" s="332"/>
      <c r="D6" s="332"/>
      <c r="E6" s="332"/>
      <c r="F6" s="332"/>
    </row>
    <row r="7" spans="1:6" ht="20.25" thickBot="1">
      <c r="A7" s="1291" t="s">
        <v>1</v>
      </c>
      <c r="B7" s="333" t="s">
        <v>395</v>
      </c>
      <c r="C7" s="333" t="s">
        <v>396</v>
      </c>
      <c r="D7" s="333"/>
      <c r="E7" s="333"/>
      <c r="F7" s="334"/>
    </row>
    <row r="8" spans="1:6" ht="16.5" thickTop="1" thickBot="1">
      <c r="A8" s="1292" t="s">
        <v>4</v>
      </c>
      <c r="B8" s="1293"/>
      <c r="C8" s="1293"/>
      <c r="D8" s="1287"/>
      <c r="E8" s="1287"/>
      <c r="F8" s="1288"/>
    </row>
    <row r="9" spans="1:6">
      <c r="A9" s="1294" t="s">
        <v>2</v>
      </c>
      <c r="B9" s="1295">
        <v>4306</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291" t="s">
        <v>3</v>
      </c>
      <c r="B12" s="333" t="s">
        <v>395</v>
      </c>
      <c r="C12" s="333" t="s">
        <v>645</v>
      </c>
      <c r="D12" s="333"/>
      <c r="E12" s="333"/>
      <c r="F12" s="337"/>
    </row>
    <row r="13" spans="1:6" ht="16.5" thickTop="1" thickBot="1">
      <c r="A13" s="1296" t="s">
        <v>4</v>
      </c>
      <c r="B13" s="1297" t="s">
        <v>5</v>
      </c>
      <c r="C13" s="1297"/>
      <c r="D13" s="1297"/>
      <c r="E13" s="1297"/>
      <c r="F13" s="1298"/>
    </row>
    <row r="14" spans="1:6">
      <c r="A14" s="1299" t="s">
        <v>781</v>
      </c>
      <c r="B14" s="1300">
        <v>6692</v>
      </c>
      <c r="C14" s="332"/>
      <c r="D14" s="332"/>
      <c r="E14" s="332"/>
      <c r="F14" s="332"/>
    </row>
    <row r="15" spans="1:6">
      <c r="A15" s="1299" t="s">
        <v>183</v>
      </c>
      <c r="B15" s="1300">
        <v>68</v>
      </c>
      <c r="C15" s="332"/>
      <c r="D15" s="332"/>
      <c r="E15" s="332"/>
      <c r="F15" s="332"/>
    </row>
    <row r="16" spans="1:6">
      <c r="A16" s="1299" t="s">
        <v>6</v>
      </c>
      <c r="B16" s="1300">
        <v>2277</v>
      </c>
      <c r="C16" s="332"/>
      <c r="D16" s="332"/>
      <c r="E16" s="332"/>
      <c r="F16" s="332"/>
    </row>
    <row r="17" spans="1:6">
      <c r="A17" s="1299" t="s">
        <v>7</v>
      </c>
      <c r="B17" s="1300">
        <v>2414</v>
      </c>
      <c r="C17" s="332"/>
      <c r="D17" s="332"/>
      <c r="E17" s="332"/>
      <c r="F17" s="332"/>
    </row>
    <row r="18" spans="1:6">
      <c r="A18" s="1299" t="s">
        <v>8</v>
      </c>
      <c r="B18" s="1300">
        <v>3485</v>
      </c>
      <c r="C18" s="332"/>
      <c r="D18" s="332"/>
      <c r="E18" s="332"/>
      <c r="F18" s="332"/>
    </row>
    <row r="19" spans="1:6">
      <c r="A19" s="1299" t="s">
        <v>9</v>
      </c>
      <c r="B19" s="1300">
        <v>3469</v>
      </c>
      <c r="C19" s="332"/>
      <c r="D19" s="332"/>
      <c r="E19" s="332"/>
      <c r="F19" s="332"/>
    </row>
    <row r="20" spans="1:6">
      <c r="A20" s="1299" t="s">
        <v>10</v>
      </c>
      <c r="B20" s="1300">
        <v>2631</v>
      </c>
      <c r="C20" s="332"/>
      <c r="D20" s="332"/>
      <c r="E20" s="332"/>
      <c r="F20" s="332"/>
    </row>
    <row r="21" spans="1:6">
      <c r="A21" s="1299" t="s">
        <v>11</v>
      </c>
      <c r="B21" s="1300">
        <v>7123</v>
      </c>
      <c r="C21" s="332"/>
      <c r="D21" s="332"/>
      <c r="E21" s="332"/>
      <c r="F21" s="332"/>
    </row>
    <row r="22" spans="1:6">
      <c r="A22" s="1299" t="s">
        <v>12</v>
      </c>
      <c r="B22" s="1300">
        <v>19396</v>
      </c>
      <c r="C22" s="332"/>
      <c r="D22" s="332"/>
      <c r="E22" s="332"/>
      <c r="F22" s="332"/>
    </row>
    <row r="23" spans="1:6">
      <c r="A23" s="1299" t="s">
        <v>13</v>
      </c>
      <c r="B23" s="1300">
        <v>707</v>
      </c>
      <c r="C23" s="332"/>
      <c r="D23" s="332"/>
      <c r="E23" s="332"/>
      <c r="F23" s="332"/>
    </row>
    <row r="24" spans="1:6">
      <c r="A24" s="1299" t="s">
        <v>14</v>
      </c>
      <c r="B24" s="1300">
        <v>23</v>
      </c>
      <c r="C24" s="332"/>
      <c r="D24" s="332"/>
      <c r="E24" s="332"/>
      <c r="F24" s="332"/>
    </row>
    <row r="25" spans="1:6">
      <c r="A25" s="1299" t="s">
        <v>15</v>
      </c>
      <c r="B25" s="1300">
        <v>2090</v>
      </c>
      <c r="C25" s="332"/>
      <c r="D25" s="332"/>
      <c r="E25" s="332"/>
      <c r="F25" s="332"/>
    </row>
    <row r="26" spans="1:6">
      <c r="A26" s="1299" t="s">
        <v>16</v>
      </c>
      <c r="B26" s="1300">
        <v>531</v>
      </c>
      <c r="C26" s="332"/>
      <c r="D26" s="332"/>
      <c r="E26" s="332"/>
      <c r="F26" s="332"/>
    </row>
    <row r="27" spans="1:6">
      <c r="A27" s="1299" t="s">
        <v>17</v>
      </c>
      <c r="B27" s="1300">
        <v>0</v>
      </c>
      <c r="C27" s="332"/>
      <c r="D27" s="332"/>
      <c r="E27" s="332"/>
      <c r="F27" s="332"/>
    </row>
    <row r="28" spans="1:6" s="44" customFormat="1">
      <c r="A28" s="1301" t="s">
        <v>18</v>
      </c>
      <c r="B28" s="1302">
        <v>127063</v>
      </c>
      <c r="C28" s="338"/>
      <c r="D28" s="338"/>
      <c r="E28" s="338"/>
      <c r="F28" s="338"/>
    </row>
    <row r="29" spans="1:6">
      <c r="A29" s="1301" t="s">
        <v>950</v>
      </c>
      <c r="B29" s="1302">
        <v>253</v>
      </c>
      <c r="C29" s="338"/>
      <c r="D29" s="338"/>
      <c r="E29" s="338"/>
      <c r="F29" s="338"/>
    </row>
    <row r="30" spans="1:6">
      <c r="A30" s="1294" t="s">
        <v>951</v>
      </c>
      <c r="B30" s="1303">
        <v>83</v>
      </c>
      <c r="C30" s="335"/>
      <c r="D30" s="335"/>
      <c r="E30" s="335"/>
      <c r="F30" s="335"/>
    </row>
    <row r="31" spans="1:6" ht="15.75" thickBot="1">
      <c r="A31" s="336"/>
      <c r="B31" s="332"/>
      <c r="C31" s="332"/>
      <c r="D31" s="332"/>
      <c r="E31" s="332"/>
      <c r="F31" s="332"/>
    </row>
    <row r="32" spans="1:6" ht="20.25" thickBot="1">
      <c r="A32" s="1291" t="s">
        <v>19</v>
      </c>
      <c r="B32" s="333" t="s">
        <v>395</v>
      </c>
      <c r="C32" s="333" t="s">
        <v>952</v>
      </c>
      <c r="D32" s="333"/>
      <c r="E32" s="333"/>
      <c r="F32" s="337"/>
    </row>
    <row r="33" spans="1:6" ht="16.5" thickTop="1" thickBot="1">
      <c r="A33" s="1304"/>
      <c r="B33" s="1305"/>
      <c r="C33" s="1305"/>
      <c r="D33" s="1305"/>
      <c r="E33" s="1305" t="s">
        <v>20</v>
      </c>
      <c r="F33" s="1306"/>
    </row>
    <row r="34" spans="1:6" ht="16.5" thickTop="1" thickBot="1">
      <c r="A34" s="1307" t="s">
        <v>21</v>
      </c>
      <c r="B34" s="1308" t="s">
        <v>22</v>
      </c>
      <c r="C34" s="1308" t="s">
        <v>5</v>
      </c>
      <c r="D34" s="1308" t="s">
        <v>23</v>
      </c>
      <c r="E34" s="1308" t="s">
        <v>5</v>
      </c>
      <c r="F34" s="1309" t="s">
        <v>23</v>
      </c>
    </row>
    <row r="35" spans="1:6">
      <c r="A35" s="1299" t="s">
        <v>24</v>
      </c>
      <c r="B35" s="1299" t="s">
        <v>25</v>
      </c>
      <c r="C35" s="1300">
        <v>0</v>
      </c>
      <c r="D35" s="1300">
        <v>0</v>
      </c>
      <c r="E35" s="1300">
        <v>0</v>
      </c>
      <c r="F35" s="1300">
        <v>0</v>
      </c>
    </row>
    <row r="36" spans="1:6">
      <c r="A36" s="1299" t="s">
        <v>24</v>
      </c>
      <c r="B36" s="1299" t="s">
        <v>26</v>
      </c>
      <c r="C36" s="1300">
        <v>0</v>
      </c>
      <c r="D36" s="1300">
        <v>0</v>
      </c>
      <c r="E36" s="1300">
        <v>3</v>
      </c>
      <c r="F36" s="1300">
        <v>16862.328860149599</v>
      </c>
    </row>
    <row r="37" spans="1:6">
      <c r="A37" s="1299" t="s">
        <v>24</v>
      </c>
      <c r="B37" s="1299" t="s">
        <v>27</v>
      </c>
      <c r="C37" s="1300">
        <v>0</v>
      </c>
      <c r="D37" s="1300">
        <v>0</v>
      </c>
      <c r="E37" s="1300">
        <v>0</v>
      </c>
      <c r="F37" s="1300">
        <v>0</v>
      </c>
    </row>
    <row r="38" spans="1:6">
      <c r="A38" s="1299" t="s">
        <v>24</v>
      </c>
      <c r="B38" s="1299" t="s">
        <v>28</v>
      </c>
      <c r="C38" s="1300">
        <v>1</v>
      </c>
      <c r="D38" s="1300">
        <v>18149.746324786101</v>
      </c>
      <c r="E38" s="1300">
        <v>4</v>
      </c>
      <c r="F38" s="1300">
        <v>51167.271661283303</v>
      </c>
    </row>
    <row r="39" spans="1:6">
      <c r="A39" s="1299" t="s">
        <v>29</v>
      </c>
      <c r="B39" s="1299" t="s">
        <v>30</v>
      </c>
      <c r="C39" s="1300">
        <v>2468</v>
      </c>
      <c r="D39" s="1300">
        <v>46793496.853373498</v>
      </c>
      <c r="E39" s="1300">
        <v>4090</v>
      </c>
      <c r="F39" s="1300">
        <v>20398052.359461199</v>
      </c>
    </row>
    <row r="40" spans="1:6">
      <c r="A40" s="1299" t="s">
        <v>29</v>
      </c>
      <c r="B40" s="1299" t="s">
        <v>28</v>
      </c>
      <c r="C40" s="1300">
        <v>0</v>
      </c>
      <c r="D40" s="1300">
        <v>0</v>
      </c>
      <c r="E40" s="1300">
        <v>0</v>
      </c>
      <c r="F40" s="1300">
        <v>0</v>
      </c>
    </row>
    <row r="41" spans="1:6">
      <c r="A41" s="1299" t="s">
        <v>31</v>
      </c>
      <c r="B41" s="1299" t="s">
        <v>32</v>
      </c>
      <c r="C41" s="1300">
        <v>45</v>
      </c>
      <c r="D41" s="1300">
        <v>1088571.0963387601</v>
      </c>
      <c r="E41" s="1300">
        <v>121</v>
      </c>
      <c r="F41" s="1300">
        <v>1164407.01461882</v>
      </c>
    </row>
    <row r="42" spans="1:6">
      <c r="A42" s="1299" t="s">
        <v>31</v>
      </c>
      <c r="B42" s="1299" t="s">
        <v>33</v>
      </c>
      <c r="C42" s="1300">
        <v>0</v>
      </c>
      <c r="D42" s="1300">
        <v>0</v>
      </c>
      <c r="E42" s="1300">
        <v>0</v>
      </c>
      <c r="F42" s="1300">
        <v>0</v>
      </c>
    </row>
    <row r="43" spans="1:6">
      <c r="A43" s="1299" t="s">
        <v>31</v>
      </c>
      <c r="B43" s="1299" t="s">
        <v>34</v>
      </c>
      <c r="C43" s="1300">
        <v>0</v>
      </c>
      <c r="D43" s="1300">
        <v>0</v>
      </c>
      <c r="E43" s="1300">
        <v>0</v>
      </c>
      <c r="F43" s="1300">
        <v>0</v>
      </c>
    </row>
    <row r="44" spans="1:6">
      <c r="A44" s="1299" t="s">
        <v>31</v>
      </c>
      <c r="B44" s="1299" t="s">
        <v>35</v>
      </c>
      <c r="C44" s="1300">
        <v>3</v>
      </c>
      <c r="D44" s="1300">
        <v>74598.785658497</v>
      </c>
      <c r="E44" s="1300">
        <v>16</v>
      </c>
      <c r="F44" s="1300">
        <v>157714.99821609299</v>
      </c>
    </row>
    <row r="45" spans="1:6">
      <c r="A45" s="1299" t="s">
        <v>31</v>
      </c>
      <c r="B45" s="1299" t="s">
        <v>36</v>
      </c>
      <c r="C45" s="1300">
        <v>0</v>
      </c>
      <c r="D45" s="1300">
        <v>0</v>
      </c>
      <c r="E45" s="1300">
        <v>0</v>
      </c>
      <c r="F45" s="1300">
        <v>0</v>
      </c>
    </row>
    <row r="46" spans="1:6">
      <c r="A46" s="1299" t="s">
        <v>31</v>
      </c>
      <c r="B46" s="1299" t="s">
        <v>37</v>
      </c>
      <c r="C46" s="1300">
        <v>0</v>
      </c>
      <c r="D46" s="1300">
        <v>0</v>
      </c>
      <c r="E46" s="1300">
        <v>0</v>
      </c>
      <c r="F46" s="1300">
        <v>0</v>
      </c>
    </row>
    <row r="47" spans="1:6">
      <c r="A47" s="1299" t="s">
        <v>31</v>
      </c>
      <c r="B47" s="1299" t="s">
        <v>38</v>
      </c>
      <c r="C47" s="1300">
        <v>0</v>
      </c>
      <c r="D47" s="1300">
        <v>0</v>
      </c>
      <c r="E47" s="1300">
        <v>0</v>
      </c>
      <c r="F47" s="1300">
        <v>0</v>
      </c>
    </row>
    <row r="48" spans="1:6">
      <c r="A48" s="1299" t="s">
        <v>31</v>
      </c>
      <c r="B48" s="1299" t="s">
        <v>28</v>
      </c>
      <c r="C48" s="1300">
        <v>14</v>
      </c>
      <c r="D48" s="1300">
        <v>613282.63998907199</v>
      </c>
      <c r="E48" s="1300">
        <v>36</v>
      </c>
      <c r="F48" s="1300">
        <v>1282252.7526026899</v>
      </c>
    </row>
    <row r="49" spans="1:6">
      <c r="A49" s="1299" t="s">
        <v>31</v>
      </c>
      <c r="B49" s="1299" t="s">
        <v>39</v>
      </c>
      <c r="C49" s="1300">
        <v>0</v>
      </c>
      <c r="D49" s="1300">
        <v>0</v>
      </c>
      <c r="E49" s="1300">
        <v>0</v>
      </c>
      <c r="F49" s="1300">
        <v>0</v>
      </c>
    </row>
    <row r="50" spans="1:6">
      <c r="A50" s="1299" t="s">
        <v>31</v>
      </c>
      <c r="B50" s="1299" t="s">
        <v>40</v>
      </c>
      <c r="C50" s="1300">
        <v>6</v>
      </c>
      <c r="D50" s="1300">
        <v>186296.56695177199</v>
      </c>
      <c r="E50" s="1300">
        <v>13</v>
      </c>
      <c r="F50" s="1300">
        <v>383041.67452839098</v>
      </c>
    </row>
    <row r="51" spans="1:6">
      <c r="A51" s="1299" t="s">
        <v>41</v>
      </c>
      <c r="B51" s="1299" t="s">
        <v>42</v>
      </c>
      <c r="C51" s="1300">
        <v>21</v>
      </c>
      <c r="D51" s="1300">
        <v>1417375.68213528</v>
      </c>
      <c r="E51" s="1300">
        <v>198</v>
      </c>
      <c r="F51" s="1300">
        <v>3363000.8730069902</v>
      </c>
    </row>
    <row r="52" spans="1:6">
      <c r="A52" s="1299" t="s">
        <v>41</v>
      </c>
      <c r="B52" s="1299" t="s">
        <v>28</v>
      </c>
      <c r="C52" s="1300">
        <v>4</v>
      </c>
      <c r="D52" s="1300">
        <v>1104902.00957561</v>
      </c>
      <c r="E52" s="1300">
        <v>4</v>
      </c>
      <c r="F52" s="1300">
        <v>88225.427466876994</v>
      </c>
    </row>
    <row r="53" spans="1:6">
      <c r="A53" s="1299" t="s">
        <v>43</v>
      </c>
      <c r="B53" s="1299" t="s">
        <v>44</v>
      </c>
      <c r="C53" s="1300">
        <v>61</v>
      </c>
      <c r="D53" s="1300">
        <v>1272562.53390539</v>
      </c>
      <c r="E53" s="1300">
        <v>125</v>
      </c>
      <c r="F53" s="1300">
        <v>726900.26995421899</v>
      </c>
    </row>
    <row r="54" spans="1:6">
      <c r="A54" s="1299" t="s">
        <v>45</v>
      </c>
      <c r="B54" s="1299" t="s">
        <v>46</v>
      </c>
      <c r="C54" s="1300">
        <v>0</v>
      </c>
      <c r="D54" s="1300">
        <v>0</v>
      </c>
      <c r="E54" s="1300">
        <v>1</v>
      </c>
      <c r="F54" s="1300">
        <v>859391</v>
      </c>
    </row>
    <row r="55" spans="1:6">
      <c r="A55" s="1299" t="s">
        <v>45</v>
      </c>
      <c r="B55" s="1299" t="s">
        <v>28</v>
      </c>
      <c r="C55" s="1300">
        <v>0</v>
      </c>
      <c r="D55" s="1300">
        <v>0</v>
      </c>
      <c r="E55" s="1300">
        <v>0</v>
      </c>
      <c r="F55" s="1300">
        <v>0</v>
      </c>
    </row>
    <row r="56" spans="1:6">
      <c r="A56" s="1299" t="s">
        <v>47</v>
      </c>
      <c r="B56" s="1299" t="s">
        <v>28</v>
      </c>
      <c r="C56" s="1300">
        <v>0</v>
      </c>
      <c r="D56" s="1300">
        <v>0</v>
      </c>
      <c r="E56" s="1300">
        <v>0</v>
      </c>
      <c r="F56" s="1300">
        <v>0</v>
      </c>
    </row>
    <row r="57" spans="1:6">
      <c r="A57" s="1299" t="s">
        <v>48</v>
      </c>
      <c r="B57" s="1299" t="s">
        <v>49</v>
      </c>
      <c r="C57" s="1300">
        <v>23</v>
      </c>
      <c r="D57" s="1300">
        <v>615973.90539227903</v>
      </c>
      <c r="E57" s="1300">
        <v>46</v>
      </c>
      <c r="F57" s="1300">
        <v>798451.516022556</v>
      </c>
    </row>
    <row r="58" spans="1:6">
      <c r="A58" s="1299" t="s">
        <v>48</v>
      </c>
      <c r="B58" s="1299" t="s">
        <v>50</v>
      </c>
      <c r="C58" s="1300">
        <v>12</v>
      </c>
      <c r="D58" s="1300">
        <v>486553.53657100699</v>
      </c>
      <c r="E58" s="1300">
        <v>23</v>
      </c>
      <c r="F58" s="1300">
        <v>187921.27598866</v>
      </c>
    </row>
    <row r="59" spans="1:6">
      <c r="A59" s="1299" t="s">
        <v>48</v>
      </c>
      <c r="B59" s="1299" t="s">
        <v>51</v>
      </c>
      <c r="C59" s="1300">
        <v>54</v>
      </c>
      <c r="D59" s="1300">
        <v>2003696.98534526</v>
      </c>
      <c r="E59" s="1300">
        <v>123</v>
      </c>
      <c r="F59" s="1300">
        <v>2457184.39722022</v>
      </c>
    </row>
    <row r="60" spans="1:6">
      <c r="A60" s="1299" t="s">
        <v>48</v>
      </c>
      <c r="B60" s="1299" t="s">
        <v>52</v>
      </c>
      <c r="C60" s="1300">
        <v>60</v>
      </c>
      <c r="D60" s="1300">
        <v>3702148.1742259301</v>
      </c>
      <c r="E60" s="1300">
        <v>86</v>
      </c>
      <c r="F60" s="1300">
        <v>2520001.7249651002</v>
      </c>
    </row>
    <row r="61" spans="1:6">
      <c r="A61" s="1299" t="s">
        <v>48</v>
      </c>
      <c r="B61" s="1299" t="s">
        <v>53</v>
      </c>
      <c r="C61" s="1300">
        <v>95</v>
      </c>
      <c r="D61" s="1300">
        <v>6194546.52976772</v>
      </c>
      <c r="E61" s="1300">
        <v>204</v>
      </c>
      <c r="F61" s="1300">
        <v>3010711.4690187802</v>
      </c>
    </row>
    <row r="62" spans="1:6">
      <c r="A62" s="1299" t="s">
        <v>48</v>
      </c>
      <c r="B62" s="1299" t="s">
        <v>54</v>
      </c>
      <c r="C62" s="1300">
        <v>6</v>
      </c>
      <c r="D62" s="1300">
        <v>304069.827254745</v>
      </c>
      <c r="E62" s="1300">
        <v>10</v>
      </c>
      <c r="F62" s="1300">
        <v>60413.762570229002</v>
      </c>
    </row>
    <row r="63" spans="1:6">
      <c r="A63" s="1299" t="s">
        <v>48</v>
      </c>
      <c r="B63" s="1299" t="s">
        <v>28</v>
      </c>
      <c r="C63" s="1300">
        <v>67</v>
      </c>
      <c r="D63" s="1300">
        <v>3819943.2795291198</v>
      </c>
      <c r="E63" s="1300">
        <v>91</v>
      </c>
      <c r="F63" s="1300">
        <v>3258162.6470871898</v>
      </c>
    </row>
    <row r="64" spans="1:6">
      <c r="A64" s="1299" t="s">
        <v>55</v>
      </c>
      <c r="B64" s="1299" t="s">
        <v>56</v>
      </c>
      <c r="C64" s="1300">
        <v>0</v>
      </c>
      <c r="D64" s="1300">
        <v>0</v>
      </c>
      <c r="E64" s="1300">
        <v>0</v>
      </c>
      <c r="F64" s="1300">
        <v>0</v>
      </c>
    </row>
    <row r="65" spans="1:6">
      <c r="A65" s="1299" t="s">
        <v>55</v>
      </c>
      <c r="B65" s="1299" t="s">
        <v>28</v>
      </c>
      <c r="C65" s="1300">
        <v>0</v>
      </c>
      <c r="D65" s="1300">
        <v>0</v>
      </c>
      <c r="E65" s="1300">
        <v>4</v>
      </c>
      <c r="F65" s="1300">
        <v>48871.153873078198</v>
      </c>
    </row>
    <row r="66" spans="1:6">
      <c r="A66" s="1299" t="s">
        <v>55</v>
      </c>
      <c r="B66" s="1299" t="s">
        <v>57</v>
      </c>
      <c r="C66" s="1300">
        <v>0</v>
      </c>
      <c r="D66" s="1300">
        <v>0</v>
      </c>
      <c r="E66" s="1300">
        <v>0</v>
      </c>
      <c r="F66" s="1300">
        <v>0</v>
      </c>
    </row>
    <row r="67" spans="1:6">
      <c r="A67" s="1301" t="s">
        <v>55</v>
      </c>
      <c r="B67" s="1301" t="s">
        <v>58</v>
      </c>
      <c r="C67" s="1300">
        <v>0</v>
      </c>
      <c r="D67" s="1300">
        <v>0</v>
      </c>
      <c r="E67" s="1300">
        <v>0</v>
      </c>
      <c r="F67" s="1300">
        <v>0</v>
      </c>
    </row>
    <row r="68" spans="1:6">
      <c r="A68" s="1294" t="s">
        <v>55</v>
      </c>
      <c r="B68" s="1294" t="s">
        <v>59</v>
      </c>
      <c r="C68" s="1303">
        <v>3</v>
      </c>
      <c r="D68" s="1303">
        <v>80550.977276202597</v>
      </c>
      <c r="E68" s="1303">
        <v>4</v>
      </c>
      <c r="F68" s="1303">
        <v>36610.786509612597</v>
      </c>
    </row>
    <row r="69" spans="1:6" ht="15.75" thickBot="1">
      <c r="A69" s="336"/>
      <c r="B69" s="332"/>
      <c r="C69" s="332"/>
      <c r="D69" s="332"/>
      <c r="E69" s="332"/>
      <c r="F69" s="332"/>
    </row>
    <row r="70" spans="1:6" ht="19.5">
      <c r="A70" s="1291" t="s">
        <v>60</v>
      </c>
      <c r="B70" s="333" t="s">
        <v>413</v>
      </c>
      <c r="C70" s="333" t="s">
        <v>802</v>
      </c>
      <c r="D70" s="333"/>
      <c r="E70" s="333"/>
      <c r="F70" s="337"/>
    </row>
    <row r="71" spans="1:6" ht="20.25" thickBot="1">
      <c r="A71" s="1310"/>
      <c r="B71" s="339"/>
      <c r="C71" s="339"/>
      <c r="D71" s="340" t="s">
        <v>455</v>
      </c>
      <c r="E71" s="339"/>
      <c r="F71" s="341"/>
    </row>
    <row r="72" spans="1:6" ht="16.5" thickTop="1" thickBot="1">
      <c r="A72" s="1296" t="s">
        <v>61</v>
      </c>
      <c r="B72" s="1297" t="s">
        <v>62</v>
      </c>
      <c r="C72" s="1311" t="s">
        <v>760</v>
      </c>
      <c r="D72" s="1312"/>
      <c r="E72" s="1312"/>
      <c r="F72" s="1298"/>
    </row>
    <row r="73" spans="1:6">
      <c r="A73" s="1299" t="s">
        <v>63</v>
      </c>
      <c r="B73" s="1299" t="s">
        <v>767</v>
      </c>
      <c r="C73" s="1313" t="s">
        <v>761</v>
      </c>
      <c r="D73" s="1314">
        <v>110063011</v>
      </c>
      <c r="E73" s="455"/>
      <c r="F73" s="332"/>
    </row>
    <row r="74" spans="1:6">
      <c r="A74" s="1299" t="s">
        <v>63</v>
      </c>
      <c r="B74" s="1299" t="s">
        <v>768</v>
      </c>
      <c r="C74" s="1313" t="s">
        <v>762</v>
      </c>
      <c r="D74" s="1314">
        <v>12470551.054916397</v>
      </c>
      <c r="E74" s="455"/>
      <c r="F74" s="332"/>
    </row>
    <row r="75" spans="1:6">
      <c r="A75" s="1299" t="s">
        <v>64</v>
      </c>
      <c r="B75" s="1299" t="s">
        <v>767</v>
      </c>
      <c r="C75" s="1313" t="s">
        <v>763</v>
      </c>
      <c r="D75" s="1314">
        <v>40408506</v>
      </c>
      <c r="E75" s="455"/>
      <c r="F75" s="332"/>
    </row>
    <row r="76" spans="1:6">
      <c r="A76" s="1299" t="s">
        <v>64</v>
      </c>
      <c r="B76" s="1299" t="s">
        <v>768</v>
      </c>
      <c r="C76" s="1313" t="s">
        <v>764</v>
      </c>
      <c r="D76" s="1314">
        <v>2929123.0549163972</v>
      </c>
      <c r="E76" s="455"/>
      <c r="F76" s="332"/>
    </row>
    <row r="77" spans="1:6">
      <c r="A77" s="1299" t="s">
        <v>65</v>
      </c>
      <c r="B77" s="1299" t="s">
        <v>767</v>
      </c>
      <c r="C77" s="1313" t="s">
        <v>765</v>
      </c>
      <c r="D77" s="1314">
        <v>0</v>
      </c>
      <c r="E77" s="455"/>
      <c r="F77" s="332"/>
    </row>
    <row r="78" spans="1:6">
      <c r="A78" s="1294" t="s">
        <v>65</v>
      </c>
      <c r="B78" s="1294" t="s">
        <v>768</v>
      </c>
      <c r="C78" s="1294" t="s">
        <v>766</v>
      </c>
      <c r="D78" s="1315">
        <v>0</v>
      </c>
      <c r="E78" s="1316"/>
      <c r="F78" s="335"/>
    </row>
    <row r="79" spans="1:6">
      <c r="A79" s="1317"/>
      <c r="B79" s="1317"/>
      <c r="C79" s="332"/>
      <c r="D79" s="332"/>
      <c r="E79" s="332"/>
      <c r="F79" s="332"/>
    </row>
    <row r="80" spans="1:6" ht="15.75" thickBot="1">
      <c r="A80" s="1317"/>
      <c r="B80" s="1317"/>
      <c r="C80" s="332"/>
      <c r="D80" s="332"/>
      <c r="E80" s="332"/>
      <c r="F80" s="332"/>
    </row>
    <row r="81" spans="1:6" ht="20.25" thickBot="1">
      <c r="A81" s="1291" t="s">
        <v>333</v>
      </c>
      <c r="B81" s="1318" t="s">
        <v>395</v>
      </c>
      <c r="C81" s="333" t="s">
        <v>953</v>
      </c>
      <c r="D81" s="333"/>
      <c r="E81" s="333"/>
      <c r="F81" s="337"/>
    </row>
    <row r="82" spans="1:6" ht="16.5" thickTop="1" thickBot="1">
      <c r="A82" s="1296" t="s">
        <v>334</v>
      </c>
      <c r="B82" s="1312"/>
      <c r="C82" s="1312"/>
      <c r="D82" s="1297"/>
      <c r="E82" s="1297"/>
      <c r="F82" s="1298"/>
    </row>
    <row r="83" spans="1:6">
      <c r="A83" s="1299" t="s">
        <v>335</v>
      </c>
      <c r="B83" s="1314">
        <v>413411.89016720548</v>
      </c>
      <c r="C83" s="455"/>
      <c r="D83" s="332"/>
      <c r="E83" s="332"/>
      <c r="F83" s="332"/>
    </row>
    <row r="84" spans="1:6">
      <c r="A84" s="1294" t="s">
        <v>336</v>
      </c>
      <c r="B84" s="1315">
        <v>0</v>
      </c>
      <c r="C84" s="1316"/>
      <c r="D84" s="335"/>
      <c r="E84" s="335"/>
      <c r="F84" s="335"/>
    </row>
    <row r="85" spans="1:6">
      <c r="A85" s="1317"/>
      <c r="B85" s="1319"/>
      <c r="C85" s="332"/>
      <c r="D85" s="332"/>
      <c r="E85" s="332"/>
      <c r="F85" s="332"/>
    </row>
    <row r="86" spans="1:6" ht="15.75" thickBot="1">
      <c r="A86" s="336"/>
      <c r="B86" s="332"/>
      <c r="C86" s="332"/>
      <c r="D86" s="332"/>
      <c r="E86" s="332"/>
      <c r="F86" s="332"/>
    </row>
    <row r="87" spans="1:6" ht="20.25" thickBot="1">
      <c r="A87" s="1291" t="s">
        <v>66</v>
      </c>
      <c r="B87" s="333" t="s">
        <v>395</v>
      </c>
      <c r="C87" s="333" t="s">
        <v>417</v>
      </c>
      <c r="D87" s="333"/>
      <c r="E87" s="333"/>
      <c r="F87" s="337"/>
    </row>
    <row r="88" spans="1:6" ht="16.5" thickTop="1" thickBot="1">
      <c r="A88" s="1296" t="s">
        <v>4</v>
      </c>
      <c r="B88" s="1297" t="s">
        <v>169</v>
      </c>
      <c r="C88" s="1297"/>
      <c r="D88" s="1297"/>
      <c r="E88" s="1297"/>
      <c r="F88" s="1298"/>
    </row>
    <row r="89" spans="1:6">
      <c r="A89" s="1299" t="s">
        <v>565</v>
      </c>
      <c r="B89" s="1300">
        <v>0</v>
      </c>
      <c r="C89" s="332"/>
      <c r="D89" s="332"/>
      <c r="E89" s="332"/>
      <c r="F89" s="332"/>
    </row>
    <row r="90" spans="1:6">
      <c r="A90" s="1299" t="s">
        <v>566</v>
      </c>
      <c r="B90" s="1300">
        <v>0</v>
      </c>
      <c r="C90" s="332"/>
      <c r="D90" s="332"/>
      <c r="E90" s="332"/>
      <c r="F90" s="332"/>
    </row>
    <row r="91" spans="1:6">
      <c r="A91" s="1299" t="s">
        <v>67</v>
      </c>
      <c r="B91" s="1300">
        <v>2071.7858986597612</v>
      </c>
      <c r="C91" s="332"/>
      <c r="D91" s="332"/>
      <c r="E91" s="332"/>
      <c r="F91" s="332"/>
    </row>
    <row r="92" spans="1:6">
      <c r="A92" s="1294" t="s">
        <v>68</v>
      </c>
      <c r="B92" s="1295">
        <v>435.7304236243275</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291" t="s">
        <v>69</v>
      </c>
      <c r="B95" s="333" t="s">
        <v>395</v>
      </c>
      <c r="C95" s="333" t="s">
        <v>418</v>
      </c>
      <c r="D95" s="333"/>
      <c r="E95" s="333"/>
      <c r="F95" s="337"/>
    </row>
    <row r="96" spans="1:6" ht="16.5" thickTop="1" thickBot="1">
      <c r="A96" s="1296" t="s">
        <v>4</v>
      </c>
      <c r="B96" s="1297" t="s">
        <v>5</v>
      </c>
      <c r="C96" s="1297"/>
      <c r="D96" s="1297"/>
      <c r="E96" s="1297"/>
      <c r="F96" s="1298"/>
    </row>
    <row r="97" spans="1:6">
      <c r="A97" s="1299" t="s">
        <v>70</v>
      </c>
      <c r="B97" s="1300">
        <v>1630</v>
      </c>
      <c r="C97" s="332"/>
      <c r="D97" s="332"/>
      <c r="E97" s="332"/>
      <c r="F97" s="332"/>
    </row>
    <row r="98" spans="1:6">
      <c r="A98" s="1299" t="s">
        <v>71</v>
      </c>
      <c r="B98" s="1300">
        <v>0</v>
      </c>
      <c r="C98" s="332"/>
      <c r="D98" s="332"/>
      <c r="E98" s="332"/>
      <c r="F98" s="332"/>
    </row>
    <row r="99" spans="1:6">
      <c r="A99" s="1299" t="s">
        <v>72</v>
      </c>
      <c r="B99" s="1300">
        <v>226</v>
      </c>
      <c r="C99" s="332"/>
      <c r="D99" s="332"/>
      <c r="E99" s="332"/>
      <c r="F99" s="332"/>
    </row>
    <row r="100" spans="1:6">
      <c r="A100" s="1299" t="s">
        <v>73</v>
      </c>
      <c r="B100" s="1300">
        <v>396</v>
      </c>
      <c r="C100" s="332"/>
      <c r="D100" s="332"/>
      <c r="E100" s="332"/>
      <c r="F100" s="332"/>
    </row>
    <row r="101" spans="1:6">
      <c r="A101" s="1299" t="s">
        <v>74</v>
      </c>
      <c r="B101" s="1300">
        <v>141</v>
      </c>
      <c r="C101" s="332"/>
      <c r="D101" s="332"/>
      <c r="E101" s="332"/>
      <c r="F101" s="332"/>
    </row>
    <row r="102" spans="1:6">
      <c r="A102" s="1299" t="s">
        <v>75</v>
      </c>
      <c r="B102" s="1300">
        <v>107</v>
      </c>
      <c r="C102" s="332"/>
      <c r="D102" s="332"/>
      <c r="E102" s="332"/>
      <c r="F102" s="332"/>
    </row>
    <row r="103" spans="1:6">
      <c r="A103" s="1299" t="s">
        <v>76</v>
      </c>
      <c r="B103" s="1300">
        <v>138</v>
      </c>
      <c r="C103" s="332"/>
      <c r="D103" s="332"/>
      <c r="E103" s="332"/>
      <c r="F103" s="332"/>
    </row>
    <row r="104" spans="1:6">
      <c r="A104" s="1299" t="s">
        <v>77</v>
      </c>
      <c r="B104" s="1300">
        <v>1413</v>
      </c>
      <c r="C104" s="332"/>
      <c r="D104" s="332"/>
      <c r="E104" s="332"/>
      <c r="F104" s="332"/>
    </row>
    <row r="105" spans="1:6">
      <c r="A105" s="1294" t="s">
        <v>78</v>
      </c>
      <c r="B105" s="1303">
        <v>4</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291" t="s">
        <v>704</v>
      </c>
      <c r="B108" s="333" t="s">
        <v>395</v>
      </c>
      <c r="C108" s="333" t="s">
        <v>417</v>
      </c>
      <c r="D108" s="333"/>
      <c r="E108" s="333"/>
      <c r="F108" s="337"/>
    </row>
    <row r="109" spans="1:6" ht="16.5" thickTop="1" thickBot="1">
      <c r="A109" s="1296" t="s">
        <v>4</v>
      </c>
      <c r="B109" s="1297" t="s">
        <v>5</v>
      </c>
      <c r="C109" s="1297"/>
      <c r="D109" s="1297"/>
      <c r="E109" s="1297"/>
      <c r="F109" s="1298"/>
    </row>
    <row r="110" spans="1:6">
      <c r="A110" s="1299" t="s">
        <v>705</v>
      </c>
      <c r="B110" s="1300">
        <v>0</v>
      </c>
      <c r="C110" s="332"/>
      <c r="D110" s="332"/>
      <c r="E110" s="332"/>
      <c r="F110" s="332"/>
    </row>
    <row r="111" spans="1:6">
      <c r="A111" s="1320" t="s">
        <v>706</v>
      </c>
      <c r="B111" s="1321">
        <v>0</v>
      </c>
      <c r="C111" s="1323"/>
      <c r="D111" s="1323"/>
      <c r="E111" s="1323"/>
      <c r="F111" s="1323"/>
    </row>
    <row r="112" spans="1:6">
      <c r="A112" s="1299"/>
      <c r="B112" s="332"/>
      <c r="C112" s="332"/>
      <c r="D112" s="332"/>
      <c r="E112" s="332"/>
      <c r="F112" s="332"/>
    </row>
    <row r="113" spans="1:6" ht="15.75" thickBot="1">
      <c r="A113" s="1294"/>
      <c r="B113" s="335"/>
      <c r="C113" s="335"/>
      <c r="D113" s="335"/>
      <c r="E113" s="335"/>
      <c r="F113" s="335"/>
    </row>
    <row r="114" spans="1:6" ht="20.25" thickBot="1">
      <c r="A114" s="1291" t="s">
        <v>79</v>
      </c>
      <c r="B114" s="333" t="s">
        <v>395</v>
      </c>
      <c r="C114" s="333" t="s">
        <v>417</v>
      </c>
      <c r="D114" s="333"/>
      <c r="E114" s="333"/>
      <c r="F114" s="337"/>
    </row>
    <row r="115" spans="1:6" ht="16.5" thickTop="1" thickBot="1">
      <c r="A115" s="342"/>
      <c r="B115" s="343" t="s">
        <v>80</v>
      </c>
      <c r="C115" s="343" t="s">
        <v>81</v>
      </c>
      <c r="D115" s="343"/>
      <c r="E115" s="343"/>
      <c r="F115" s="344"/>
    </row>
    <row r="116" spans="1:6" ht="16.5" thickTop="1" thickBot="1">
      <c r="A116" s="1296" t="s">
        <v>4</v>
      </c>
      <c r="B116" s="1297" t="s">
        <v>5</v>
      </c>
      <c r="C116" s="1297" t="s">
        <v>5</v>
      </c>
      <c r="D116" s="1297"/>
      <c r="E116" s="1297"/>
      <c r="F116" s="1298"/>
    </row>
    <row r="117" spans="1:6">
      <c r="A117" s="1299" t="s">
        <v>82</v>
      </c>
      <c r="B117" s="1300">
        <v>0</v>
      </c>
      <c r="C117" s="1300">
        <v>0</v>
      </c>
      <c r="D117" s="332"/>
      <c r="E117" s="332"/>
      <c r="F117" s="332"/>
    </row>
    <row r="118" spans="1:6">
      <c r="A118" s="1299" t="s">
        <v>83</v>
      </c>
      <c r="B118" s="1300">
        <v>0</v>
      </c>
      <c r="C118" s="1300">
        <v>0</v>
      </c>
      <c r="D118" s="332"/>
      <c r="E118" s="332"/>
      <c r="F118" s="332"/>
    </row>
    <row r="119" spans="1:6">
      <c r="A119" s="1299" t="s">
        <v>31</v>
      </c>
      <c r="B119" s="1300">
        <v>0</v>
      </c>
      <c r="C119" s="1300">
        <v>0</v>
      </c>
      <c r="D119" s="332"/>
      <c r="E119" s="332"/>
      <c r="F119" s="332"/>
    </row>
    <row r="120" spans="1:6">
      <c r="A120" s="1299" t="s">
        <v>84</v>
      </c>
      <c r="B120" s="1300">
        <v>0</v>
      </c>
      <c r="C120" s="1300">
        <v>0</v>
      </c>
      <c r="D120" s="332"/>
      <c r="E120" s="332"/>
      <c r="F120" s="332"/>
    </row>
    <row r="121" spans="1:6">
      <c r="A121" s="1299" t="s">
        <v>85</v>
      </c>
      <c r="B121" s="1300">
        <v>0</v>
      </c>
      <c r="C121" s="1300">
        <v>0</v>
      </c>
      <c r="D121" s="332"/>
      <c r="E121" s="332"/>
      <c r="F121" s="332"/>
    </row>
    <row r="122" spans="1:6">
      <c r="A122" s="1299" t="s">
        <v>86</v>
      </c>
      <c r="B122" s="1300">
        <v>0</v>
      </c>
      <c r="C122" s="1300">
        <v>0</v>
      </c>
      <c r="D122" s="332"/>
      <c r="E122" s="332"/>
      <c r="F122" s="332"/>
    </row>
    <row r="123" spans="1:6">
      <c r="A123" s="1299" t="s">
        <v>87</v>
      </c>
      <c r="B123" s="1300">
        <v>5</v>
      </c>
      <c r="C123" s="1300">
        <v>4</v>
      </c>
      <c r="D123" s="332"/>
      <c r="E123" s="332"/>
      <c r="F123" s="332"/>
    </row>
    <row r="124" spans="1:6" s="44" customFormat="1">
      <c r="A124" s="1301" t="s">
        <v>88</v>
      </c>
      <c r="B124" s="1322">
        <v>0</v>
      </c>
      <c r="C124" s="1322">
        <v>0</v>
      </c>
      <c r="D124" s="338"/>
      <c r="E124" s="338"/>
      <c r="F124" s="338"/>
    </row>
    <row r="125" spans="1:6">
      <c r="A125" s="1294" t="s">
        <v>947</v>
      </c>
      <c r="B125" s="1322">
        <v>0</v>
      </c>
      <c r="C125" s="1322">
        <v>0</v>
      </c>
      <c r="D125" s="332"/>
      <c r="E125" s="332"/>
      <c r="F125" s="332"/>
    </row>
    <row r="126" spans="1:6" ht="15.75" thickBot="1">
      <c r="A126" s="1317"/>
      <c r="B126" s="332"/>
      <c r="C126" s="332"/>
      <c r="D126" s="332"/>
      <c r="E126" s="332"/>
      <c r="F126" s="332"/>
    </row>
    <row r="127" spans="1:6" ht="20.25" thickBot="1">
      <c r="A127" s="1291" t="s">
        <v>292</v>
      </c>
      <c r="B127" s="333" t="s">
        <v>395</v>
      </c>
      <c r="C127" s="333" t="s">
        <v>417</v>
      </c>
      <c r="D127" s="333"/>
      <c r="E127" s="333"/>
      <c r="F127" s="337"/>
    </row>
    <row r="128" spans="1:6" ht="16.5" thickTop="1" thickBot="1">
      <c r="A128" s="1296" t="s">
        <v>4</v>
      </c>
      <c r="B128" s="1297" t="s">
        <v>5</v>
      </c>
      <c r="C128" s="1297"/>
      <c r="D128" s="1297"/>
      <c r="E128" s="1297"/>
      <c r="F128" s="1298"/>
    </row>
    <row r="129" spans="1:6">
      <c r="A129" s="1299" t="s">
        <v>293</v>
      </c>
      <c r="B129" s="1300">
        <v>29</v>
      </c>
      <c r="C129" s="332"/>
      <c r="D129" s="332"/>
      <c r="E129" s="332"/>
      <c r="F129" s="332"/>
    </row>
    <row r="130" spans="1:6">
      <c r="A130" s="1299" t="s">
        <v>294</v>
      </c>
      <c r="B130" s="1300">
        <v>0</v>
      </c>
      <c r="C130" s="332"/>
      <c r="D130" s="332"/>
      <c r="E130" s="332"/>
      <c r="F130" s="332"/>
    </row>
    <row r="131" spans="1:6">
      <c r="A131" s="1299" t="s">
        <v>295</v>
      </c>
      <c r="B131" s="1300">
        <v>1</v>
      </c>
      <c r="C131" s="332"/>
      <c r="D131" s="332"/>
      <c r="E131" s="332"/>
      <c r="F131" s="332"/>
    </row>
    <row r="132" spans="1:6">
      <c r="A132" s="1294" t="s">
        <v>296</v>
      </c>
      <c r="B132" s="1295">
        <v>5</v>
      </c>
      <c r="C132" s="335"/>
      <c r="D132" s="335"/>
      <c r="E132" s="335"/>
      <c r="F132" s="335"/>
    </row>
    <row r="133" spans="1:6">
      <c r="A133" s="332"/>
      <c r="B133" s="332"/>
      <c r="C133" s="332"/>
      <c r="D133" s="332"/>
      <c r="E133" s="332"/>
      <c r="F133" s="332"/>
    </row>
    <row r="134" spans="1:6">
      <c r="A134" s="1319"/>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27" customWidth="1"/>
  </cols>
  <sheetData>
    <row r="1" spans="1:12" ht="18.75" thickBot="1">
      <c r="A1" s="122" t="s">
        <v>179</v>
      </c>
      <c r="B1" s="513"/>
    </row>
    <row r="2" spans="1:12">
      <c r="A2" s="45" t="s">
        <v>747</v>
      </c>
      <c r="B2" s="514"/>
    </row>
    <row r="3" spans="1:12">
      <c r="A3" s="45"/>
      <c r="B3" s="514"/>
    </row>
    <row r="4" spans="1:12" ht="18">
      <c r="A4" s="138" t="s">
        <v>180</v>
      </c>
      <c r="B4" s="515" t="s">
        <v>389</v>
      </c>
    </row>
    <row r="5" spans="1:12" ht="21">
      <c r="A5" s="117" t="s">
        <v>182</v>
      </c>
      <c r="B5" s="516"/>
      <c r="D5" s="646"/>
      <c r="E5" s="9"/>
      <c r="F5" s="10"/>
      <c r="G5" s="10"/>
      <c r="H5" s="10"/>
      <c r="I5" s="10"/>
      <c r="J5" s="10"/>
    </row>
    <row r="6" spans="1:12">
      <c r="A6" s="118" t="s">
        <v>183</v>
      </c>
      <c r="B6" s="517">
        <v>3.9849787380274715</v>
      </c>
      <c r="D6" s="646"/>
      <c r="E6" s="11"/>
      <c r="F6" s="11"/>
      <c r="G6" s="11"/>
      <c r="H6" s="11"/>
      <c r="I6" s="11"/>
      <c r="J6" s="11"/>
      <c r="K6" s="11"/>
      <c r="L6" s="11"/>
    </row>
    <row r="7" spans="1:12">
      <c r="A7" s="118" t="s">
        <v>6</v>
      </c>
      <c r="B7" s="517">
        <v>144.75014955765147</v>
      </c>
      <c r="D7" s="646"/>
      <c r="K7" s="11"/>
      <c r="L7" s="11"/>
    </row>
    <row r="8" spans="1:12">
      <c r="A8" s="118" t="s">
        <v>7</v>
      </c>
      <c r="B8" s="517">
        <v>91.996966343583537</v>
      </c>
      <c r="D8" s="646"/>
      <c r="K8" s="11"/>
      <c r="L8" s="11"/>
    </row>
    <row r="9" spans="1:12">
      <c r="A9" s="118" t="s">
        <v>8</v>
      </c>
      <c r="B9" s="517">
        <v>31.466379225633727</v>
      </c>
      <c r="D9" s="646"/>
      <c r="E9" s="11"/>
      <c r="F9" s="11"/>
      <c r="G9" s="11"/>
      <c r="H9" s="11"/>
      <c r="I9" s="11"/>
      <c r="J9" s="11"/>
      <c r="K9" s="11"/>
      <c r="L9" s="11"/>
    </row>
    <row r="10" spans="1:12">
      <c r="A10" s="118" t="s">
        <v>9</v>
      </c>
      <c r="B10" s="517">
        <v>47.265136268950577</v>
      </c>
      <c r="D10" s="646"/>
      <c r="E10" s="12"/>
      <c r="F10" s="12"/>
      <c r="G10" s="12"/>
      <c r="H10" s="12"/>
      <c r="I10" s="12"/>
      <c r="J10" s="12"/>
      <c r="K10" s="11"/>
      <c r="L10" s="11"/>
    </row>
    <row r="11" spans="1:12">
      <c r="A11" s="118" t="s">
        <v>10</v>
      </c>
      <c r="B11" s="517">
        <v>47.685070955670071</v>
      </c>
      <c r="D11" s="646"/>
      <c r="F11" s="12"/>
      <c r="G11" s="12"/>
      <c r="H11" s="12"/>
      <c r="I11" s="12"/>
      <c r="J11" s="12"/>
      <c r="K11" s="11"/>
      <c r="L11" s="11"/>
    </row>
    <row r="12" spans="1:12">
      <c r="A12" s="119" t="s">
        <v>16</v>
      </c>
      <c r="B12" s="517">
        <v>8</v>
      </c>
      <c r="D12" s="646"/>
      <c r="E12" s="12"/>
      <c r="F12" s="11"/>
      <c r="G12" s="11"/>
      <c r="H12" s="11"/>
      <c r="I12" s="11"/>
      <c r="J12" s="11"/>
      <c r="K12" s="11"/>
      <c r="L12" s="11"/>
    </row>
    <row r="13" spans="1:12">
      <c r="A13" s="119" t="s">
        <v>17</v>
      </c>
      <c r="B13" s="517">
        <v>5</v>
      </c>
      <c r="D13" s="646"/>
      <c r="E13" s="11"/>
      <c r="F13" s="11"/>
      <c r="G13" s="11"/>
      <c r="H13" s="11"/>
      <c r="I13" s="11"/>
      <c r="J13" s="11"/>
      <c r="K13" s="11"/>
      <c r="L13" s="11"/>
    </row>
    <row r="14" spans="1:12">
      <c r="A14" s="119" t="s">
        <v>184</v>
      </c>
      <c r="B14" s="517">
        <v>1.5</v>
      </c>
      <c r="D14" s="646"/>
      <c r="E14" s="11"/>
      <c r="F14" s="11"/>
      <c r="G14" s="11"/>
      <c r="H14" s="11"/>
      <c r="I14" s="11"/>
      <c r="J14" s="11"/>
      <c r="K14" s="11"/>
      <c r="L14" s="11"/>
    </row>
    <row r="15" spans="1:12">
      <c r="A15" s="119" t="s">
        <v>185</v>
      </c>
      <c r="B15" s="517">
        <v>18</v>
      </c>
      <c r="D15" s="646"/>
      <c r="E15" s="11"/>
      <c r="F15" s="11"/>
      <c r="G15" s="11"/>
      <c r="H15" s="11"/>
      <c r="I15" s="11"/>
      <c r="J15" s="11"/>
      <c r="K15" s="11"/>
      <c r="L15" s="11"/>
    </row>
    <row r="16" spans="1:12">
      <c r="A16" s="119" t="s">
        <v>186</v>
      </c>
      <c r="B16" s="518">
        <v>10</v>
      </c>
      <c r="D16" s="646"/>
      <c r="E16" s="11"/>
      <c r="F16" s="11"/>
      <c r="G16" s="11"/>
      <c r="H16" s="11"/>
      <c r="I16" s="11"/>
      <c r="J16" s="11"/>
      <c r="K16" s="11"/>
      <c r="L16" s="11"/>
    </row>
    <row r="17" spans="1:12" s="44" customFormat="1" ht="15.75" thickBot="1">
      <c r="A17" s="120"/>
      <c r="B17" s="519"/>
      <c r="D17" s="648"/>
      <c r="E17" s="157"/>
      <c r="F17" s="157"/>
      <c r="G17" s="157"/>
      <c r="H17" s="157"/>
      <c r="I17" s="157"/>
      <c r="J17" s="157"/>
      <c r="K17" s="157"/>
      <c r="L17" s="157"/>
    </row>
    <row r="18" spans="1:12" s="44" customFormat="1" ht="15.75" thickBot="1">
      <c r="A18" s="198"/>
      <c r="B18" s="520"/>
      <c r="D18" s="648"/>
      <c r="E18" s="157"/>
      <c r="F18" s="157"/>
      <c r="G18" s="157"/>
      <c r="H18" s="157"/>
      <c r="I18" s="157"/>
      <c r="J18" s="157"/>
      <c r="K18" s="157"/>
      <c r="L18" s="157"/>
    </row>
    <row r="19" spans="1:12" ht="18.75" thickBot="1">
      <c r="A19" s="122" t="s">
        <v>187</v>
      </c>
      <c r="B19" s="513"/>
      <c r="D19" s="646"/>
      <c r="E19" s="11"/>
      <c r="F19" s="11"/>
      <c r="G19" s="11"/>
      <c r="H19" s="11"/>
      <c r="I19" s="11"/>
      <c r="J19" s="11"/>
      <c r="K19" s="11"/>
      <c r="L19" s="11"/>
    </row>
    <row r="20" spans="1:12">
      <c r="A20" s="45" t="s">
        <v>747</v>
      </c>
      <c r="B20" s="514"/>
      <c r="D20" s="646"/>
      <c r="E20" s="11"/>
      <c r="F20" s="11"/>
      <c r="G20" s="11"/>
      <c r="H20" s="11"/>
      <c r="I20" s="11"/>
      <c r="J20" s="11"/>
      <c r="K20" s="11"/>
      <c r="L20" s="11"/>
    </row>
    <row r="21" spans="1:12">
      <c r="A21" s="45"/>
      <c r="B21" s="514"/>
      <c r="D21" s="646"/>
      <c r="E21" s="11"/>
      <c r="F21" s="11"/>
      <c r="G21" s="11"/>
      <c r="H21" s="11"/>
      <c r="I21" s="11"/>
      <c r="J21" s="11"/>
      <c r="K21" s="11"/>
      <c r="L21" s="11"/>
    </row>
    <row r="22" spans="1:12" ht="18">
      <c r="A22" s="139" t="s">
        <v>180</v>
      </c>
      <c r="B22" s="521" t="s">
        <v>389</v>
      </c>
      <c r="D22" s="646"/>
      <c r="E22" s="11"/>
      <c r="F22" s="11"/>
      <c r="G22" s="11"/>
      <c r="H22" s="11"/>
      <c r="I22" s="11"/>
      <c r="J22" s="11"/>
      <c r="K22" s="11"/>
      <c r="L22" s="11"/>
    </row>
    <row r="23" spans="1:12" s="73" customFormat="1">
      <c r="A23" s="119" t="s">
        <v>182</v>
      </c>
      <c r="B23" s="517">
        <v>10.693432516779941</v>
      </c>
      <c r="D23" s="894"/>
    </row>
    <row r="24" spans="1:12">
      <c r="A24" s="118" t="s">
        <v>183</v>
      </c>
      <c r="B24" s="517">
        <v>4.2231090152811745</v>
      </c>
      <c r="D24" s="646"/>
      <c r="E24" s="11"/>
      <c r="F24" s="11"/>
      <c r="G24" s="11"/>
      <c r="H24" s="11"/>
      <c r="I24" s="11"/>
      <c r="J24" s="11"/>
      <c r="K24" s="11"/>
      <c r="L24" s="11"/>
    </row>
    <row r="25" spans="1:12">
      <c r="A25" s="118" t="s">
        <v>6</v>
      </c>
      <c r="B25" s="517">
        <v>36.59371072568819</v>
      </c>
      <c r="D25" s="646"/>
      <c r="E25" s="11"/>
      <c r="F25" s="11"/>
      <c r="G25" s="11"/>
      <c r="H25" s="11"/>
      <c r="I25" s="11"/>
      <c r="J25" s="11"/>
      <c r="K25" s="11"/>
      <c r="L25" s="11"/>
    </row>
    <row r="26" spans="1:12">
      <c r="A26" s="118" t="s">
        <v>7</v>
      </c>
      <c r="B26" s="517">
        <v>2.6338889097604059</v>
      </c>
      <c r="D26" s="646"/>
      <c r="E26" s="11"/>
      <c r="F26" s="11"/>
      <c r="G26" s="11"/>
      <c r="H26" s="11"/>
      <c r="I26" s="11"/>
      <c r="J26" s="11"/>
      <c r="K26" s="11"/>
      <c r="L26" s="11"/>
    </row>
    <row r="27" spans="1:12">
      <c r="A27" s="118" t="s">
        <v>8</v>
      </c>
      <c r="B27" s="517">
        <v>1.3742356711711319</v>
      </c>
      <c r="D27" s="646"/>
      <c r="E27" s="11"/>
      <c r="F27" s="11"/>
      <c r="G27" s="11"/>
      <c r="H27" s="11"/>
      <c r="I27" s="11"/>
      <c r="J27" s="11"/>
      <c r="K27" s="11"/>
      <c r="L27" s="11"/>
    </row>
    <row r="28" spans="1:12">
      <c r="A28" s="118" t="s">
        <v>9</v>
      </c>
      <c r="B28" s="517">
        <v>9.3577839260338891</v>
      </c>
      <c r="D28" s="646"/>
      <c r="E28" s="11"/>
      <c r="F28" s="11"/>
      <c r="G28" s="11"/>
      <c r="H28" s="11"/>
      <c r="I28" s="11"/>
      <c r="J28" s="11"/>
      <c r="K28" s="11"/>
      <c r="L28" s="11"/>
    </row>
    <row r="29" spans="1:12">
      <c r="A29" s="118" t="s">
        <v>10</v>
      </c>
      <c r="B29" s="517">
        <v>3.8951527391088074</v>
      </c>
      <c r="D29" s="646"/>
      <c r="E29" s="11"/>
      <c r="F29" s="11"/>
      <c r="G29" s="11"/>
      <c r="H29" s="11"/>
      <c r="I29" s="11"/>
      <c r="J29" s="11"/>
      <c r="K29" s="11"/>
      <c r="L29" s="11"/>
    </row>
    <row r="30" spans="1:12">
      <c r="A30" s="119" t="s">
        <v>184</v>
      </c>
      <c r="B30" s="517">
        <v>4.4955558606003452</v>
      </c>
      <c r="D30" s="646"/>
      <c r="E30" s="11"/>
      <c r="F30" s="11"/>
      <c r="G30" s="11"/>
      <c r="H30" s="11"/>
      <c r="I30" s="11"/>
      <c r="J30" s="11"/>
      <c r="K30" s="11"/>
      <c r="L30" s="11"/>
    </row>
    <row r="31" spans="1:12">
      <c r="A31" s="118" t="s">
        <v>11</v>
      </c>
      <c r="B31" s="517">
        <v>1.6075002802320004</v>
      </c>
      <c r="D31" s="646"/>
      <c r="E31" s="11"/>
      <c r="F31" s="11"/>
      <c r="G31" s="11"/>
      <c r="H31" s="11"/>
      <c r="I31" s="11"/>
      <c r="J31" s="11"/>
      <c r="K31" s="11"/>
      <c r="L31" s="11"/>
    </row>
    <row r="32" spans="1:12">
      <c r="A32" s="118" t="s">
        <v>12</v>
      </c>
      <c r="B32" s="517">
        <v>4.8225008406960006</v>
      </c>
      <c r="D32" s="646"/>
      <c r="E32" s="11"/>
      <c r="F32" s="11"/>
      <c r="G32" s="11"/>
      <c r="H32" s="11"/>
      <c r="I32" s="11"/>
      <c r="J32" s="11"/>
      <c r="K32" s="11"/>
      <c r="L32" s="11"/>
    </row>
    <row r="33" spans="1:14">
      <c r="A33" s="118" t="s">
        <v>13</v>
      </c>
      <c r="B33" s="517">
        <v>6.3685027042560023</v>
      </c>
      <c r="D33" s="646"/>
      <c r="E33" s="11"/>
      <c r="F33" s="11"/>
      <c r="G33" s="11"/>
      <c r="H33" s="11"/>
      <c r="I33" s="11"/>
      <c r="J33" s="11"/>
      <c r="K33" s="11"/>
      <c r="L33" s="11"/>
    </row>
    <row r="34" spans="1:14">
      <c r="A34" s="118" t="s">
        <v>14</v>
      </c>
      <c r="B34" s="517">
        <v>4.6362973013280016</v>
      </c>
      <c r="D34" s="646"/>
      <c r="E34" s="11"/>
      <c r="F34" s="11"/>
      <c r="G34" s="11"/>
      <c r="H34" s="11"/>
      <c r="I34" s="11"/>
      <c r="J34" s="11"/>
      <c r="K34" s="11"/>
      <c r="L34" s="11"/>
    </row>
    <row r="35" spans="1:14">
      <c r="A35" s="118" t="s">
        <v>15</v>
      </c>
      <c r="B35" s="517">
        <v>12.338973989496003</v>
      </c>
      <c r="D35" s="646"/>
      <c r="E35" s="11"/>
      <c r="F35" s="11"/>
      <c r="G35" s="11"/>
      <c r="H35" s="11"/>
      <c r="I35" s="11"/>
      <c r="J35" s="11"/>
      <c r="K35" s="11"/>
      <c r="L35" s="11"/>
    </row>
    <row r="36" spans="1:14">
      <c r="A36" s="119" t="s">
        <v>16</v>
      </c>
      <c r="B36" s="517">
        <v>0.19</v>
      </c>
      <c r="D36" s="646"/>
      <c r="E36" s="11"/>
      <c r="F36" s="11"/>
      <c r="G36" s="11"/>
      <c r="H36" s="11"/>
      <c r="I36" s="11"/>
      <c r="J36" s="11"/>
      <c r="K36" s="11"/>
      <c r="L36" s="11"/>
    </row>
    <row r="37" spans="1:14">
      <c r="A37" s="119" t="s">
        <v>17</v>
      </c>
      <c r="B37" s="517">
        <v>0.13</v>
      </c>
      <c r="D37" s="646"/>
    </row>
    <row r="38" spans="1:14">
      <c r="A38" s="119" t="s">
        <v>185</v>
      </c>
      <c r="B38" s="517">
        <v>1.56</v>
      </c>
      <c r="D38" s="646"/>
    </row>
    <row r="39" spans="1:14">
      <c r="A39" s="119" t="s">
        <v>186</v>
      </c>
      <c r="B39" s="517">
        <v>0.76</v>
      </c>
      <c r="D39" s="646"/>
    </row>
    <row r="40" spans="1:14">
      <c r="A40" s="119" t="s">
        <v>18</v>
      </c>
      <c r="B40" s="518">
        <v>2.3704164773928026E-2</v>
      </c>
      <c r="D40" s="646"/>
    </row>
    <row r="41" spans="1:14" ht="15.75" thickBot="1">
      <c r="A41" s="120"/>
      <c r="B41" s="522"/>
      <c r="D41" s="646"/>
    </row>
    <row r="42" spans="1:14" s="44" customFormat="1" ht="15.75" thickBot="1">
      <c r="A42" s="199"/>
      <c r="B42" s="520"/>
      <c r="D42" s="648"/>
      <c r="E42" s="200"/>
      <c r="F42" s="200"/>
      <c r="G42" s="200"/>
      <c r="H42" s="200"/>
      <c r="I42" s="200"/>
      <c r="J42" s="200"/>
      <c r="K42" s="200"/>
      <c r="L42" s="200"/>
      <c r="M42" s="200"/>
      <c r="N42" s="200"/>
    </row>
    <row r="43" spans="1:14" ht="15.75" thickBot="1">
      <c r="A43" s="122" t="s">
        <v>188</v>
      </c>
      <c r="B43" s="523"/>
      <c r="D43" s="646"/>
    </row>
    <row r="44" spans="1:14">
      <c r="A44" s="45" t="s">
        <v>748</v>
      </c>
      <c r="B44" s="514"/>
      <c r="D44" s="646"/>
    </row>
    <row r="45" spans="1:14">
      <c r="A45" s="45"/>
      <c r="B45" s="514"/>
      <c r="D45" s="646"/>
    </row>
    <row r="46" spans="1:14" ht="18">
      <c r="A46" s="138" t="s">
        <v>189</v>
      </c>
      <c r="B46" s="515" t="s">
        <v>592</v>
      </c>
      <c r="D46" s="646"/>
    </row>
    <row r="47" spans="1:14">
      <c r="A47" s="117" t="s">
        <v>190</v>
      </c>
      <c r="B47" s="524">
        <v>0.91157113899502651</v>
      </c>
      <c r="D47" s="646"/>
    </row>
    <row r="48" spans="1:14">
      <c r="A48" s="119" t="s">
        <v>191</v>
      </c>
      <c r="B48" s="517">
        <v>0.92103501901379137</v>
      </c>
      <c r="D48" s="646"/>
    </row>
    <row r="49" spans="1:12">
      <c r="A49" s="119" t="s">
        <v>184</v>
      </c>
      <c r="B49" s="517">
        <v>3.3606404879796568E-2</v>
      </c>
      <c r="D49" s="646"/>
    </row>
    <row r="50" spans="1:12">
      <c r="A50" s="119" t="s">
        <v>18</v>
      </c>
      <c r="B50" s="517">
        <v>9.7262583974202599E-4</v>
      </c>
      <c r="D50" s="646"/>
      <c r="E50" s="11"/>
      <c r="F50" s="11"/>
      <c r="G50" s="11"/>
      <c r="H50" s="11"/>
      <c r="I50" s="11"/>
      <c r="J50" s="11"/>
      <c r="K50" s="11"/>
      <c r="L50" s="11"/>
    </row>
    <row r="51" spans="1:12">
      <c r="A51" s="119" t="s">
        <v>16</v>
      </c>
      <c r="B51" s="517">
        <v>6.3875808661971742E-3</v>
      </c>
      <c r="D51" s="646"/>
      <c r="E51" s="11"/>
      <c r="F51" s="11"/>
      <c r="G51" s="11"/>
      <c r="H51" s="11"/>
      <c r="I51" s="11"/>
      <c r="J51" s="11"/>
      <c r="K51" s="11"/>
      <c r="L51" s="11"/>
    </row>
    <row r="52" spans="1:12" ht="15.75" thickBot="1">
      <c r="A52" s="120" t="s">
        <v>126</v>
      </c>
      <c r="B52" s="525">
        <v>0.10299339703014961</v>
      </c>
      <c r="D52" s="646"/>
    </row>
    <row r="53" spans="1:12">
      <c r="B53" s="526"/>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5" customWidth="1"/>
    <col min="3" max="3" width="70.28515625" style="530" customWidth="1"/>
  </cols>
  <sheetData>
    <row r="1" spans="1:3" s="332" customFormat="1" ht="15.75" thickBot="1">
      <c r="A1" s="370" t="s">
        <v>644</v>
      </c>
      <c r="B1" s="528"/>
      <c r="C1" s="529"/>
    </row>
    <row r="2" spans="1:3" s="332" customFormat="1">
      <c r="A2" s="374"/>
      <c r="B2" s="494"/>
      <c r="C2" s="531"/>
    </row>
    <row r="3" spans="1:3" s="332" customFormat="1">
      <c r="A3" s="372"/>
      <c r="B3" s="532">
        <v>2012</v>
      </c>
      <c r="C3" s="375" t="s">
        <v>181</v>
      </c>
    </row>
    <row r="4" spans="1:3">
      <c r="A4" s="121" t="s">
        <v>300</v>
      </c>
      <c r="B4" s="533">
        <v>3704.1355821353</v>
      </c>
      <c r="C4" s="140" t="s">
        <v>746</v>
      </c>
    </row>
    <row r="5" spans="1:3" ht="15.75" thickBot="1">
      <c r="A5" s="116" t="s">
        <v>643</v>
      </c>
      <c r="B5" s="534">
        <v>671603</v>
      </c>
      <c r="C5" s="141" t="s">
        <v>641</v>
      </c>
    </row>
    <row r="11" spans="1:3">
      <c r="B11" s="788"/>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2" customFormat="1" ht="15.75" thickBot="1">
      <c r="A1" s="370" t="s">
        <v>456</v>
      </c>
      <c r="B1" s="371"/>
    </row>
    <row r="2" spans="1:2" s="332" customFormat="1">
      <c r="A2" s="362"/>
      <c r="B2" s="369"/>
    </row>
    <row r="3" spans="1:2" s="332" customFormat="1" ht="18">
      <c r="A3" s="372"/>
      <c r="B3" s="373" t="s">
        <v>459</v>
      </c>
    </row>
    <row r="4" spans="1:2" ht="18">
      <c r="A4" s="121" t="s">
        <v>457</v>
      </c>
      <c r="B4" s="535">
        <v>310</v>
      </c>
    </row>
    <row r="5" spans="1:2" ht="18.75" thickBot="1">
      <c r="A5" s="116" t="s">
        <v>458</v>
      </c>
      <c r="B5" s="536">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6"/>
      <c r="B1" s="367" t="s">
        <v>198</v>
      </c>
      <c r="C1" s="367" t="s">
        <v>199</v>
      </c>
      <c r="D1" s="367" t="s">
        <v>200</v>
      </c>
      <c r="E1" s="367" t="s">
        <v>201</v>
      </c>
      <c r="F1" s="367" t="s">
        <v>119</v>
      </c>
      <c r="G1" s="367" t="s">
        <v>202</v>
      </c>
      <c r="H1" s="367" t="s">
        <v>203</v>
      </c>
      <c r="I1" s="367" t="s">
        <v>204</v>
      </c>
      <c r="J1" s="367" t="s">
        <v>205</v>
      </c>
      <c r="K1" s="367" t="s">
        <v>206</v>
      </c>
      <c r="L1" s="367" t="s">
        <v>207</v>
      </c>
      <c r="M1" s="368" t="s">
        <v>290</v>
      </c>
    </row>
    <row r="2" spans="1:13" s="332" customFormat="1">
      <c r="A2" s="362" t="s">
        <v>446</v>
      </c>
      <c r="B2" s="338"/>
      <c r="C2" s="338"/>
      <c r="D2" s="338"/>
      <c r="E2" s="338"/>
      <c r="F2" s="338"/>
      <c r="G2" s="338"/>
      <c r="H2" s="338"/>
      <c r="I2" s="338"/>
      <c r="J2" s="338"/>
      <c r="K2" s="338"/>
      <c r="L2" s="338"/>
      <c r="M2" s="369"/>
    </row>
    <row r="3" spans="1:13">
      <c r="A3" s="45"/>
      <c r="B3" s="44"/>
      <c r="C3" s="44"/>
      <c r="D3" s="44"/>
      <c r="E3" s="44"/>
      <c r="F3" s="44"/>
      <c r="G3" s="44"/>
      <c r="H3" s="44"/>
      <c r="I3" s="44"/>
      <c r="J3" s="44"/>
      <c r="K3" s="44"/>
      <c r="L3" s="44"/>
      <c r="M3" s="97"/>
    </row>
    <row r="4" spans="1:13" ht="15.75" thickBot="1">
      <c r="A4" s="213" t="s">
        <v>447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5" customFormat="1" ht="55.5" customHeight="1" thickBot="1">
      <c r="A2" s="414" t="s">
        <v>385</v>
      </c>
      <c r="B2" s="787"/>
      <c r="C2" s="413"/>
    </row>
    <row r="3" spans="1:3" s="16" customFormat="1" ht="15.75">
      <c r="A3" s="99"/>
      <c r="B3" s="71"/>
      <c r="C3" s="100"/>
    </row>
    <row r="4" spans="1:3" s="332" customFormat="1">
      <c r="A4" s="393" t="s">
        <v>363</v>
      </c>
      <c r="B4" s="415" t="s">
        <v>375</v>
      </c>
      <c r="C4" s="416" t="s">
        <v>374</v>
      </c>
    </row>
    <row r="5" spans="1:3" s="332" customFormat="1">
      <c r="A5" s="417"/>
      <c r="B5" s="338"/>
      <c r="C5" s="369"/>
    </row>
    <row r="6" spans="1:3" s="332" customFormat="1">
      <c r="A6" s="418" t="s">
        <v>358</v>
      </c>
      <c r="B6" s="419" t="s">
        <v>679</v>
      </c>
      <c r="C6" s="420" t="s">
        <v>357</v>
      </c>
    </row>
    <row r="7" spans="1:3" s="332" customFormat="1">
      <c r="A7" s="421" t="s">
        <v>680</v>
      </c>
      <c r="B7" s="422" t="s">
        <v>619</v>
      </c>
      <c r="C7" s="423" t="s">
        <v>618</v>
      </c>
    </row>
    <row r="8" spans="1:3" s="332" customFormat="1">
      <c r="A8" s="450"/>
      <c r="B8" s="422"/>
      <c r="C8" s="423"/>
    </row>
    <row r="9" spans="1:3" ht="21">
      <c r="A9" s="127" t="s">
        <v>482</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2" customWidth="1"/>
    <col min="2" max="2" width="30.28515625" style="886" customWidth="1"/>
    <col min="3" max="3" width="12" style="886" customWidth="1"/>
    <col min="4" max="4" width="9.140625" style="886"/>
    <col min="5" max="5" width="50.42578125" style="886" customWidth="1"/>
    <col min="6" max="6" width="19.28515625" style="886" customWidth="1"/>
    <col min="7" max="7" width="9.140625" style="886"/>
    <col min="8" max="8" width="23.42578125" style="886" customWidth="1"/>
    <col min="9" max="10" width="9.140625" style="886"/>
    <col min="11" max="11" width="80.140625" style="886" customWidth="1"/>
    <col min="12" max="16384" width="9.140625" style="886"/>
  </cols>
  <sheetData>
    <row r="1" spans="1:11">
      <c r="A1" s="361" t="s">
        <v>498</v>
      </c>
      <c r="B1" s="201"/>
      <c r="C1" s="201"/>
      <c r="D1" s="201"/>
      <c r="E1" s="201"/>
      <c r="F1" s="201"/>
      <c r="G1" s="201"/>
      <c r="H1" s="201"/>
      <c r="I1" s="201"/>
      <c r="J1" s="201"/>
      <c r="K1" s="202"/>
    </row>
    <row r="2" spans="1:11">
      <c r="A2" s="362"/>
      <c r="B2" s="44"/>
      <c r="C2" s="44"/>
      <c r="D2" s="44"/>
      <c r="E2" s="44"/>
      <c r="F2" s="44"/>
      <c r="G2" s="44"/>
      <c r="H2" s="44"/>
      <c r="I2" s="44"/>
      <c r="J2" s="44"/>
      <c r="K2" s="97"/>
    </row>
    <row r="3" spans="1:11">
      <c r="A3" s="362" t="s">
        <v>516</v>
      </c>
      <c r="B3" s="50">
        <f ca="1">IF(ISERROR('SEAP template'!C27),0,'SEAP template'!C27)</f>
        <v>42790.969543362611</v>
      </c>
      <c r="C3" s="44" t="s">
        <v>169</v>
      </c>
      <c r="D3" s="44"/>
      <c r="E3" s="157"/>
      <c r="F3" s="44"/>
      <c r="G3" s="44"/>
      <c r="H3" s="44"/>
      <c r="I3" s="44"/>
      <c r="J3" s="44"/>
      <c r="K3" s="97"/>
    </row>
    <row r="4" spans="1:11">
      <c r="A4" s="362" t="s">
        <v>170</v>
      </c>
      <c r="B4" s="50">
        <f>IF(ISERROR('SEAP template'!B78+'SEAP template'!C78),0,'SEAP template'!B78+'SEAP template'!C78)</f>
        <v>2507.5163222840888</v>
      </c>
      <c r="C4" s="44" t="s">
        <v>169</v>
      </c>
      <c r="D4" s="44"/>
      <c r="E4" s="44"/>
      <c r="F4" s="44"/>
      <c r="G4" s="44"/>
      <c r="H4" s="44"/>
      <c r="I4" s="44"/>
      <c r="J4" s="44"/>
      <c r="K4" s="97"/>
    </row>
    <row r="5" spans="1:11">
      <c r="A5" s="362" t="s">
        <v>553</v>
      </c>
      <c r="B5" s="50">
        <f>IF(ISERROR('Eigen informatie GS &amp; warmtenet'!B4),0,'Eigen informatie GS &amp; warmtenet'!B4)</f>
        <v>0</v>
      </c>
      <c r="C5" s="44" t="s">
        <v>169</v>
      </c>
      <c r="D5" s="44"/>
      <c r="E5" s="44"/>
      <c r="F5" s="44"/>
      <c r="G5" s="44"/>
      <c r="H5" s="44"/>
      <c r="I5" s="44"/>
      <c r="J5" s="44"/>
      <c r="K5" s="97"/>
    </row>
    <row r="6" spans="1:11">
      <c r="A6" s="362" t="s">
        <v>171</v>
      </c>
      <c r="B6" s="538">
        <f>E6</f>
        <v>0.221</v>
      </c>
      <c r="C6" s="44" t="s">
        <v>172</v>
      </c>
      <c r="D6" s="44"/>
      <c r="E6" s="920">
        <v>0.221</v>
      </c>
      <c r="F6" s="44" t="s">
        <v>823</v>
      </c>
      <c r="G6" s="44" t="s">
        <v>829</v>
      </c>
      <c r="H6" s="44"/>
      <c r="I6" s="44"/>
      <c r="J6" s="44"/>
      <c r="K6" s="97"/>
    </row>
    <row r="7" spans="1:11">
      <c r="A7" s="362"/>
      <c r="B7" s="457"/>
      <c r="C7" s="44"/>
      <c r="D7" s="44"/>
      <c r="E7" s="44"/>
      <c r="F7" s="49"/>
      <c r="G7" s="44"/>
      <c r="H7" s="44"/>
      <c r="I7" s="44"/>
      <c r="J7" s="44"/>
      <c r="K7" s="97"/>
    </row>
    <row r="8" spans="1:11">
      <c r="A8" s="362"/>
      <c r="B8" s="457"/>
      <c r="C8" s="44"/>
      <c r="D8" s="44"/>
      <c r="E8" s="44"/>
      <c r="F8" s="49"/>
      <c r="G8" s="44"/>
      <c r="H8" s="919"/>
      <c r="I8" s="158"/>
      <c r="J8" s="44"/>
      <c r="K8" s="97"/>
    </row>
    <row r="9" spans="1:11">
      <c r="A9" s="362" t="s">
        <v>174</v>
      </c>
      <c r="B9" s="50">
        <f>IF(ISERROR('SEAP template'!Q78),0,'SEAP template'!Q78)</f>
        <v>0</v>
      </c>
      <c r="C9" s="44" t="s">
        <v>173</v>
      </c>
      <c r="D9" s="44"/>
      <c r="E9" s="44"/>
      <c r="F9" s="44"/>
      <c r="G9" s="44"/>
      <c r="H9" s="44"/>
      <c r="I9" s="44"/>
      <c r="J9" s="44"/>
      <c r="K9" s="97"/>
    </row>
    <row r="10" spans="1:11">
      <c r="A10" s="362" t="s">
        <v>420</v>
      </c>
      <c r="B10" s="49">
        <v>0</v>
      </c>
      <c r="C10" s="44" t="s">
        <v>173</v>
      </c>
      <c r="D10" s="157"/>
      <c r="E10" s="44"/>
      <c r="F10" s="44"/>
      <c r="G10" s="44"/>
      <c r="H10" s="44"/>
      <c r="I10" s="44"/>
      <c r="J10" s="44"/>
      <c r="K10" s="97"/>
    </row>
    <row r="11" spans="1:11">
      <c r="A11" s="362"/>
      <c r="B11" s="457"/>
      <c r="C11" s="44"/>
      <c r="D11" s="44"/>
      <c r="E11" s="44"/>
      <c r="F11" s="44"/>
      <c r="G11" s="44"/>
      <c r="H11" s="44"/>
      <c r="I11" s="44"/>
      <c r="J11" s="44"/>
      <c r="K11" s="97"/>
    </row>
    <row r="12" spans="1:11">
      <c r="A12" s="363" t="s">
        <v>175</v>
      </c>
      <c r="B12" s="537">
        <f ca="1">IF((B4+B5)&gt;B3,(B9+B10)/(B4+B5),((B3-B4-B5)*B6+B9+B10)/B3)</f>
        <v>0.20804957814374317</v>
      </c>
      <c r="C12" s="44" t="s">
        <v>172</v>
      </c>
      <c r="D12" s="44"/>
      <c r="E12" s="157"/>
      <c r="F12" s="44"/>
      <c r="G12" s="44"/>
      <c r="H12" s="44"/>
      <c r="I12" s="44"/>
      <c r="J12" s="44"/>
      <c r="K12" s="97"/>
    </row>
    <row r="13" spans="1:11" ht="15.75" thickBot="1">
      <c r="A13" s="364"/>
      <c r="B13" s="109"/>
      <c r="C13" s="109"/>
      <c r="D13" s="109"/>
      <c r="E13" s="109"/>
      <c r="F13" s="109"/>
      <c r="G13" s="109"/>
      <c r="H13" s="109"/>
      <c r="I13" s="109"/>
      <c r="J13" s="109"/>
      <c r="K13" s="110"/>
    </row>
    <row r="14" spans="1:11" s="44" customFormat="1" ht="15.75" thickBot="1">
      <c r="A14" s="338"/>
    </row>
    <row r="15" spans="1:11">
      <c r="A15" s="365" t="s">
        <v>499</v>
      </c>
      <c r="B15" s="203"/>
      <c r="C15" s="203"/>
      <c r="D15" s="203"/>
      <c r="E15" s="203"/>
      <c r="F15" s="203"/>
      <c r="G15" s="203"/>
      <c r="H15" s="203"/>
      <c r="I15" s="203"/>
      <c r="J15" s="203"/>
      <c r="K15" s="204"/>
    </row>
    <row r="16" spans="1:11">
      <c r="A16" s="362"/>
      <c r="B16" s="44"/>
      <c r="C16" s="44"/>
      <c r="D16" s="44"/>
      <c r="E16" s="44"/>
      <c r="F16" s="44"/>
      <c r="G16" s="44"/>
      <c r="H16" s="44"/>
      <c r="I16" s="44"/>
      <c r="J16" s="44"/>
      <c r="K16" s="97"/>
    </row>
    <row r="17" spans="1:11">
      <c r="A17" s="362" t="s">
        <v>176</v>
      </c>
      <c r="B17" s="50">
        <f>IF(ISERROR('SEAP template'!Q90),0,'SEAP template'!Q90)</f>
        <v>0</v>
      </c>
      <c r="C17" s="44" t="s">
        <v>173</v>
      </c>
      <c r="D17" s="44"/>
      <c r="E17" s="44"/>
      <c r="F17" s="44"/>
      <c r="G17" s="44"/>
      <c r="H17" s="44"/>
      <c r="I17" s="44"/>
      <c r="J17" s="44"/>
      <c r="K17" s="97"/>
    </row>
    <row r="18" spans="1:11">
      <c r="A18" s="362" t="s">
        <v>177</v>
      </c>
      <c r="B18" s="50">
        <f>IF(ISERROR('Eigen informatie GS &amp; warmtenet'!B52),0,'Eigen informatie GS &amp; warmtenet'!B52)</f>
        <v>0</v>
      </c>
      <c r="C18" s="44" t="s">
        <v>173</v>
      </c>
      <c r="D18" s="44"/>
      <c r="E18" s="44"/>
      <c r="F18" s="44"/>
      <c r="G18" s="44"/>
      <c r="H18" s="44"/>
      <c r="I18" s="44"/>
      <c r="J18" s="44"/>
      <c r="K18" s="97"/>
    </row>
    <row r="19" spans="1:11">
      <c r="A19" s="362" t="s">
        <v>301</v>
      </c>
      <c r="B19" s="50">
        <f>IF(ISERROR('Eigen informatie GS &amp; warmtenet'!B53),0,'Eigen informatie GS &amp; warmtenet'!B53)</f>
        <v>0</v>
      </c>
      <c r="C19" s="44" t="s">
        <v>173</v>
      </c>
      <c r="D19" s="44"/>
      <c r="E19" s="44"/>
      <c r="F19" s="44"/>
      <c r="G19" s="44"/>
      <c r="H19" s="44"/>
      <c r="I19" s="44"/>
      <c r="J19" s="44"/>
      <c r="K19" s="97"/>
    </row>
    <row r="20" spans="1:11">
      <c r="A20" s="362" t="s">
        <v>517</v>
      </c>
      <c r="B20" s="50">
        <f ca="1">IF(ISERROR('SEAP template'!D27),0,('SEAP template'!D27))</f>
        <v>0</v>
      </c>
      <c r="C20" s="44" t="s">
        <v>169</v>
      </c>
      <c r="D20" s="44"/>
      <c r="E20" s="157"/>
      <c r="F20" s="157"/>
      <c r="G20" s="44"/>
      <c r="H20" s="44"/>
      <c r="I20" s="44"/>
      <c r="J20" s="44"/>
      <c r="K20" s="97"/>
    </row>
    <row r="21" spans="1:11">
      <c r="A21" s="362"/>
      <c r="B21" s="44"/>
      <c r="C21" s="44"/>
      <c r="D21" s="44"/>
      <c r="E21" s="44"/>
      <c r="F21" s="44"/>
      <c r="G21" s="44"/>
      <c r="H21" s="44"/>
      <c r="I21" s="44"/>
      <c r="J21" s="44"/>
      <c r="K21" s="97"/>
    </row>
    <row r="22" spans="1:11" s="44" customFormat="1">
      <c r="A22" s="363" t="s">
        <v>178</v>
      </c>
      <c r="B22" s="539">
        <f ca="1">IF(B20=0,0,(B17+B18-B19)/B20)</f>
        <v>0</v>
      </c>
      <c r="C22" s="44" t="s">
        <v>172</v>
      </c>
      <c r="K22" s="97"/>
    </row>
    <row r="23" spans="1:11" ht="15.75" thickBot="1">
      <c r="A23" s="364"/>
      <c r="B23" s="109"/>
      <c r="C23" s="109"/>
      <c r="D23" s="109"/>
      <c r="E23" s="109"/>
      <c r="F23" s="109"/>
      <c r="G23" s="109"/>
      <c r="H23" s="109"/>
      <c r="I23" s="109"/>
      <c r="J23" s="109"/>
      <c r="K23" s="110"/>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7" bestFit="1" customWidth="1"/>
    <col min="2" max="2" width="22.7109375" style="316" customWidth="1"/>
    <col min="3" max="3" width="31.42578125" style="316" customWidth="1"/>
    <col min="4" max="4" width="22.28515625" style="316" customWidth="1"/>
    <col min="5" max="5" width="12.140625" style="316" customWidth="1"/>
    <col min="6" max="6" width="37.28515625" style="235" bestFit="1" customWidth="1"/>
    <col min="7" max="16384" width="9.140625" style="887"/>
  </cols>
  <sheetData>
    <row r="1" spans="1:8" s="316" customFormat="1">
      <c r="A1" s="887" t="s">
        <v>760</v>
      </c>
      <c r="B1" s="887" t="s">
        <v>307</v>
      </c>
      <c r="C1" s="887" t="s">
        <v>311</v>
      </c>
      <c r="D1" s="887" t="s">
        <v>312</v>
      </c>
      <c r="E1" s="887" t="s">
        <v>313</v>
      </c>
      <c r="F1" s="887" t="s">
        <v>314</v>
      </c>
      <c r="H1" s="1067" t="s">
        <v>942</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61">
        <v>1.269E-8</v>
      </c>
    </row>
    <row r="3" spans="1:8">
      <c r="A3" s="316" t="str">
        <f>CONCATENATE(TableECFTransport[[#This Row],[Voertuigtype]],"_",TableECFTransport[[#This Row],[Wegtype]],"_",TableECFTransport[[#This Row],[Brandstoftechnologie]],"_",TableECFTransport[[#This Row],[Brandstof]])</f>
        <v>BUS_Genummerde wegen_Diesel_Diesel</v>
      </c>
      <c r="B3" s="899" t="s">
        <v>770</v>
      </c>
      <c r="C3" s="899" t="s">
        <v>63</v>
      </c>
      <c r="D3" s="899" t="s">
        <v>201</v>
      </c>
      <c r="E3" s="899" t="s">
        <v>201</v>
      </c>
      <c r="F3" s="1057">
        <v>9.7325500000000007E-9</v>
      </c>
    </row>
    <row r="4" spans="1:8">
      <c r="A4" s="316" t="str">
        <f>CONCATENATE(TableECFTransport[[#This Row],[Voertuigtype]],"_",TableECFTransport[[#This Row],[Wegtype]],"_",TableECFTransport[[#This Row],[Brandstoftechnologie]],"_",TableECFTransport[[#This Row],[Brandstof]])</f>
        <v>BUS_Niet-genummerde wegen_Diesel_Diesel</v>
      </c>
      <c r="B4" s="899" t="s">
        <v>770</v>
      </c>
      <c r="C4" s="899" t="s">
        <v>64</v>
      </c>
      <c r="D4" s="899" t="s">
        <v>201</v>
      </c>
      <c r="E4" s="899" t="s">
        <v>201</v>
      </c>
      <c r="F4" s="1057">
        <v>1.7637300000000001E-8</v>
      </c>
    </row>
    <row r="5" spans="1:8">
      <c r="A5" s="316" t="str">
        <f>CONCATENATE(TableECFTransport[[#This Row],[Voertuigtype]],"_",TableECFTransport[[#This Row],[Wegtype]],"_",TableECFTransport[[#This Row],[Brandstoftechnologie]],"_",TableECFTransport[[#This Row],[Brandstof]])</f>
        <v>BUS_Genummerde wegen_Diesel Hybrid CS_Diesel</v>
      </c>
      <c r="B5" s="899" t="s">
        <v>770</v>
      </c>
      <c r="C5" s="899" t="s">
        <v>63</v>
      </c>
      <c r="D5" s="898" t="s">
        <v>316</v>
      </c>
      <c r="E5" s="899" t="s">
        <v>201</v>
      </c>
      <c r="F5" s="1057">
        <v>9.7325500000000007E-9</v>
      </c>
    </row>
    <row r="6" spans="1:8">
      <c r="A6" s="316" t="str">
        <f>CONCATENATE(TableECFTransport[[#This Row],[Voertuigtype]],"_",TableECFTransport[[#This Row],[Wegtype]],"_",TableECFTransport[[#This Row],[Brandstoftechnologie]],"_",TableECFTransport[[#This Row],[Brandstof]])</f>
        <v>BUS_Niet-genummerde wegen_Diesel Hybrid CS_Diesel</v>
      </c>
      <c r="B6" s="899" t="s">
        <v>770</v>
      </c>
      <c r="C6" s="899" t="s">
        <v>64</v>
      </c>
      <c r="D6" s="898" t="s">
        <v>316</v>
      </c>
      <c r="E6" s="899" t="s">
        <v>201</v>
      </c>
      <c r="F6" s="1057">
        <v>1.7637300000000001E-8</v>
      </c>
    </row>
    <row r="7" spans="1:8">
      <c r="A7" s="316" t="str">
        <f>CONCATENATE(TableECFTransport[[#This Row],[Voertuigtype]],"_",TableECFTransport[[#This Row],[Wegtype]],"_",TableECFTransport[[#This Row],[Brandstoftechnologie]],"_",TableECFTransport[[#This Row],[Brandstof]])</f>
        <v>Lichte voertuigen_Genummerde wegen_CNG_CNG</v>
      </c>
      <c r="B7" s="886" t="s">
        <v>767</v>
      </c>
      <c r="C7" s="886" t="s">
        <v>63</v>
      </c>
      <c r="D7" s="886" t="s">
        <v>308</v>
      </c>
      <c r="E7" s="886" t="s">
        <v>308</v>
      </c>
      <c r="F7" s="1051">
        <v>2.5592200000000002E-9</v>
      </c>
    </row>
    <row r="8" spans="1:8">
      <c r="A8" s="316" t="str">
        <f>CONCATENATE(TableECFTransport[[#This Row],[Voertuigtype]],"_",TableECFTransport[[#This Row],[Wegtype]],"_",TableECFTransport[[#This Row],[Brandstoftechnologie]],"_",TableECFTransport[[#This Row],[Brandstof]])</f>
        <v>Lichte voertuigen_Genummerde wegen_Diesel_Diesel</v>
      </c>
      <c r="B8" s="886" t="s">
        <v>767</v>
      </c>
      <c r="C8" s="886" t="s">
        <v>63</v>
      </c>
      <c r="D8" s="886" t="s">
        <v>201</v>
      </c>
      <c r="E8" s="886" t="s">
        <v>201</v>
      </c>
      <c r="F8" s="1051">
        <v>2.1949799999999998E-9</v>
      </c>
    </row>
    <row r="9" spans="1:8">
      <c r="A9" s="316" t="str">
        <f>CONCATENATE(TableECFTransport[[#This Row],[Voertuigtype]],"_",TableECFTransport[[#This Row],[Wegtype]],"_",TableECFTransport[[#This Row],[Brandstoftechnologie]],"_",TableECFTransport[[#This Row],[Brandstof]])</f>
        <v>Lichte voertuigen_Genummerde wegen_E85_E85</v>
      </c>
      <c r="B9" s="886" t="s">
        <v>767</v>
      </c>
      <c r="C9" s="886" t="s">
        <v>63</v>
      </c>
      <c r="D9" s="886" t="s">
        <v>729</v>
      </c>
      <c r="E9" s="886" t="s">
        <v>729</v>
      </c>
      <c r="F9" s="1051">
        <v>2.2131700000000001E-9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886" t="s">
        <v>767</v>
      </c>
      <c r="C10" s="886" t="s">
        <v>63</v>
      </c>
      <c r="D10" s="886" t="s">
        <v>309</v>
      </c>
      <c r="E10" s="886" t="s">
        <v>309</v>
      </c>
      <c r="F10" s="1051">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886" t="s">
        <v>767</v>
      </c>
      <c r="C11" s="886" t="s">
        <v>63</v>
      </c>
      <c r="D11" s="886" t="s">
        <v>118</v>
      </c>
      <c r="E11" s="886" t="s">
        <v>118</v>
      </c>
      <c r="F11" s="1051">
        <v>2.2516399999999999E-9</v>
      </c>
    </row>
    <row r="12" spans="1:8">
      <c r="A12" s="316" t="str">
        <f>CONCATENATE(TableECFTransport[[#This Row],[Voertuigtype]],"_",TableECFTransport[[#This Row],[Wegtype]],"_",TableECFTransport[[#This Row],[Brandstoftechnologie]],"_",TableECFTransport[[#This Row],[Brandstof]])</f>
        <v>Lichte voertuigen_Genummerde wegen_Petrol_Petrol</v>
      </c>
      <c r="B12" s="886" t="s">
        <v>767</v>
      </c>
      <c r="C12" s="886" t="s">
        <v>63</v>
      </c>
      <c r="D12" s="886" t="s">
        <v>310</v>
      </c>
      <c r="E12" s="886" t="s">
        <v>310</v>
      </c>
      <c r="F12" s="1051">
        <v>2.2131700000000001E-9</v>
      </c>
    </row>
    <row r="13" spans="1:8">
      <c r="A13" s="316" t="str">
        <f>CONCATENATE(TableECFTransport[[#This Row],[Voertuigtype]],"_",TableECFTransport[[#This Row],[Wegtype]],"_",TableECFTransport[[#This Row],[Brandstoftechnologie]],"_",TableECFTransport[[#This Row],[Brandstof]])</f>
        <v>Lichte voertuigen_Genummerde wegen_Petrol Hybrid_Petrol</v>
      </c>
      <c r="B13" s="886" t="s">
        <v>767</v>
      </c>
      <c r="C13" s="886" t="s">
        <v>63</v>
      </c>
      <c r="D13" s="886" t="s">
        <v>772</v>
      </c>
      <c r="E13" s="886" t="s">
        <v>310</v>
      </c>
      <c r="F13" s="1051">
        <v>1.49393E-9</v>
      </c>
    </row>
    <row r="14" spans="1:8">
      <c r="A14" s="316" t="str">
        <f>CONCATENATE(TableECFTransport[[#This Row],[Voertuigtype]],"_",TableECFTransport[[#This Row],[Wegtype]],"_",TableECFTransport[[#This Row],[Brandstoftechnologie]],"_",TableECFTransport[[#This Row],[Brandstof]])</f>
        <v>Lichte voertuigen_Niet-genummerde wegen_CNG_CNG</v>
      </c>
      <c r="B14" s="886" t="s">
        <v>767</v>
      </c>
      <c r="C14" s="886" t="s">
        <v>64</v>
      </c>
      <c r="D14" s="886" t="s">
        <v>308</v>
      </c>
      <c r="E14" s="886" t="s">
        <v>308</v>
      </c>
      <c r="F14" s="1051">
        <v>4.34372E-9</v>
      </c>
    </row>
    <row r="15" spans="1:8">
      <c r="A15" s="316" t="str">
        <f>CONCATENATE(TableECFTransport[[#This Row],[Voertuigtype]],"_",TableECFTransport[[#This Row],[Wegtype]],"_",TableECFTransport[[#This Row],[Brandstoftechnologie]],"_",TableECFTransport[[#This Row],[Brandstof]])</f>
        <v>Lichte voertuigen_Niet-genummerde wegen_Diesel_Diesel</v>
      </c>
      <c r="B15" s="886" t="s">
        <v>767</v>
      </c>
      <c r="C15" s="886" t="s">
        <v>64</v>
      </c>
      <c r="D15" s="886" t="s">
        <v>201</v>
      </c>
      <c r="E15" s="886" t="s">
        <v>201</v>
      </c>
      <c r="F15" s="1051">
        <v>3.33836E-9</v>
      </c>
    </row>
    <row r="16" spans="1:8">
      <c r="A16" s="316" t="str">
        <f>CONCATENATE(TableECFTransport[[#This Row],[Voertuigtype]],"_",TableECFTransport[[#This Row],[Wegtype]],"_",TableECFTransport[[#This Row],[Brandstoftechnologie]],"_",TableECFTransport[[#This Row],[Brandstof]])</f>
        <v>Lichte voertuigen_Niet-genummerde wegen_E85_E85</v>
      </c>
      <c r="B16" s="886" t="s">
        <v>767</v>
      </c>
      <c r="C16" s="886" t="s">
        <v>64</v>
      </c>
      <c r="D16" s="886" t="s">
        <v>729</v>
      </c>
      <c r="E16" s="886" t="s">
        <v>729</v>
      </c>
      <c r="F16" s="1051">
        <v>3.5847500000000001E-9</v>
      </c>
    </row>
    <row r="17" spans="1:6">
      <c r="A17" s="316" t="str">
        <f>CONCATENATE(TableECFTransport[[#This Row],[Voertuigtype]],"_",TableECFTransport[[#This Row],[Wegtype]],"_",TableECFTransport[[#This Row],[Brandstoftechnologie]],"_",TableECFTransport[[#This Row],[Brandstof]])</f>
        <v>Lichte voertuigen_Niet-genummerde wegen_Electric_Electric</v>
      </c>
      <c r="B17" s="886" t="s">
        <v>767</v>
      </c>
      <c r="C17" s="886" t="s">
        <v>64</v>
      </c>
      <c r="D17" s="886" t="s">
        <v>309</v>
      </c>
      <c r="E17" s="886" t="s">
        <v>309</v>
      </c>
      <c r="F17" s="1051">
        <v>8.4999999999999996E-10</v>
      </c>
    </row>
    <row r="18" spans="1:6">
      <c r="A18" s="316" t="str">
        <f>CONCATENATE(TableECFTransport[[#This Row],[Voertuigtype]],"_",TableECFTransport[[#This Row],[Wegtype]],"_",TableECFTransport[[#This Row],[Brandstoftechnologie]],"_",TableECFTransport[[#This Row],[Brandstof]])</f>
        <v>Lichte voertuigen_Niet-genummerde wegen_LPG_LPG</v>
      </c>
      <c r="B18" s="886" t="s">
        <v>767</v>
      </c>
      <c r="C18" s="886" t="s">
        <v>64</v>
      </c>
      <c r="D18" s="886" t="s">
        <v>118</v>
      </c>
      <c r="E18" s="886" t="s">
        <v>118</v>
      </c>
      <c r="F18" s="1051">
        <v>3.5972799999999998E-9</v>
      </c>
    </row>
    <row r="19" spans="1:6">
      <c r="A19" s="316" t="str">
        <f>CONCATENATE(TableECFTransport[[#This Row],[Voertuigtype]],"_",TableECFTransport[[#This Row],[Wegtype]],"_",TableECFTransport[[#This Row],[Brandstoftechnologie]],"_",TableECFTransport[[#This Row],[Brandstof]])</f>
        <v>Lichte voertuigen_Niet-genummerde wegen_Petrol_Petrol</v>
      </c>
      <c r="B19" s="886" t="s">
        <v>767</v>
      </c>
      <c r="C19" s="886" t="s">
        <v>64</v>
      </c>
      <c r="D19" s="886" t="s">
        <v>310</v>
      </c>
      <c r="E19" s="886" t="s">
        <v>310</v>
      </c>
      <c r="F19" s="1051">
        <v>3.5847500000000001E-9</v>
      </c>
    </row>
    <row r="20" spans="1:6">
      <c r="A20" s="316" t="str">
        <f>CONCATENATE(TableECFTransport[[#This Row],[Voertuigtype]],"_",TableECFTransport[[#This Row],[Wegtype]],"_",TableECFTransport[[#This Row],[Brandstoftechnologie]],"_",TableECFTransport[[#This Row],[Brandstof]])</f>
        <v>Lichte voertuigen_Niet-genummerde wegen_Petrol Hybrid_Petrol</v>
      </c>
      <c r="B20" s="886" t="s">
        <v>767</v>
      </c>
      <c r="C20" s="886" t="s">
        <v>64</v>
      </c>
      <c r="D20" s="886" t="s">
        <v>772</v>
      </c>
      <c r="E20" s="886" t="s">
        <v>310</v>
      </c>
      <c r="F20" s="1051">
        <v>2.54577E-9</v>
      </c>
    </row>
    <row r="21" spans="1:6">
      <c r="A21" s="316" t="str">
        <f>CONCATENATE(TableECFTransport[[#This Row],[Voertuigtype]],"_",TableECFTransport[[#This Row],[Wegtype]],"_",TableECFTransport[[#This Row],[Brandstoftechnologie]],"_",TableECFTransport[[#This Row],[Brandstof]])</f>
        <v>Lichte voertuigen_snelwegen_CNG_CNG</v>
      </c>
      <c r="B21" s="886" t="s">
        <v>767</v>
      </c>
      <c r="C21" s="886" t="s">
        <v>771</v>
      </c>
      <c r="D21" s="886" t="s">
        <v>308</v>
      </c>
      <c r="E21" s="886" t="s">
        <v>308</v>
      </c>
      <c r="F21" s="1051">
        <v>2.53972E-9</v>
      </c>
    </row>
    <row r="22" spans="1:6">
      <c r="A22" s="316" t="str">
        <f>CONCATENATE(TableECFTransport[[#This Row],[Voertuigtype]],"_",TableECFTransport[[#This Row],[Wegtype]],"_",TableECFTransport[[#This Row],[Brandstoftechnologie]],"_",TableECFTransport[[#This Row],[Brandstof]])</f>
        <v>Lichte voertuigen_snelwegen_Diesel_Diesel</v>
      </c>
      <c r="B22" s="886" t="s">
        <v>767</v>
      </c>
      <c r="C22" s="886" t="s">
        <v>771</v>
      </c>
      <c r="D22" s="886" t="s">
        <v>201</v>
      </c>
      <c r="E22" s="886" t="s">
        <v>201</v>
      </c>
      <c r="F22" s="1051">
        <v>2.4879799999999999E-9</v>
      </c>
    </row>
    <row r="23" spans="1:6">
      <c r="A23" s="316" t="str">
        <f>CONCATENATE(TableECFTransport[[#This Row],[Voertuigtype]],"_",TableECFTransport[[#This Row],[Wegtype]],"_",TableECFTransport[[#This Row],[Brandstoftechnologie]],"_",TableECFTransport[[#This Row],[Brandstof]])</f>
        <v>Lichte voertuigen_snelwegen_E85_E85</v>
      </c>
      <c r="B23" s="886" t="s">
        <v>767</v>
      </c>
      <c r="C23" s="886" t="s">
        <v>771</v>
      </c>
      <c r="D23" s="886" t="s">
        <v>729</v>
      </c>
      <c r="E23" s="886" t="s">
        <v>729</v>
      </c>
      <c r="F23" s="1051">
        <v>2.30444E-9</v>
      </c>
    </row>
    <row r="24" spans="1:6">
      <c r="A24" s="316" t="str">
        <f>CONCATENATE(TableECFTransport[[#This Row],[Voertuigtype]],"_",TableECFTransport[[#This Row],[Wegtype]],"_",TableECFTransport[[#This Row],[Brandstoftechnologie]],"_",TableECFTransport[[#This Row],[Brandstof]])</f>
        <v>Lichte voertuigen_snelwegen_Electric_Electric</v>
      </c>
      <c r="B24" s="886" t="s">
        <v>767</v>
      </c>
      <c r="C24" s="886" t="s">
        <v>771</v>
      </c>
      <c r="D24" s="886" t="s">
        <v>309</v>
      </c>
      <c r="E24" s="886" t="s">
        <v>309</v>
      </c>
      <c r="F24" s="1051">
        <v>8.4999999999999996E-10</v>
      </c>
    </row>
    <row r="25" spans="1:6">
      <c r="A25" s="316" t="str">
        <f>CONCATENATE(TableECFTransport[[#This Row],[Voertuigtype]],"_",TableECFTransport[[#This Row],[Wegtype]],"_",TableECFTransport[[#This Row],[Brandstoftechnologie]],"_",TableECFTransport[[#This Row],[Brandstof]])</f>
        <v>Lichte voertuigen_snelwegen_LPG_LPG</v>
      </c>
      <c r="B25" s="886" t="s">
        <v>767</v>
      </c>
      <c r="C25" s="886" t="s">
        <v>771</v>
      </c>
      <c r="D25" s="886" t="s">
        <v>118</v>
      </c>
      <c r="E25" s="886" t="s">
        <v>118</v>
      </c>
      <c r="F25" s="1051">
        <v>2.7919500000000001E-9</v>
      </c>
    </row>
    <row r="26" spans="1:6">
      <c r="A26" s="316" t="str">
        <f>CONCATENATE(TableECFTransport[[#This Row],[Voertuigtype]],"_",TableECFTransport[[#This Row],[Wegtype]],"_",TableECFTransport[[#This Row],[Brandstoftechnologie]],"_",TableECFTransport[[#This Row],[Brandstof]])</f>
        <v>Lichte voertuigen_snelwegen_Petrol_Petrol</v>
      </c>
      <c r="B26" s="886" t="s">
        <v>767</v>
      </c>
      <c r="C26" s="886" t="s">
        <v>771</v>
      </c>
      <c r="D26" s="886" t="s">
        <v>310</v>
      </c>
      <c r="E26" s="886" t="s">
        <v>310</v>
      </c>
      <c r="F26" s="1051">
        <v>2.30444E-9</v>
      </c>
    </row>
    <row r="27" spans="1:6">
      <c r="A27" s="316" t="str">
        <f>CONCATENATE(TableECFTransport[[#This Row],[Voertuigtype]],"_",TableECFTransport[[#This Row],[Wegtype]],"_",TableECFTransport[[#This Row],[Brandstoftechnologie]],"_",TableECFTransport[[#This Row],[Brandstof]])</f>
        <v>Lichte voertuigen_snelwegen_Petrol Hybrid_Petrol</v>
      </c>
      <c r="B27" s="886" t="s">
        <v>767</v>
      </c>
      <c r="C27" s="886" t="s">
        <v>771</v>
      </c>
      <c r="D27" s="886" t="s">
        <v>772</v>
      </c>
      <c r="E27" s="886" t="s">
        <v>310</v>
      </c>
      <c r="F27" s="1051">
        <v>1.8272000000000001E-9</v>
      </c>
    </row>
    <row r="28" spans="1:6">
      <c r="A28" s="316" t="str">
        <f>CONCATENATE(TableECFTransport[[#This Row],[Voertuigtype]],"_",TableECFTransport[[#This Row],[Wegtype]],"_",TableECFTransport[[#This Row],[Brandstoftechnologie]],"_",TableECFTransport[[#This Row],[Brandstof]])</f>
        <v>Zware voertuigen_Genummerde wegen_Diesel_Diesel</v>
      </c>
      <c r="B28" s="886" t="s">
        <v>768</v>
      </c>
      <c r="C28" s="886" t="s">
        <v>63</v>
      </c>
      <c r="D28" s="886" t="s">
        <v>201</v>
      </c>
      <c r="E28" s="886" t="s">
        <v>201</v>
      </c>
      <c r="F28" s="1051">
        <v>1.0117099999999999E-8</v>
      </c>
    </row>
    <row r="29" spans="1:6">
      <c r="A29" s="316" t="str">
        <f>CONCATENATE(TableECFTransport[[#This Row],[Voertuigtype]],"_",TableECFTransport[[#This Row],[Wegtype]],"_",TableECFTransport[[#This Row],[Brandstoftechnologie]],"_",TableECFTransport[[#This Row],[Brandstof]])</f>
        <v>Zware voertuigen_Genummerde wegen_Petrol_Petrol</v>
      </c>
      <c r="B29" s="886" t="s">
        <v>768</v>
      </c>
      <c r="C29" s="886" t="s">
        <v>63</v>
      </c>
      <c r="D29" s="886" t="s">
        <v>310</v>
      </c>
      <c r="E29" s="886" t="s">
        <v>310</v>
      </c>
      <c r="F29" s="1051">
        <v>6.4731899999999996E-9</v>
      </c>
    </row>
    <row r="30" spans="1:6">
      <c r="A30" s="316" t="str">
        <f>CONCATENATE(TableECFTransport[[#This Row],[Voertuigtype]],"_",TableECFTransport[[#This Row],[Wegtype]],"_",TableECFTransport[[#This Row],[Brandstoftechnologie]],"_",TableECFTransport[[#This Row],[Brandstof]])</f>
        <v>Zware voertuigen_Niet-genummerde wegen_Diesel_Diesel</v>
      </c>
      <c r="B30" s="886" t="s">
        <v>768</v>
      </c>
      <c r="C30" s="886" t="s">
        <v>64</v>
      </c>
      <c r="D30" s="886" t="s">
        <v>201</v>
      </c>
      <c r="E30" s="886" t="s">
        <v>201</v>
      </c>
      <c r="F30" s="1051">
        <v>1.29899E-8</v>
      </c>
    </row>
    <row r="31" spans="1:6">
      <c r="A31" s="316" t="str">
        <f>CONCATENATE(TableECFTransport[[#This Row],[Voertuigtype]],"_",TableECFTransport[[#This Row],[Wegtype]],"_",TableECFTransport[[#This Row],[Brandstoftechnologie]],"_",TableECFTransport[[#This Row],[Brandstof]])</f>
        <v>Zware voertuigen_Niet-genummerde wegen_Petrol_Petrol</v>
      </c>
      <c r="B31" s="886" t="s">
        <v>768</v>
      </c>
      <c r="C31" s="886" t="s">
        <v>64</v>
      </c>
      <c r="D31" s="886" t="s">
        <v>310</v>
      </c>
      <c r="E31" s="886" t="s">
        <v>310</v>
      </c>
      <c r="F31" s="1051">
        <v>9.6518399999999996E-9</v>
      </c>
    </row>
    <row r="32" spans="1:6">
      <c r="A32" s="316" t="str">
        <f>CONCATENATE(TableECFTransport[[#This Row],[Voertuigtype]],"_",TableECFTransport[[#This Row],[Wegtype]],"_",TableECFTransport[[#This Row],[Brandstoftechnologie]],"_",TableECFTransport[[#This Row],[Brandstof]])</f>
        <v>Zware voertuigen_snelwegen_Diesel_Diesel</v>
      </c>
      <c r="B32" s="886" t="s">
        <v>768</v>
      </c>
      <c r="C32" s="886" t="s">
        <v>771</v>
      </c>
      <c r="D32" s="886" t="s">
        <v>201</v>
      </c>
      <c r="E32" s="886" t="s">
        <v>201</v>
      </c>
      <c r="F32" s="1051">
        <v>9.4752800000000004E-9</v>
      </c>
    </row>
    <row r="33" spans="1:6">
      <c r="A33" s="316" t="str">
        <f>CONCATENATE(TableECFTransport[[#This Row],[Voertuigtype]],"_",TableECFTransport[[#This Row],[Wegtype]],"_",TableECFTransport[[#This Row],[Brandstoftechnologie]],"_",TableECFTransport[[#This Row],[Brandstof]])</f>
        <v>Zware voertuigen_snelwegen_Petrol_Petrol</v>
      </c>
      <c r="B33" s="886" t="s">
        <v>768</v>
      </c>
      <c r="C33" s="886" t="s">
        <v>771</v>
      </c>
      <c r="D33" s="886" t="s">
        <v>310</v>
      </c>
      <c r="E33" s="886" t="s">
        <v>310</v>
      </c>
      <c r="F33" s="1051">
        <v>6.6108100000000003E-9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95">
        <v>2012</v>
      </c>
      <c r="B1" s="1196"/>
      <c r="C1" s="77" t="s">
        <v>112</v>
      </c>
      <c r="D1" s="78" t="s">
        <v>113</v>
      </c>
      <c r="E1" s="77" t="s">
        <v>114</v>
      </c>
      <c r="F1" s="79" t="s">
        <v>115</v>
      </c>
      <c r="G1" s="78" t="s">
        <v>116</v>
      </c>
      <c r="H1" s="78" t="s">
        <v>117</v>
      </c>
      <c r="I1" s="77" t="s">
        <v>118</v>
      </c>
      <c r="J1" s="77" t="s">
        <v>119</v>
      </c>
      <c r="K1" s="77" t="s">
        <v>120</v>
      </c>
      <c r="L1" s="77" t="s">
        <v>121</v>
      </c>
      <c r="M1" s="78" t="s">
        <v>122</v>
      </c>
      <c r="N1" s="78" t="s">
        <v>123</v>
      </c>
      <c r="O1" s="78" t="s">
        <v>124</v>
      </c>
      <c r="P1" s="78" t="s">
        <v>125</v>
      </c>
      <c r="Q1" s="78" t="s">
        <v>126</v>
      </c>
      <c r="R1" s="80" t="s">
        <v>127</v>
      </c>
      <c r="S1" s="78" t="s">
        <v>128</v>
      </c>
      <c r="T1" s="78" t="s">
        <v>129</v>
      </c>
      <c r="U1" s="78" t="s">
        <v>130</v>
      </c>
      <c r="V1" s="79" t="s">
        <v>131</v>
      </c>
      <c r="W1" s="79" t="s">
        <v>132</v>
      </c>
      <c r="X1" s="78" t="s">
        <v>133</v>
      </c>
      <c r="Y1" s="77" t="s">
        <v>134</v>
      </c>
      <c r="Z1" s="77" t="s">
        <v>135</v>
      </c>
      <c r="AA1" s="81" t="s">
        <v>136</v>
      </c>
      <c r="AB1" s="82" t="s">
        <v>137</v>
      </c>
      <c r="AC1" s="79" t="s">
        <v>115</v>
      </c>
    </row>
    <row r="2" spans="1:29" s="2" customFormat="1" ht="11.25">
      <c r="A2" s="1197"/>
      <c r="B2" s="1198"/>
      <c r="C2" s="83"/>
      <c r="D2" s="83"/>
      <c r="E2" s="83"/>
      <c r="F2" s="84" t="s">
        <v>138</v>
      </c>
      <c r="G2" s="85" t="s">
        <v>139</v>
      </c>
      <c r="H2" s="86" t="s">
        <v>140</v>
      </c>
      <c r="I2" s="83"/>
      <c r="J2" s="83"/>
      <c r="K2" s="85"/>
      <c r="L2" s="86" t="s">
        <v>141</v>
      </c>
      <c r="M2" s="86" t="s">
        <v>142</v>
      </c>
      <c r="N2" s="86" t="s">
        <v>143</v>
      </c>
      <c r="O2" s="86"/>
      <c r="P2" s="86" t="s">
        <v>144</v>
      </c>
      <c r="Q2" s="85" t="s">
        <v>145</v>
      </c>
      <c r="R2" s="87" t="s">
        <v>146</v>
      </c>
      <c r="S2" s="86" t="s">
        <v>147</v>
      </c>
      <c r="T2" s="86" t="s">
        <v>148</v>
      </c>
      <c r="U2" s="86" t="s">
        <v>148</v>
      </c>
      <c r="V2" s="84"/>
      <c r="W2" s="84" t="s">
        <v>149</v>
      </c>
      <c r="X2" s="86" t="s">
        <v>150</v>
      </c>
      <c r="Y2" s="86"/>
      <c r="Z2" s="86" t="s">
        <v>151</v>
      </c>
      <c r="AA2" s="88"/>
      <c r="AB2" s="88" t="s">
        <v>152</v>
      </c>
      <c r="AC2" s="84"/>
    </row>
    <row r="3" spans="1:29" s="2" customFormat="1" ht="11.25">
      <c r="A3" s="1197"/>
      <c r="B3" s="1198"/>
      <c r="C3" s="86" t="s">
        <v>153</v>
      </c>
      <c r="D3" s="86" t="s">
        <v>153</v>
      </c>
      <c r="E3" s="86" t="s">
        <v>153</v>
      </c>
      <c r="F3" s="84" t="s">
        <v>153</v>
      </c>
      <c r="G3" s="85" t="s">
        <v>153</v>
      </c>
      <c r="H3" s="86" t="s">
        <v>153</v>
      </c>
      <c r="I3" s="86" t="s">
        <v>153</v>
      </c>
      <c r="J3" s="86" t="s">
        <v>153</v>
      </c>
      <c r="K3" s="85" t="s">
        <v>153</v>
      </c>
      <c r="L3" s="86" t="s">
        <v>153</v>
      </c>
      <c r="M3" s="86" t="s">
        <v>153</v>
      </c>
      <c r="N3" s="86" t="s">
        <v>153</v>
      </c>
      <c r="O3" s="86" t="s">
        <v>153</v>
      </c>
      <c r="P3" s="86" t="s">
        <v>153</v>
      </c>
      <c r="Q3" s="85" t="s">
        <v>153</v>
      </c>
      <c r="R3" s="87" t="s">
        <v>153</v>
      </c>
      <c r="S3" s="86" t="s">
        <v>153</v>
      </c>
      <c r="T3" s="86" t="s">
        <v>153</v>
      </c>
      <c r="U3" s="86" t="s">
        <v>153</v>
      </c>
      <c r="V3" s="84" t="s">
        <v>153</v>
      </c>
      <c r="W3" s="84" t="s">
        <v>153</v>
      </c>
      <c r="X3" s="86" t="s">
        <v>153</v>
      </c>
      <c r="Y3" s="86" t="s">
        <v>153</v>
      </c>
      <c r="Z3" s="86" t="s">
        <v>153</v>
      </c>
      <c r="AA3" s="88" t="s">
        <v>153</v>
      </c>
      <c r="AB3" s="88" t="s">
        <v>153</v>
      </c>
      <c r="AC3" s="84" t="s">
        <v>153</v>
      </c>
    </row>
    <row r="4" spans="1:29" s="2" customFormat="1" ht="11.25">
      <c r="A4" s="1199"/>
      <c r="B4" s="1200"/>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395</v>
      </c>
      <c r="B5" s="151" t="s">
        <v>703</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154</v>
      </c>
      <c r="B7" s="218"/>
      <c r="C7" s="852">
        <v>0</v>
      </c>
      <c r="D7" s="852">
        <v>1.9186793099021493</v>
      </c>
      <c r="E7" s="852">
        <v>0</v>
      </c>
      <c r="F7" s="853">
        <f>SUM(C7:E7)</f>
        <v>1.9186793099021493</v>
      </c>
      <c r="G7" s="852">
        <v>0</v>
      </c>
      <c r="H7" s="852">
        <v>0</v>
      </c>
      <c r="I7" s="852">
        <v>2.12052</v>
      </c>
      <c r="J7" s="852">
        <v>0.6273478339317422</v>
      </c>
      <c r="K7" s="852">
        <v>0</v>
      </c>
      <c r="L7" s="852">
        <v>60.020931320969275</v>
      </c>
      <c r="M7" s="852">
        <v>0</v>
      </c>
      <c r="N7" s="852">
        <v>0</v>
      </c>
      <c r="O7" s="852">
        <v>0</v>
      </c>
      <c r="P7" s="852">
        <v>0</v>
      </c>
      <c r="Q7" s="852">
        <v>0</v>
      </c>
      <c r="R7" s="853">
        <f>SUM(G7:Q7)</f>
        <v>62.768799154901018</v>
      </c>
      <c r="S7" s="852">
        <v>91.966858275654459</v>
      </c>
      <c r="T7" s="852">
        <v>0</v>
      </c>
      <c r="U7" s="852">
        <v>0</v>
      </c>
      <c r="V7" s="853">
        <f>SUM(S7:U7)</f>
        <v>91.966858275654459</v>
      </c>
      <c r="W7" s="853">
        <f>F7+R7+V7</f>
        <v>156.65433674045761</v>
      </c>
      <c r="X7" s="852">
        <v>0</v>
      </c>
      <c r="Y7" s="852">
        <v>13.626239826111433</v>
      </c>
      <c r="Z7" s="852">
        <v>41.483342324823916</v>
      </c>
      <c r="AA7" s="854">
        <v>0</v>
      </c>
      <c r="AB7" s="854">
        <v>0</v>
      </c>
      <c r="AC7" s="853">
        <f>SUM(W7:AB7)</f>
        <v>211.76391889139296</v>
      </c>
    </row>
    <row r="8" spans="1:29">
      <c r="A8" s="219" t="s">
        <v>155</v>
      </c>
      <c r="B8" s="220"/>
      <c r="C8" s="855">
        <f>SUM(C9:C14)</f>
        <v>0</v>
      </c>
      <c r="D8" s="855">
        <f t="shared" ref="D8:AC8" si="0">SUM(D9:D14)</f>
        <v>0</v>
      </c>
      <c r="E8" s="855">
        <f t="shared" si="0"/>
        <v>0</v>
      </c>
      <c r="F8" s="856">
        <f t="shared" si="0"/>
        <v>0</v>
      </c>
      <c r="G8" s="855">
        <f t="shared" si="0"/>
        <v>0</v>
      </c>
      <c r="H8" s="855">
        <f t="shared" si="0"/>
        <v>0</v>
      </c>
      <c r="I8" s="855">
        <f t="shared" si="0"/>
        <v>0.37758537267557535</v>
      </c>
      <c r="J8" s="855">
        <f t="shared" si="0"/>
        <v>2.5106404652900675E-3</v>
      </c>
      <c r="K8" s="855">
        <f t="shared" si="0"/>
        <v>0</v>
      </c>
      <c r="L8" s="855">
        <f t="shared" si="0"/>
        <v>8.1926849813264102</v>
      </c>
      <c r="M8" s="855">
        <f t="shared" si="0"/>
        <v>0</v>
      </c>
      <c r="N8" s="855">
        <f t="shared" si="0"/>
        <v>0.51186016901888332</v>
      </c>
      <c r="O8" s="855">
        <f t="shared" si="0"/>
        <v>0</v>
      </c>
      <c r="P8" s="855">
        <f t="shared" si="0"/>
        <v>0</v>
      </c>
      <c r="Q8" s="855">
        <f t="shared" si="0"/>
        <v>0</v>
      </c>
      <c r="R8" s="856">
        <f t="shared" si="0"/>
        <v>9.0846411634861575</v>
      </c>
      <c r="S8" s="855">
        <f t="shared" si="0"/>
        <v>44.884929412539336</v>
      </c>
      <c r="T8" s="855">
        <f t="shared" si="0"/>
        <v>0</v>
      </c>
      <c r="U8" s="855">
        <f t="shared" si="0"/>
        <v>0</v>
      </c>
      <c r="V8" s="856">
        <f t="shared" si="0"/>
        <v>44.884929412539336</v>
      </c>
      <c r="W8" s="856">
        <f t="shared" si="0"/>
        <v>53.96957057602549</v>
      </c>
      <c r="X8" s="855">
        <f t="shared" si="0"/>
        <v>1.1268699999999998</v>
      </c>
      <c r="Y8" s="855">
        <f t="shared" si="0"/>
        <v>2.8742944619048671</v>
      </c>
      <c r="Z8" s="855">
        <f t="shared" si="0"/>
        <v>43.70028754064343</v>
      </c>
      <c r="AA8" s="857">
        <f t="shared" si="0"/>
        <v>0</v>
      </c>
      <c r="AB8" s="857">
        <f t="shared" si="0"/>
        <v>0</v>
      </c>
      <c r="AC8" s="856">
        <f t="shared" si="0"/>
        <v>101.67102257857378</v>
      </c>
    </row>
    <row r="9" spans="1:29">
      <c r="A9" s="3"/>
      <c r="B9" s="6" t="s">
        <v>156</v>
      </c>
      <c r="C9" s="858">
        <v>0</v>
      </c>
      <c r="D9" s="858">
        <v>0</v>
      </c>
      <c r="E9" s="858">
        <v>0</v>
      </c>
      <c r="F9" s="859">
        <f t="shared" ref="F9:F32" si="1">SUM(C9:E9)</f>
        <v>0</v>
      </c>
      <c r="G9" s="858">
        <v>0</v>
      </c>
      <c r="H9" s="858">
        <v>0</v>
      </c>
      <c r="I9" s="858">
        <v>0.23735145557062834</v>
      </c>
      <c r="J9" s="858">
        <v>0</v>
      </c>
      <c r="K9" s="858">
        <v>0</v>
      </c>
      <c r="L9" s="858">
        <v>1.043763530227678</v>
      </c>
      <c r="M9" s="858">
        <v>0</v>
      </c>
      <c r="N9" s="858">
        <v>0</v>
      </c>
      <c r="O9" s="858">
        <v>0</v>
      </c>
      <c r="P9" s="858">
        <v>0</v>
      </c>
      <c r="Q9" s="858">
        <v>0</v>
      </c>
      <c r="R9" s="859">
        <f t="shared" ref="R9:R32" si="2">SUM(G9:Q9)</f>
        <v>1.2811149857983064</v>
      </c>
      <c r="S9" s="858">
        <v>5.3464296270871063</v>
      </c>
      <c r="T9" s="858">
        <v>0</v>
      </c>
      <c r="U9" s="858">
        <v>0</v>
      </c>
      <c r="V9" s="859">
        <f t="shared" ref="V9:V32" si="3">SUM(S9:U9)</f>
        <v>5.3464296270871063</v>
      </c>
      <c r="W9" s="859">
        <f t="shared" ref="W9:W32" si="4">F9+R9+V9</f>
        <v>6.627544612885413</v>
      </c>
      <c r="X9" s="858">
        <v>0</v>
      </c>
      <c r="Y9" s="858">
        <v>4.8299999999999998E-4</v>
      </c>
      <c r="Z9" s="858">
        <v>4.5738834855450134</v>
      </c>
      <c r="AA9" s="860">
        <v>0</v>
      </c>
      <c r="AB9" s="860">
        <v>0</v>
      </c>
      <c r="AC9" s="859">
        <f t="shared" ref="AC9:AC32" si="5">SUM(W9:AB9)</f>
        <v>11.201911098430426</v>
      </c>
    </row>
    <row r="10" spans="1:29">
      <c r="A10" s="3"/>
      <c r="B10" s="6" t="s">
        <v>157</v>
      </c>
      <c r="C10" s="858">
        <v>0</v>
      </c>
      <c r="D10" s="858">
        <v>0</v>
      </c>
      <c r="E10" s="858">
        <v>0</v>
      </c>
      <c r="F10" s="859">
        <f t="shared" si="1"/>
        <v>0</v>
      </c>
      <c r="G10" s="858">
        <v>0</v>
      </c>
      <c r="H10" s="858">
        <v>0</v>
      </c>
      <c r="I10" s="858">
        <v>2.7887393731092754E-3</v>
      </c>
      <c r="J10" s="858">
        <v>0</v>
      </c>
      <c r="K10" s="858">
        <v>0</v>
      </c>
      <c r="L10" s="858">
        <v>0.97638857386013711</v>
      </c>
      <c r="M10" s="858">
        <v>0</v>
      </c>
      <c r="N10" s="858">
        <v>0</v>
      </c>
      <c r="O10" s="858">
        <v>0</v>
      </c>
      <c r="P10" s="858">
        <v>0</v>
      </c>
      <c r="Q10" s="858">
        <v>0</v>
      </c>
      <c r="R10" s="859">
        <f t="shared" si="2"/>
        <v>0.97917731323324642</v>
      </c>
      <c r="S10" s="858">
        <v>5.0911131819629087</v>
      </c>
      <c r="T10" s="858">
        <v>0</v>
      </c>
      <c r="U10" s="858">
        <v>0</v>
      </c>
      <c r="V10" s="859">
        <f t="shared" si="3"/>
        <v>5.0911131819629087</v>
      </c>
      <c r="W10" s="859">
        <f t="shared" si="4"/>
        <v>6.0702904951961552</v>
      </c>
      <c r="X10" s="858">
        <v>0</v>
      </c>
      <c r="Y10" s="858">
        <v>2.4248284400000004E-2</v>
      </c>
      <c r="Z10" s="858">
        <v>2.8140336751269039</v>
      </c>
      <c r="AA10" s="860">
        <v>0</v>
      </c>
      <c r="AB10" s="860">
        <v>0</v>
      </c>
      <c r="AC10" s="859">
        <f t="shared" si="5"/>
        <v>8.9085724547230587</v>
      </c>
    </row>
    <row r="11" spans="1:29">
      <c r="A11" s="3"/>
      <c r="B11" s="6" t="s">
        <v>158</v>
      </c>
      <c r="C11" s="858">
        <v>0</v>
      </c>
      <c r="D11" s="858">
        <v>0</v>
      </c>
      <c r="E11" s="858">
        <v>0</v>
      </c>
      <c r="F11" s="859">
        <f t="shared" si="1"/>
        <v>0</v>
      </c>
      <c r="G11" s="858">
        <v>0</v>
      </c>
      <c r="H11" s="858">
        <v>0</v>
      </c>
      <c r="I11" s="858">
        <v>1.0508522324903882E-3</v>
      </c>
      <c r="J11" s="858">
        <v>0</v>
      </c>
      <c r="K11" s="858">
        <v>0</v>
      </c>
      <c r="L11" s="858">
        <v>0.65915688493745617</v>
      </c>
      <c r="M11" s="858">
        <v>0</v>
      </c>
      <c r="N11" s="858">
        <v>0</v>
      </c>
      <c r="O11" s="858">
        <v>0</v>
      </c>
      <c r="P11" s="858">
        <v>0</v>
      </c>
      <c r="Q11" s="858">
        <v>0</v>
      </c>
      <c r="R11" s="859">
        <f t="shared" si="2"/>
        <v>0.66020773716994652</v>
      </c>
      <c r="S11" s="858">
        <v>6.6209044068637315</v>
      </c>
      <c r="T11" s="858">
        <v>0</v>
      </c>
      <c r="U11" s="858">
        <v>0</v>
      </c>
      <c r="V11" s="859">
        <f t="shared" si="3"/>
        <v>6.6209044068637315</v>
      </c>
      <c r="W11" s="859">
        <f t="shared" si="4"/>
        <v>7.2811121440336777</v>
      </c>
      <c r="X11" s="858">
        <v>0</v>
      </c>
      <c r="Y11" s="858">
        <v>5.5458E-3</v>
      </c>
      <c r="Z11" s="858">
        <v>1.7049386291261135</v>
      </c>
      <c r="AA11" s="860">
        <v>0</v>
      </c>
      <c r="AB11" s="860">
        <v>0</v>
      </c>
      <c r="AC11" s="859">
        <f t="shared" si="5"/>
        <v>8.9915965731597911</v>
      </c>
    </row>
    <row r="12" spans="1:29">
      <c r="A12" s="3"/>
      <c r="B12" s="6" t="s">
        <v>159</v>
      </c>
      <c r="C12" s="858">
        <v>0</v>
      </c>
      <c r="D12" s="858">
        <v>0</v>
      </c>
      <c r="E12" s="858">
        <v>0</v>
      </c>
      <c r="F12" s="859">
        <f t="shared" si="1"/>
        <v>0</v>
      </c>
      <c r="G12" s="858">
        <v>0</v>
      </c>
      <c r="H12" s="858">
        <v>0</v>
      </c>
      <c r="I12" s="858">
        <v>2.7804842495122401E-2</v>
      </c>
      <c r="J12" s="858">
        <v>2.5106404652900675E-3</v>
      </c>
      <c r="K12" s="858">
        <v>0</v>
      </c>
      <c r="L12" s="858">
        <v>1.997033496220866</v>
      </c>
      <c r="M12" s="858">
        <v>0</v>
      </c>
      <c r="N12" s="858">
        <v>0</v>
      </c>
      <c r="O12" s="858">
        <v>0</v>
      </c>
      <c r="P12" s="858">
        <v>0</v>
      </c>
      <c r="Q12" s="858">
        <v>0</v>
      </c>
      <c r="R12" s="859">
        <f t="shared" si="2"/>
        <v>2.0273489791812787</v>
      </c>
      <c r="S12" s="858">
        <v>15.319833352424087</v>
      </c>
      <c r="T12" s="858">
        <v>0</v>
      </c>
      <c r="U12" s="858">
        <v>0</v>
      </c>
      <c r="V12" s="859">
        <f t="shared" si="3"/>
        <v>15.319833352424087</v>
      </c>
      <c r="W12" s="859">
        <f t="shared" si="4"/>
        <v>17.347182331605367</v>
      </c>
      <c r="X12" s="858">
        <v>0</v>
      </c>
      <c r="Y12" s="858">
        <v>3.4229999999999998E-3</v>
      </c>
      <c r="Z12" s="858">
        <v>16.94174820958003</v>
      </c>
      <c r="AA12" s="860">
        <v>0</v>
      </c>
      <c r="AB12" s="860">
        <v>0</v>
      </c>
      <c r="AC12" s="859">
        <f t="shared" si="5"/>
        <v>34.292353541185399</v>
      </c>
    </row>
    <row r="13" spans="1:29">
      <c r="A13" s="3"/>
      <c r="B13" s="6" t="s">
        <v>160</v>
      </c>
      <c r="C13" s="858">
        <v>0</v>
      </c>
      <c r="D13" s="858">
        <v>0</v>
      </c>
      <c r="E13" s="858">
        <v>0</v>
      </c>
      <c r="F13" s="859">
        <f t="shared" si="1"/>
        <v>0</v>
      </c>
      <c r="G13" s="858">
        <v>0</v>
      </c>
      <c r="H13" s="858">
        <v>0</v>
      </c>
      <c r="I13" s="858">
        <v>6.9211253042484627E-2</v>
      </c>
      <c r="J13" s="858">
        <v>0</v>
      </c>
      <c r="K13" s="858">
        <v>0</v>
      </c>
      <c r="L13" s="858">
        <v>2.6209673527345569</v>
      </c>
      <c r="M13" s="858">
        <v>0</v>
      </c>
      <c r="N13" s="858">
        <v>0</v>
      </c>
      <c r="O13" s="858">
        <v>0</v>
      </c>
      <c r="P13" s="858">
        <v>0</v>
      </c>
      <c r="Q13" s="858">
        <v>0</v>
      </c>
      <c r="R13" s="859">
        <f t="shared" si="2"/>
        <v>2.6901786057770414</v>
      </c>
      <c r="S13" s="858">
        <v>8.4695588695047626</v>
      </c>
      <c r="T13" s="858">
        <v>0</v>
      </c>
      <c r="U13" s="858">
        <v>0</v>
      </c>
      <c r="V13" s="859">
        <f t="shared" si="3"/>
        <v>8.4695588695047626</v>
      </c>
      <c r="W13" s="859">
        <f t="shared" si="4"/>
        <v>11.159737475281805</v>
      </c>
      <c r="X13" s="858">
        <v>0</v>
      </c>
      <c r="Y13" s="858">
        <v>6.3907736071999996E-2</v>
      </c>
      <c r="Z13" s="858">
        <v>12.852307094494668</v>
      </c>
      <c r="AA13" s="860">
        <v>0</v>
      </c>
      <c r="AB13" s="860">
        <v>0</v>
      </c>
      <c r="AC13" s="859">
        <f t="shared" si="5"/>
        <v>24.075952305848475</v>
      </c>
    </row>
    <row r="14" spans="1:29">
      <c r="A14" s="221"/>
      <c r="B14" s="222" t="s">
        <v>161</v>
      </c>
      <c r="C14" s="861">
        <v>0</v>
      </c>
      <c r="D14" s="861">
        <v>0</v>
      </c>
      <c r="E14" s="861">
        <v>0</v>
      </c>
      <c r="F14" s="862">
        <f t="shared" si="1"/>
        <v>0</v>
      </c>
      <c r="G14" s="858">
        <v>0</v>
      </c>
      <c r="H14" s="858">
        <v>0</v>
      </c>
      <c r="I14" s="858">
        <v>3.9378229961740369E-2</v>
      </c>
      <c r="J14" s="858">
        <v>0</v>
      </c>
      <c r="K14" s="858">
        <v>0</v>
      </c>
      <c r="L14" s="858">
        <v>0.89537514334571489</v>
      </c>
      <c r="M14" s="858">
        <v>0</v>
      </c>
      <c r="N14" s="858">
        <v>0.51186016901888332</v>
      </c>
      <c r="O14" s="858">
        <v>0</v>
      </c>
      <c r="P14" s="858">
        <v>0</v>
      </c>
      <c r="Q14" s="858">
        <v>0</v>
      </c>
      <c r="R14" s="862">
        <f t="shared" si="2"/>
        <v>1.4466135423263387</v>
      </c>
      <c r="S14" s="858">
        <v>4.0370899746967384</v>
      </c>
      <c r="T14" s="861">
        <v>0</v>
      </c>
      <c r="U14" s="861">
        <v>0</v>
      </c>
      <c r="V14" s="862">
        <f t="shared" si="3"/>
        <v>4.0370899746967384</v>
      </c>
      <c r="W14" s="862">
        <f t="shared" si="4"/>
        <v>5.483703517023077</v>
      </c>
      <c r="X14" s="858">
        <v>1.1268699999999998</v>
      </c>
      <c r="Y14" s="858">
        <v>2.776686641432867</v>
      </c>
      <c r="Z14" s="858">
        <v>4.813376446770695</v>
      </c>
      <c r="AA14" s="863">
        <v>0</v>
      </c>
      <c r="AB14" s="863">
        <v>0</v>
      </c>
      <c r="AC14" s="862">
        <f t="shared" si="5"/>
        <v>14.20063660522664</v>
      </c>
    </row>
    <row r="15" spans="1:29">
      <c r="A15" s="219" t="s">
        <v>162</v>
      </c>
      <c r="B15" s="223"/>
      <c r="C15" s="864">
        <f>SUM(C16:C24)</f>
        <v>0</v>
      </c>
      <c r="D15" s="864">
        <f t="shared" ref="D15:AC15" si="6">SUM(D16:D24)</f>
        <v>7.5710930000003355E-4</v>
      </c>
      <c r="E15" s="864">
        <f t="shared" si="6"/>
        <v>0.23897841417000007</v>
      </c>
      <c r="F15" s="865">
        <f t="shared" si="6"/>
        <v>0.23973552347000013</v>
      </c>
      <c r="G15" s="864">
        <f t="shared" si="6"/>
        <v>0</v>
      </c>
      <c r="H15" s="864">
        <f t="shared" si="6"/>
        <v>0</v>
      </c>
      <c r="I15" s="864">
        <f t="shared" si="6"/>
        <v>0.42837297190797929</v>
      </c>
      <c r="J15" s="864">
        <f t="shared" si="6"/>
        <v>0</v>
      </c>
      <c r="K15" s="864">
        <f t="shared" si="6"/>
        <v>0</v>
      </c>
      <c r="L15" s="864">
        <f t="shared" si="6"/>
        <v>8.795967633175179</v>
      </c>
      <c r="M15" s="864">
        <f t="shared" si="6"/>
        <v>0</v>
      </c>
      <c r="N15" s="864">
        <f t="shared" si="6"/>
        <v>0.5917809174162949</v>
      </c>
      <c r="O15" s="864">
        <f t="shared" si="6"/>
        <v>0</v>
      </c>
      <c r="P15" s="864">
        <f t="shared" si="6"/>
        <v>0.65237152799999998</v>
      </c>
      <c r="Q15" s="864">
        <f t="shared" si="6"/>
        <v>0</v>
      </c>
      <c r="R15" s="865">
        <f t="shared" si="6"/>
        <v>10.468493050499452</v>
      </c>
      <c r="S15" s="864">
        <f t="shared" si="6"/>
        <v>37.258987045301666</v>
      </c>
      <c r="T15" s="864">
        <f t="shared" si="6"/>
        <v>0</v>
      </c>
      <c r="U15" s="864">
        <f t="shared" si="6"/>
        <v>0</v>
      </c>
      <c r="V15" s="865">
        <f t="shared" si="6"/>
        <v>37.258987045301666</v>
      </c>
      <c r="W15" s="865">
        <f t="shared" si="6"/>
        <v>47.96721561927113</v>
      </c>
      <c r="X15" s="864">
        <f t="shared" si="6"/>
        <v>1.1904934775</v>
      </c>
      <c r="Y15" s="864">
        <f t="shared" si="6"/>
        <v>1.4634291102087544</v>
      </c>
      <c r="Z15" s="864">
        <f t="shared" si="6"/>
        <v>47.672791607646232</v>
      </c>
      <c r="AA15" s="866">
        <f t="shared" si="6"/>
        <v>0</v>
      </c>
      <c r="AB15" s="866">
        <f t="shared" si="6"/>
        <v>0</v>
      </c>
      <c r="AC15" s="865">
        <f t="shared" si="6"/>
        <v>98.293929814626111</v>
      </c>
    </row>
    <row r="16" spans="1:29">
      <c r="A16" s="5"/>
      <c r="B16" s="6" t="s">
        <v>34</v>
      </c>
      <c r="C16" s="867">
        <v>0</v>
      </c>
      <c r="D16" s="867">
        <v>0</v>
      </c>
      <c r="E16" s="867">
        <v>0</v>
      </c>
      <c r="F16" s="859">
        <f>C16+D16+E16</f>
        <v>0</v>
      </c>
      <c r="G16" s="867">
        <v>0</v>
      </c>
      <c r="H16" s="867">
        <v>0</v>
      </c>
      <c r="I16" s="867">
        <v>1.6343E-3</v>
      </c>
      <c r="J16" s="867">
        <v>0</v>
      </c>
      <c r="K16" s="867">
        <v>0</v>
      </c>
      <c r="L16" s="867">
        <v>8.6571711734000079E-3</v>
      </c>
      <c r="M16" s="867">
        <v>0</v>
      </c>
      <c r="N16" s="867">
        <v>0</v>
      </c>
      <c r="O16" s="867">
        <v>0</v>
      </c>
      <c r="P16" s="867">
        <v>0</v>
      </c>
      <c r="Q16" s="867">
        <v>0</v>
      </c>
      <c r="R16" s="859">
        <f>SUM(G16:Q16)</f>
        <v>1.0291471173400008E-2</v>
      </c>
      <c r="S16" s="867">
        <v>0.45851891347600127</v>
      </c>
      <c r="T16" s="867">
        <v>0</v>
      </c>
      <c r="U16" s="867">
        <v>0</v>
      </c>
      <c r="V16" s="868">
        <f>SUM(S16:U16)</f>
        <v>0.45851891347600127</v>
      </c>
      <c r="W16" s="859">
        <f>F16+R16+V16</f>
        <v>0.46881038464940128</v>
      </c>
      <c r="X16" s="867">
        <v>0</v>
      </c>
      <c r="Y16" s="867">
        <v>1.1232000000000001E-2</v>
      </c>
      <c r="Z16" s="867">
        <v>0.54484919119999997</v>
      </c>
      <c r="AA16" s="860">
        <v>0</v>
      </c>
      <c r="AB16" s="860">
        <v>0</v>
      </c>
      <c r="AC16" s="859">
        <f>SUM(W16:Z16)</f>
        <v>1.0248915758494013</v>
      </c>
    </row>
    <row r="17" spans="1:31">
      <c r="A17" s="5"/>
      <c r="B17" s="6" t="s">
        <v>37</v>
      </c>
      <c r="C17" s="867">
        <v>0</v>
      </c>
      <c r="D17" s="867">
        <v>0</v>
      </c>
      <c r="E17" s="867">
        <v>0.12103780260000008</v>
      </c>
      <c r="F17" s="859">
        <f t="shared" ref="F17:F24" si="7">C17+D17+E17</f>
        <v>0.12103780260000008</v>
      </c>
      <c r="G17" s="867">
        <v>0</v>
      </c>
      <c r="H17" s="867">
        <v>0</v>
      </c>
      <c r="I17" s="867">
        <v>7.7255344300000022E-4</v>
      </c>
      <c r="J17" s="867">
        <v>0</v>
      </c>
      <c r="K17" s="867">
        <v>0</v>
      </c>
      <c r="L17" s="867">
        <v>8.3940618374819975E-2</v>
      </c>
      <c r="M17" s="867">
        <v>0</v>
      </c>
      <c r="N17" s="867">
        <v>1.8184000000004419E-5</v>
      </c>
      <c r="O17" s="867">
        <v>0</v>
      </c>
      <c r="P17" s="867">
        <v>2.3915279999999969E-3</v>
      </c>
      <c r="Q17" s="867">
        <v>0</v>
      </c>
      <c r="R17" s="859">
        <f t="shared" ref="R17:R24" si="8">SUM(G17:Q17)</f>
        <v>8.712288381781999E-2</v>
      </c>
      <c r="S17" s="867">
        <v>0.44553863218399936</v>
      </c>
      <c r="T17" s="867">
        <v>0</v>
      </c>
      <c r="U17" s="867">
        <v>0</v>
      </c>
      <c r="V17" s="868">
        <f t="shared" ref="V17:V24" si="9">SUM(S17:U17)</f>
        <v>0.44553863218399936</v>
      </c>
      <c r="W17" s="859">
        <f t="shared" ref="W17:W24" si="10">F17+R17+V17</f>
        <v>0.6536993186018194</v>
      </c>
      <c r="X17" s="867">
        <v>6.9949999999999998E-2</v>
      </c>
      <c r="Y17" s="867">
        <v>1.392E-3</v>
      </c>
      <c r="Z17" s="867">
        <v>0.3443568084000006</v>
      </c>
      <c r="AA17" s="860">
        <v>0</v>
      </c>
      <c r="AB17" s="860">
        <v>0</v>
      </c>
      <c r="AC17" s="859">
        <f t="shared" ref="AC17:AC24" si="11">SUM(W17:Z17)</f>
        <v>1.0693981270018198</v>
      </c>
    </row>
    <row r="18" spans="1:31">
      <c r="A18" s="5"/>
      <c r="B18" s="6" t="s">
        <v>35</v>
      </c>
      <c r="C18" s="867">
        <v>0</v>
      </c>
      <c r="D18" s="867">
        <v>0</v>
      </c>
      <c r="E18" s="867">
        <v>0.10609499999999999</v>
      </c>
      <c r="F18" s="859">
        <f t="shared" si="7"/>
        <v>0.10609499999999999</v>
      </c>
      <c r="G18" s="867">
        <v>0</v>
      </c>
      <c r="H18" s="867">
        <v>0</v>
      </c>
      <c r="I18" s="867">
        <v>5.8919121515501473E-2</v>
      </c>
      <c r="J18" s="867">
        <v>0</v>
      </c>
      <c r="K18" s="867">
        <v>0</v>
      </c>
      <c r="L18" s="867">
        <v>0.85331486398172307</v>
      </c>
      <c r="M18" s="867">
        <v>0</v>
      </c>
      <c r="N18" s="867">
        <v>0</v>
      </c>
      <c r="O18" s="867">
        <v>0</v>
      </c>
      <c r="P18" s="867">
        <v>0</v>
      </c>
      <c r="Q18" s="867">
        <v>0</v>
      </c>
      <c r="R18" s="859">
        <f t="shared" si="8"/>
        <v>0.91223398549722456</v>
      </c>
      <c r="S18" s="867">
        <v>6.8757868503410853</v>
      </c>
      <c r="T18" s="867">
        <v>0</v>
      </c>
      <c r="U18" s="867">
        <v>0</v>
      </c>
      <c r="V18" s="868">
        <f t="shared" si="9"/>
        <v>6.8757868503410853</v>
      </c>
      <c r="W18" s="859">
        <f t="shared" si="10"/>
        <v>7.8941158358383099</v>
      </c>
      <c r="X18" s="867">
        <v>0</v>
      </c>
      <c r="Y18" s="867">
        <v>2.2234064120000001E-2</v>
      </c>
      <c r="Z18" s="867">
        <v>6.4697801086864528</v>
      </c>
      <c r="AA18" s="860">
        <v>0</v>
      </c>
      <c r="AB18" s="860">
        <v>0</v>
      </c>
      <c r="AC18" s="859">
        <f t="shared" si="11"/>
        <v>14.386130008644763</v>
      </c>
    </row>
    <row r="19" spans="1:31">
      <c r="A19" s="5"/>
      <c r="B19" s="6" t="s">
        <v>32</v>
      </c>
      <c r="C19" s="867">
        <v>0</v>
      </c>
      <c r="D19" s="867">
        <v>7.3249999999999997E-4</v>
      </c>
      <c r="E19" s="867">
        <v>0</v>
      </c>
      <c r="F19" s="859">
        <f t="shared" si="7"/>
        <v>7.3249999999999997E-4</v>
      </c>
      <c r="G19" s="867">
        <v>0</v>
      </c>
      <c r="H19" s="867">
        <v>0</v>
      </c>
      <c r="I19" s="867">
        <v>4.476169832910637E-2</v>
      </c>
      <c r="J19" s="867">
        <v>0</v>
      </c>
      <c r="K19" s="867">
        <v>0</v>
      </c>
      <c r="L19" s="867">
        <v>5.9854499024776295</v>
      </c>
      <c r="M19" s="867">
        <v>0</v>
      </c>
      <c r="N19" s="867">
        <v>0.17530515285167952</v>
      </c>
      <c r="O19" s="867">
        <v>0</v>
      </c>
      <c r="P19" s="867">
        <v>0</v>
      </c>
      <c r="Q19" s="867">
        <v>0</v>
      </c>
      <c r="R19" s="859">
        <f t="shared" si="8"/>
        <v>6.205516753658415</v>
      </c>
      <c r="S19" s="867">
        <v>6.6307388343865314</v>
      </c>
      <c r="T19" s="867">
        <v>0</v>
      </c>
      <c r="U19" s="867">
        <v>0</v>
      </c>
      <c r="V19" s="868">
        <f t="shared" si="9"/>
        <v>6.6307388343865314</v>
      </c>
      <c r="W19" s="859">
        <f t="shared" si="10"/>
        <v>12.836988088044947</v>
      </c>
      <c r="X19" s="867">
        <v>0.23867563000000003</v>
      </c>
      <c r="Y19" s="867">
        <v>0.58672809025999983</v>
      </c>
      <c r="Z19" s="867">
        <v>7.7440382488425161</v>
      </c>
      <c r="AA19" s="860">
        <v>0</v>
      </c>
      <c r="AB19" s="860">
        <v>0</v>
      </c>
      <c r="AC19" s="859">
        <f t="shared" si="11"/>
        <v>21.40643005714746</v>
      </c>
    </row>
    <row r="20" spans="1:31">
      <c r="A20" s="5"/>
      <c r="B20" s="6" t="s">
        <v>40</v>
      </c>
      <c r="C20" s="867">
        <v>0</v>
      </c>
      <c r="D20" s="867">
        <v>0</v>
      </c>
      <c r="E20" s="867">
        <v>4.0141569999999072E-5</v>
      </c>
      <c r="F20" s="859">
        <f t="shared" si="7"/>
        <v>4.0141569999999072E-5</v>
      </c>
      <c r="G20" s="867">
        <v>0</v>
      </c>
      <c r="H20" s="867">
        <v>0</v>
      </c>
      <c r="I20" s="867">
        <v>0.10013986012689723</v>
      </c>
      <c r="J20" s="867">
        <v>0</v>
      </c>
      <c r="K20" s="867">
        <v>0</v>
      </c>
      <c r="L20" s="867">
        <v>0.74157492813339665</v>
      </c>
      <c r="M20" s="867">
        <v>0</v>
      </c>
      <c r="N20" s="867">
        <v>0.38954199801534822</v>
      </c>
      <c r="O20" s="867">
        <v>0</v>
      </c>
      <c r="P20" s="867">
        <v>0</v>
      </c>
      <c r="Q20" s="867">
        <v>0</v>
      </c>
      <c r="R20" s="859">
        <f t="shared" si="8"/>
        <v>1.2312567862756421</v>
      </c>
      <c r="S20" s="867">
        <v>8.4607282408323403</v>
      </c>
      <c r="T20" s="867">
        <v>0</v>
      </c>
      <c r="U20" s="867">
        <v>0</v>
      </c>
      <c r="V20" s="868">
        <f t="shared" si="9"/>
        <v>8.4607282408323403</v>
      </c>
      <c r="W20" s="859">
        <f t="shared" si="10"/>
        <v>9.6920251686779828</v>
      </c>
      <c r="X20" s="867">
        <v>0</v>
      </c>
      <c r="Y20" s="867">
        <v>0.15080785742875485</v>
      </c>
      <c r="Z20" s="867">
        <v>10.18445737999318</v>
      </c>
      <c r="AA20" s="860">
        <v>0</v>
      </c>
      <c r="AB20" s="860">
        <v>0</v>
      </c>
      <c r="AC20" s="859">
        <f t="shared" si="11"/>
        <v>20.027290406099915</v>
      </c>
    </row>
    <row r="21" spans="1:31">
      <c r="A21" s="5"/>
      <c r="B21" s="6" t="s">
        <v>39</v>
      </c>
      <c r="C21" s="867">
        <v>0</v>
      </c>
      <c r="D21" s="867">
        <v>0</v>
      </c>
      <c r="E21" s="867">
        <v>0</v>
      </c>
      <c r="F21" s="859">
        <f t="shared" si="7"/>
        <v>0</v>
      </c>
      <c r="G21" s="867">
        <v>0</v>
      </c>
      <c r="H21" s="867">
        <v>0</v>
      </c>
      <c r="I21" s="867">
        <v>5.1901135876337729E-3</v>
      </c>
      <c r="J21" s="867">
        <v>0</v>
      </c>
      <c r="K21" s="867">
        <v>0</v>
      </c>
      <c r="L21" s="867">
        <v>6.1003792913099368E-2</v>
      </c>
      <c r="M21" s="867">
        <v>0</v>
      </c>
      <c r="N21" s="867">
        <v>2.6909182691267162E-2</v>
      </c>
      <c r="O21" s="867">
        <v>0</v>
      </c>
      <c r="P21" s="867">
        <v>0</v>
      </c>
      <c r="Q21" s="867">
        <v>0</v>
      </c>
      <c r="R21" s="859">
        <f t="shared" si="8"/>
        <v>9.3103089192000305E-2</v>
      </c>
      <c r="S21" s="867">
        <v>3.7144800478087356</v>
      </c>
      <c r="T21" s="867">
        <v>0</v>
      </c>
      <c r="U21" s="867">
        <v>0</v>
      </c>
      <c r="V21" s="868">
        <f t="shared" si="9"/>
        <v>3.7144800478087356</v>
      </c>
      <c r="W21" s="859">
        <f t="shared" si="10"/>
        <v>3.8075831370007358</v>
      </c>
      <c r="X21" s="867">
        <v>0</v>
      </c>
      <c r="Y21" s="867">
        <v>2.7647000000000001E-2</v>
      </c>
      <c r="Z21" s="867">
        <v>2.6653799014757911</v>
      </c>
      <c r="AA21" s="860">
        <v>0</v>
      </c>
      <c r="AB21" s="860">
        <v>0</v>
      </c>
      <c r="AC21" s="859">
        <f t="shared" si="11"/>
        <v>6.5006100384765269</v>
      </c>
    </row>
    <row r="22" spans="1:31">
      <c r="A22" s="5"/>
      <c r="B22" s="6" t="s">
        <v>36</v>
      </c>
      <c r="C22" s="867">
        <v>0</v>
      </c>
      <c r="D22" s="867">
        <v>2.4609300000033585E-5</v>
      </c>
      <c r="E22" s="867">
        <v>1.180547E-2</v>
      </c>
      <c r="F22" s="859">
        <f t="shared" si="7"/>
        <v>1.1830079300000034E-2</v>
      </c>
      <c r="G22" s="867">
        <v>0</v>
      </c>
      <c r="H22" s="867">
        <v>0</v>
      </c>
      <c r="I22" s="867">
        <v>4.5412543326797283E-2</v>
      </c>
      <c r="J22" s="867">
        <v>0</v>
      </c>
      <c r="K22" s="867">
        <v>0</v>
      </c>
      <c r="L22" s="867">
        <v>0.4956514702526153</v>
      </c>
      <c r="M22" s="867">
        <v>0</v>
      </c>
      <c r="N22" s="867">
        <v>6.3998579999946514E-6</v>
      </c>
      <c r="O22" s="867">
        <v>0</v>
      </c>
      <c r="P22" s="867">
        <v>0</v>
      </c>
      <c r="Q22" s="867">
        <v>0</v>
      </c>
      <c r="R22" s="859">
        <f t="shared" si="8"/>
        <v>0.54107041343741258</v>
      </c>
      <c r="S22" s="867">
        <v>1.537518145274583</v>
      </c>
      <c r="T22" s="867">
        <v>0</v>
      </c>
      <c r="U22" s="867">
        <v>0</v>
      </c>
      <c r="V22" s="868">
        <f t="shared" si="9"/>
        <v>1.537518145274583</v>
      </c>
      <c r="W22" s="859">
        <f t="shared" si="10"/>
        <v>2.0904186380119958</v>
      </c>
      <c r="X22" s="867">
        <v>0.88186784750000002</v>
      </c>
      <c r="Y22" s="867">
        <v>0</v>
      </c>
      <c r="Z22" s="867">
        <v>1.7912960837961796</v>
      </c>
      <c r="AA22" s="860">
        <v>0</v>
      </c>
      <c r="AB22" s="860">
        <v>0</v>
      </c>
      <c r="AC22" s="859">
        <f t="shared" si="11"/>
        <v>4.7635825693081753</v>
      </c>
    </row>
    <row r="23" spans="1:31">
      <c r="A23" s="5"/>
      <c r="B23" s="6" t="s">
        <v>38</v>
      </c>
      <c r="C23" s="867">
        <v>0</v>
      </c>
      <c r="D23" s="867">
        <v>0</v>
      </c>
      <c r="E23" s="867">
        <v>0</v>
      </c>
      <c r="F23" s="859">
        <f t="shared" si="7"/>
        <v>0</v>
      </c>
      <c r="G23" s="867">
        <v>0</v>
      </c>
      <c r="H23" s="867">
        <v>0</v>
      </c>
      <c r="I23" s="867">
        <v>6.101414182550316E-2</v>
      </c>
      <c r="J23" s="867">
        <v>0</v>
      </c>
      <c r="K23" s="867">
        <v>0</v>
      </c>
      <c r="L23" s="867">
        <v>0.2958800722289946</v>
      </c>
      <c r="M23" s="867">
        <v>0</v>
      </c>
      <c r="N23" s="867">
        <v>0</v>
      </c>
      <c r="O23" s="867">
        <v>0</v>
      </c>
      <c r="P23" s="867">
        <v>0</v>
      </c>
      <c r="Q23" s="867">
        <v>0</v>
      </c>
      <c r="R23" s="859">
        <f t="shared" si="8"/>
        <v>0.35689421405449773</v>
      </c>
      <c r="S23" s="867">
        <v>0.47536284017639985</v>
      </c>
      <c r="T23" s="867">
        <v>0</v>
      </c>
      <c r="U23" s="867">
        <v>0</v>
      </c>
      <c r="V23" s="868">
        <f t="shared" si="9"/>
        <v>0.47536284017639985</v>
      </c>
      <c r="W23" s="859">
        <f t="shared" si="10"/>
        <v>0.83225705423089757</v>
      </c>
      <c r="X23" s="867">
        <v>0</v>
      </c>
      <c r="Y23" s="867">
        <v>0.6591489199999998</v>
      </c>
      <c r="Z23" s="867">
        <v>3.3094774314845812</v>
      </c>
      <c r="AA23" s="860">
        <v>0</v>
      </c>
      <c r="AB23" s="860">
        <v>0</v>
      </c>
      <c r="AC23" s="859">
        <f t="shared" si="11"/>
        <v>4.8008834057154788</v>
      </c>
    </row>
    <row r="24" spans="1:31">
      <c r="A24" s="224"/>
      <c r="B24" s="222" t="s">
        <v>33</v>
      </c>
      <c r="C24" s="867">
        <v>0</v>
      </c>
      <c r="D24" s="867">
        <v>0</v>
      </c>
      <c r="E24" s="867">
        <v>0</v>
      </c>
      <c r="F24" s="859">
        <f t="shared" si="7"/>
        <v>0</v>
      </c>
      <c r="G24" s="867">
        <v>0</v>
      </c>
      <c r="H24" s="867">
        <v>0</v>
      </c>
      <c r="I24" s="867">
        <v>0.11052863975354001</v>
      </c>
      <c r="J24" s="867">
        <v>0</v>
      </c>
      <c r="K24" s="867">
        <v>0</v>
      </c>
      <c r="L24" s="867">
        <v>0.27049481363950006</v>
      </c>
      <c r="M24" s="867">
        <v>0</v>
      </c>
      <c r="N24" s="867">
        <v>0</v>
      </c>
      <c r="O24" s="867">
        <v>0</v>
      </c>
      <c r="P24" s="867">
        <v>0.64998</v>
      </c>
      <c r="Q24" s="867">
        <v>0</v>
      </c>
      <c r="R24" s="859">
        <f t="shared" si="8"/>
        <v>1.0310034533930401</v>
      </c>
      <c r="S24" s="867">
        <v>8.6603145408219966</v>
      </c>
      <c r="T24" s="867">
        <v>0</v>
      </c>
      <c r="U24" s="867">
        <v>0</v>
      </c>
      <c r="V24" s="868">
        <f t="shared" si="9"/>
        <v>8.6603145408219966</v>
      </c>
      <c r="W24" s="859">
        <f t="shared" si="10"/>
        <v>9.6913179942150371</v>
      </c>
      <c r="X24" s="867">
        <v>0</v>
      </c>
      <c r="Y24" s="867">
        <v>4.2391784000000016E-3</v>
      </c>
      <c r="Z24" s="867">
        <v>14.61915645376753</v>
      </c>
      <c r="AA24" s="860">
        <v>0</v>
      </c>
      <c r="AB24" s="860">
        <v>0</v>
      </c>
      <c r="AC24" s="859">
        <f t="shared" si="11"/>
        <v>24.31471362638257</v>
      </c>
    </row>
    <row r="25" spans="1:31">
      <c r="A25" s="5" t="s">
        <v>111</v>
      </c>
      <c r="B25" s="129"/>
      <c r="C25" s="869">
        <v>0</v>
      </c>
      <c r="D25" s="870">
        <v>0.32894392463478239</v>
      </c>
      <c r="E25" s="864">
        <v>0</v>
      </c>
      <c r="F25" s="865">
        <v>0.32894392463478239</v>
      </c>
      <c r="G25" s="855">
        <v>0</v>
      </c>
      <c r="H25" s="855">
        <v>0</v>
      </c>
      <c r="I25" s="855">
        <v>2.5050528083862187E-2</v>
      </c>
      <c r="J25" s="855">
        <v>9.6713777119717848E-2</v>
      </c>
      <c r="K25" s="855">
        <v>0</v>
      </c>
      <c r="L25" s="855">
        <v>8.2844532108814182</v>
      </c>
      <c r="M25" s="855">
        <v>0</v>
      </c>
      <c r="N25" s="855">
        <v>0.39308102894116248</v>
      </c>
      <c r="O25" s="855">
        <v>0</v>
      </c>
      <c r="P25" s="855">
        <v>0</v>
      </c>
      <c r="Q25" s="855">
        <v>0</v>
      </c>
      <c r="R25" s="865">
        <v>8.7992985450261614</v>
      </c>
      <c r="S25" s="855">
        <v>14.496840271432315</v>
      </c>
      <c r="T25" s="864">
        <v>0</v>
      </c>
      <c r="U25" s="864">
        <v>0</v>
      </c>
      <c r="V25" s="865">
        <v>14.496840271432315</v>
      </c>
      <c r="W25" s="865">
        <v>23.625082741093259</v>
      </c>
      <c r="X25" s="864">
        <v>0</v>
      </c>
      <c r="Y25" s="855">
        <v>2.6001502484000008</v>
      </c>
      <c r="Z25" s="857">
        <v>-1.2270283798095682</v>
      </c>
      <c r="AA25" s="866">
        <v>0</v>
      </c>
      <c r="AB25" s="866">
        <v>0</v>
      </c>
      <c r="AC25" s="856">
        <v>24.99820460968369</v>
      </c>
      <c r="AE25" s="39"/>
    </row>
    <row r="26" spans="1:31">
      <c r="A26" s="5"/>
      <c r="B26" s="129"/>
      <c r="C26" s="869"/>
      <c r="D26" s="870"/>
      <c r="E26" s="869"/>
      <c r="F26" s="859"/>
      <c r="G26" s="870"/>
      <c r="H26" s="870"/>
      <c r="I26" s="870"/>
      <c r="J26" s="870"/>
      <c r="K26" s="870"/>
      <c r="L26" s="870"/>
      <c r="M26" s="870"/>
      <c r="N26" s="870"/>
      <c r="O26" s="870"/>
      <c r="P26" s="870"/>
      <c r="Q26" s="870"/>
      <c r="R26" s="859"/>
      <c r="S26" s="870"/>
      <c r="T26" s="869"/>
      <c r="U26" s="869"/>
      <c r="V26" s="859"/>
      <c r="W26" s="859"/>
      <c r="X26" s="869"/>
      <c r="Y26" s="873"/>
      <c r="Z26" s="873">
        <v>2.6591025930659193</v>
      </c>
      <c r="AA26" s="874"/>
      <c r="AB26" s="871"/>
      <c r="AC26" s="872"/>
      <c r="AE26" s="39"/>
    </row>
    <row r="27" spans="1:31">
      <c r="A27" s="3"/>
      <c r="B27" s="6" t="s">
        <v>163</v>
      </c>
      <c r="C27" s="858">
        <v>0</v>
      </c>
      <c r="D27" s="858">
        <v>1.3371516650183095E-2</v>
      </c>
      <c r="E27" s="858">
        <v>0</v>
      </c>
      <c r="F27" s="859">
        <f t="shared" si="1"/>
        <v>1.3371516650183095E-2</v>
      </c>
      <c r="G27" s="858">
        <v>0</v>
      </c>
      <c r="H27" s="858">
        <v>0</v>
      </c>
      <c r="I27" s="858">
        <v>9.3690862050426552E-3</v>
      </c>
      <c r="J27" s="858">
        <v>8.9511477242744213E-4</v>
      </c>
      <c r="K27" s="858">
        <v>0</v>
      </c>
      <c r="L27" s="858">
        <v>5.2538880791616327</v>
      </c>
      <c r="M27" s="858">
        <v>0</v>
      </c>
      <c r="N27" s="858">
        <v>0</v>
      </c>
      <c r="O27" s="858">
        <v>0</v>
      </c>
      <c r="P27" s="858">
        <v>0</v>
      </c>
      <c r="Q27" s="858">
        <v>0</v>
      </c>
      <c r="R27" s="859">
        <f t="shared" si="2"/>
        <v>5.2641522801391032</v>
      </c>
      <c r="S27" s="858">
        <v>8.4931665403976481E-2</v>
      </c>
      <c r="T27" s="858">
        <v>0</v>
      </c>
      <c r="U27" s="858">
        <v>0</v>
      </c>
      <c r="V27" s="859">
        <f t="shared" si="3"/>
        <v>8.4931665403976481E-2</v>
      </c>
      <c r="W27" s="859">
        <f t="shared" si="4"/>
        <v>5.362455462193263</v>
      </c>
      <c r="X27" s="858">
        <v>0</v>
      </c>
      <c r="Y27" s="858">
        <v>1.1378286720000002</v>
      </c>
      <c r="Z27" s="858">
        <v>2.1431652398641634</v>
      </c>
      <c r="AA27" s="860">
        <v>0</v>
      </c>
      <c r="AB27" s="860">
        <v>0</v>
      </c>
      <c r="AC27" s="859">
        <f t="shared" si="5"/>
        <v>8.6434493740574272</v>
      </c>
    </row>
    <row r="28" spans="1:31">
      <c r="A28" s="3"/>
      <c r="B28" s="6" t="s">
        <v>164</v>
      </c>
      <c r="C28" s="858">
        <v>0</v>
      </c>
      <c r="D28" s="858">
        <v>2.9698851818824013E-4</v>
      </c>
      <c r="E28" s="858">
        <v>0</v>
      </c>
      <c r="F28" s="859">
        <f t="shared" si="1"/>
        <v>2.9698851818824013E-4</v>
      </c>
      <c r="G28" s="858">
        <v>0</v>
      </c>
      <c r="H28" s="858">
        <v>0</v>
      </c>
      <c r="I28" s="858">
        <v>1.7845722384447608E-3</v>
      </c>
      <c r="J28" s="858">
        <v>5.5950814266868889E-5</v>
      </c>
      <c r="K28" s="858">
        <v>0</v>
      </c>
      <c r="L28" s="858">
        <v>1.4180296896155171</v>
      </c>
      <c r="M28" s="858">
        <v>0</v>
      </c>
      <c r="N28" s="858">
        <v>0</v>
      </c>
      <c r="O28" s="858">
        <v>0</v>
      </c>
      <c r="P28" s="858">
        <v>0</v>
      </c>
      <c r="Q28" s="858">
        <v>0</v>
      </c>
      <c r="R28" s="859">
        <f t="shared" si="2"/>
        <v>1.4198702126682288</v>
      </c>
      <c r="S28" s="858">
        <v>0</v>
      </c>
      <c r="T28" s="858">
        <v>0</v>
      </c>
      <c r="U28" s="858">
        <v>0</v>
      </c>
      <c r="V28" s="859">
        <f t="shared" si="3"/>
        <v>0</v>
      </c>
      <c r="W28" s="859">
        <f t="shared" si="4"/>
        <v>1.420167201186417</v>
      </c>
      <c r="X28" s="858">
        <v>0</v>
      </c>
      <c r="Y28" s="858">
        <v>1.0039791920000001</v>
      </c>
      <c r="Z28" s="858">
        <v>0.42331409029024503</v>
      </c>
      <c r="AA28" s="860">
        <v>0</v>
      </c>
      <c r="AB28" s="860">
        <v>0</v>
      </c>
      <c r="AC28" s="859">
        <f t="shared" si="5"/>
        <v>2.8474604834766621</v>
      </c>
    </row>
    <row r="29" spans="1:31">
      <c r="A29" s="3"/>
      <c r="B29" s="6" t="s">
        <v>165</v>
      </c>
      <c r="C29" s="858">
        <v>0</v>
      </c>
      <c r="D29" s="858">
        <v>0.17033160819134557</v>
      </c>
      <c r="E29" s="858">
        <v>0</v>
      </c>
      <c r="F29" s="859">
        <f t="shared" si="1"/>
        <v>0.17033160819134557</v>
      </c>
      <c r="G29" s="858">
        <v>0</v>
      </c>
      <c r="H29" s="858">
        <v>0</v>
      </c>
      <c r="I29" s="858">
        <v>3.724897199651456E-3</v>
      </c>
      <c r="J29" s="858">
        <v>5.7720451393292638E-4</v>
      </c>
      <c r="K29" s="858">
        <v>0</v>
      </c>
      <c r="L29" s="858">
        <v>0.6148099373229623</v>
      </c>
      <c r="M29" s="858">
        <v>0</v>
      </c>
      <c r="N29" s="858">
        <v>0.30481736524582514</v>
      </c>
      <c r="O29" s="858">
        <v>0</v>
      </c>
      <c r="P29" s="858">
        <v>0</v>
      </c>
      <c r="Q29" s="858">
        <v>0</v>
      </c>
      <c r="R29" s="859">
        <f t="shared" si="2"/>
        <v>0.9239294042823718</v>
      </c>
      <c r="S29" s="858">
        <v>14.3344782613921</v>
      </c>
      <c r="T29" s="858">
        <v>0</v>
      </c>
      <c r="U29" s="858">
        <v>0</v>
      </c>
      <c r="V29" s="859">
        <f t="shared" si="3"/>
        <v>14.3344782613921</v>
      </c>
      <c r="W29" s="859">
        <f t="shared" si="4"/>
        <v>15.428739273865817</v>
      </c>
      <c r="X29" s="858">
        <v>0</v>
      </c>
      <c r="Y29" s="858">
        <v>0.45823178440000001</v>
      </c>
      <c r="Z29" s="858">
        <v>-4.545730192942024</v>
      </c>
      <c r="AA29" s="860">
        <v>0</v>
      </c>
      <c r="AB29" s="860">
        <v>0</v>
      </c>
      <c r="AC29" s="859">
        <f t="shared" si="5"/>
        <v>11.341240865323794</v>
      </c>
    </row>
    <row r="30" spans="1:31">
      <c r="A30" s="3"/>
      <c r="B30" s="6" t="s">
        <v>166</v>
      </c>
      <c r="C30" s="858">
        <v>0</v>
      </c>
      <c r="D30" s="858">
        <v>0.1449438112750655</v>
      </c>
      <c r="E30" s="858">
        <v>0</v>
      </c>
      <c r="F30" s="859">
        <f t="shared" si="1"/>
        <v>0.1449438112750655</v>
      </c>
      <c r="G30" s="858">
        <v>0</v>
      </c>
      <c r="H30" s="858">
        <v>0</v>
      </c>
      <c r="I30" s="858">
        <v>1.0170214753626318E-2</v>
      </c>
      <c r="J30" s="858">
        <v>5.3872448660011226E-3</v>
      </c>
      <c r="K30" s="858">
        <v>0</v>
      </c>
      <c r="L30" s="858">
        <v>0.98749531504950616</v>
      </c>
      <c r="M30" s="858">
        <v>0</v>
      </c>
      <c r="N30" s="858">
        <v>8.8263663695337322E-2</v>
      </c>
      <c r="O30" s="858">
        <v>0</v>
      </c>
      <c r="P30" s="858">
        <v>0</v>
      </c>
      <c r="Q30" s="858">
        <v>0</v>
      </c>
      <c r="R30" s="859">
        <f t="shared" si="2"/>
        <v>1.0913164383644709</v>
      </c>
      <c r="S30" s="858">
        <v>7.7430344636238602E-2</v>
      </c>
      <c r="T30" s="858">
        <v>0</v>
      </c>
      <c r="U30" s="858">
        <v>0</v>
      </c>
      <c r="V30" s="859">
        <f t="shared" si="3"/>
        <v>7.7430344636238602E-2</v>
      </c>
      <c r="W30" s="859">
        <f t="shared" si="4"/>
        <v>1.3136905942757748</v>
      </c>
      <c r="X30" s="858">
        <v>0</v>
      </c>
      <c r="Y30" s="858">
        <v>1.106E-4</v>
      </c>
      <c r="Z30" s="858">
        <v>0.75217278656204745</v>
      </c>
      <c r="AA30" s="860">
        <v>0</v>
      </c>
      <c r="AB30" s="860">
        <v>0</v>
      </c>
      <c r="AC30" s="859">
        <f t="shared" si="5"/>
        <v>2.0659739808378221</v>
      </c>
    </row>
    <row r="31" spans="1:31">
      <c r="A31" s="3"/>
      <c r="B31" s="6" t="s">
        <v>167</v>
      </c>
      <c r="C31" s="858">
        <v>0</v>
      </c>
      <c r="D31" s="858">
        <v>0</v>
      </c>
      <c r="E31" s="858">
        <v>0</v>
      </c>
      <c r="F31" s="859">
        <f t="shared" si="1"/>
        <v>0</v>
      </c>
      <c r="G31" s="858">
        <v>0</v>
      </c>
      <c r="H31" s="858">
        <v>0</v>
      </c>
      <c r="I31" s="858">
        <v>1.7576870969999998E-6</v>
      </c>
      <c r="J31" s="858">
        <v>8.6830058340493649E-2</v>
      </c>
      <c r="K31" s="858">
        <v>0</v>
      </c>
      <c r="L31" s="858">
        <v>6.8157765275399856E-3</v>
      </c>
      <c r="M31" s="858">
        <v>0</v>
      </c>
      <c r="N31" s="858">
        <v>0</v>
      </c>
      <c r="O31" s="858">
        <v>0</v>
      </c>
      <c r="P31" s="858">
        <v>0</v>
      </c>
      <c r="Q31" s="858">
        <v>0</v>
      </c>
      <c r="R31" s="859">
        <f t="shared" si="2"/>
        <v>9.3647592555130624E-2</v>
      </c>
      <c r="S31" s="858">
        <v>0</v>
      </c>
      <c r="T31" s="858">
        <v>0</v>
      </c>
      <c r="U31" s="858">
        <v>0</v>
      </c>
      <c r="V31" s="859">
        <f t="shared" si="3"/>
        <v>0</v>
      </c>
      <c r="W31" s="859">
        <f t="shared" si="4"/>
        <v>9.3647592555130624E-2</v>
      </c>
      <c r="X31" s="858">
        <v>0</v>
      </c>
      <c r="Y31" s="858">
        <v>0</v>
      </c>
      <c r="Z31" s="858">
        <v>0</v>
      </c>
      <c r="AA31" s="860">
        <v>0</v>
      </c>
      <c r="AB31" s="860">
        <v>0</v>
      </c>
      <c r="AC31" s="859">
        <f t="shared" si="5"/>
        <v>9.3647592555130624E-2</v>
      </c>
    </row>
    <row r="32" spans="1:31">
      <c r="A32" s="4"/>
      <c r="B32" s="128" t="s">
        <v>168</v>
      </c>
      <c r="C32" s="876">
        <v>0</v>
      </c>
      <c r="D32" s="876">
        <v>0</v>
      </c>
      <c r="E32" s="876">
        <v>0</v>
      </c>
      <c r="F32" s="875">
        <f t="shared" si="1"/>
        <v>0</v>
      </c>
      <c r="G32" s="876">
        <v>0</v>
      </c>
      <c r="H32" s="876">
        <v>0</v>
      </c>
      <c r="I32" s="876">
        <v>0</v>
      </c>
      <c r="J32" s="876">
        <v>2.96820381259584E-3</v>
      </c>
      <c r="K32" s="876">
        <v>0</v>
      </c>
      <c r="L32" s="876">
        <v>3.4144132042592998E-3</v>
      </c>
      <c r="M32" s="876">
        <v>0</v>
      </c>
      <c r="N32" s="876">
        <v>0</v>
      </c>
      <c r="O32" s="876">
        <v>0</v>
      </c>
      <c r="P32" s="876">
        <v>0</v>
      </c>
      <c r="Q32" s="876">
        <v>0</v>
      </c>
      <c r="R32" s="875">
        <f t="shared" si="2"/>
        <v>6.3826170168551398E-3</v>
      </c>
      <c r="S32" s="876">
        <v>0</v>
      </c>
      <c r="T32" s="876">
        <v>0</v>
      </c>
      <c r="U32" s="876">
        <v>0</v>
      </c>
      <c r="V32" s="875">
        <f t="shared" si="3"/>
        <v>0</v>
      </c>
      <c r="W32" s="875">
        <f t="shared" si="4"/>
        <v>6.3826170168551398E-3</v>
      </c>
      <c r="X32" s="876">
        <v>0</v>
      </c>
      <c r="Y32" s="876">
        <v>0</v>
      </c>
      <c r="Z32" s="876">
        <v>4.9696416000000005E-5</v>
      </c>
      <c r="AA32" s="877">
        <v>0</v>
      </c>
      <c r="AB32" s="877">
        <v>0</v>
      </c>
      <c r="AC32" s="875">
        <f t="shared" si="5"/>
        <v>6.43231343285514E-3</v>
      </c>
    </row>
    <row r="35" spans="3:29">
      <c r="C35" s="646"/>
      <c r="D35" s="646"/>
      <c r="E35" s="646"/>
      <c r="F35" s="646"/>
      <c r="G35" s="646"/>
      <c r="H35" s="646"/>
      <c r="I35" s="646"/>
      <c r="J35" s="646"/>
      <c r="K35" s="646"/>
      <c r="L35" s="646"/>
      <c r="M35" s="646"/>
      <c r="N35" s="646"/>
      <c r="O35" s="646"/>
      <c r="P35" s="646"/>
      <c r="Q35" s="646"/>
      <c r="R35" s="646"/>
      <c r="S35" s="646"/>
      <c r="T35" s="646"/>
      <c r="U35" s="646"/>
      <c r="V35" s="646"/>
      <c r="W35" s="646"/>
      <c r="X35" s="646"/>
      <c r="Y35" s="646"/>
      <c r="Z35" s="646"/>
      <c r="AA35" s="646"/>
      <c r="AB35" s="646"/>
      <c r="AC35" s="646"/>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201" t="s">
        <v>484</v>
      </c>
      <c r="B2" s="1202"/>
      <c r="C2" s="112"/>
    </row>
    <row r="3" spans="1:3" s="16" customFormat="1" ht="15.75">
      <c r="A3" s="99"/>
      <c r="B3" s="71"/>
      <c r="C3" s="100"/>
    </row>
    <row r="4" spans="1:3">
      <c r="A4" s="96" t="s">
        <v>363</v>
      </c>
      <c r="B4" s="70" t="s">
        <v>375</v>
      </c>
      <c r="C4" s="101" t="s">
        <v>374</v>
      </c>
    </row>
    <row r="5" spans="1:3">
      <c r="A5" s="113"/>
      <c r="B5" s="44"/>
      <c r="C5" s="97"/>
    </row>
    <row r="6" spans="1:3" s="12" customFormat="1" ht="30">
      <c r="A6" s="114" t="s">
        <v>193</v>
      </c>
      <c r="B6" s="131" t="s">
        <v>486</v>
      </c>
      <c r="C6" s="164" t="s">
        <v>502</v>
      </c>
    </row>
    <row r="7" spans="1:3" s="12" customFormat="1">
      <c r="A7" s="133"/>
      <c r="B7" s="134"/>
      <c r="C7" s="135"/>
    </row>
    <row r="8" spans="1:3" s="12" customFormat="1" ht="60">
      <c r="A8" s="114" t="s">
        <v>154</v>
      </c>
      <c r="B8" s="131" t="s">
        <v>486</v>
      </c>
      <c r="C8" s="313" t="s">
        <v>503</v>
      </c>
    </row>
    <row r="9" spans="1:3" s="12" customFormat="1">
      <c r="A9" s="133"/>
      <c r="B9" s="134"/>
      <c r="C9" s="135"/>
    </row>
    <row r="10" spans="1:3" s="12" customFormat="1" ht="60">
      <c r="A10" s="114" t="s">
        <v>155</v>
      </c>
      <c r="B10" s="131" t="s">
        <v>486</v>
      </c>
      <c r="C10" s="313" t="s">
        <v>503</v>
      </c>
    </row>
    <row r="11" spans="1:3" s="12" customFormat="1">
      <c r="A11" s="133"/>
      <c r="B11" s="134"/>
      <c r="C11" s="135"/>
    </row>
    <row r="12" spans="1:3" s="12" customFormat="1" ht="60">
      <c r="A12" s="114" t="s">
        <v>390</v>
      </c>
      <c r="B12" s="131" t="s">
        <v>486</v>
      </c>
      <c r="C12" s="313" t="s">
        <v>503</v>
      </c>
    </row>
    <row r="13" spans="1:3" s="12" customFormat="1">
      <c r="A13" s="133"/>
      <c r="B13" s="134"/>
      <c r="C13" s="135"/>
    </row>
    <row r="14" spans="1:3" s="12" customFormat="1" ht="60">
      <c r="A14" s="114" t="s">
        <v>111</v>
      </c>
      <c r="B14" s="131" t="s">
        <v>504</v>
      </c>
      <c r="C14" s="313" t="s">
        <v>503</v>
      </c>
    </row>
    <row r="15" spans="1:3" s="12" customFormat="1" ht="63">
      <c r="A15" s="124"/>
      <c r="B15" s="131" t="s">
        <v>505</v>
      </c>
      <c r="C15" s="313" t="s">
        <v>509</v>
      </c>
    </row>
    <row r="16" spans="1:3" s="12" customFormat="1">
      <c r="A16" s="133"/>
      <c r="B16" s="134"/>
      <c r="C16" s="135"/>
    </row>
    <row r="17" spans="1:3" s="12" customFormat="1" ht="45">
      <c r="A17" s="114" t="s">
        <v>485</v>
      </c>
      <c r="B17" s="131" t="s">
        <v>559</v>
      </c>
      <c r="C17" s="164" t="s">
        <v>560</v>
      </c>
    </row>
    <row r="18" spans="1:3" s="12" customFormat="1">
      <c r="A18" s="133"/>
      <c r="B18" s="134"/>
      <c r="C18" s="135"/>
    </row>
    <row r="19" spans="1:3" s="12" customFormat="1" ht="60">
      <c r="A19" s="114" t="s">
        <v>393</v>
      </c>
      <c r="B19" s="312" t="s">
        <v>557</v>
      </c>
      <c r="C19" s="164" t="s">
        <v>558</v>
      </c>
    </row>
    <row r="20" spans="1:3" s="12" customFormat="1">
      <c r="A20" s="114"/>
      <c r="B20" s="131"/>
      <c r="C20" s="132"/>
    </row>
    <row r="21" spans="1:3" ht="21">
      <c r="A21" s="127" t="s">
        <v>488</v>
      </c>
      <c r="B21" s="126"/>
      <c r="C21" s="123"/>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03" t="s">
        <v>193</v>
      </c>
      <c r="B1" s="1204" t="s">
        <v>194</v>
      </c>
      <c r="C1" s="1205"/>
      <c r="D1" s="1205"/>
      <c r="E1" s="1205"/>
      <c r="F1" s="1205"/>
      <c r="G1" s="1205"/>
      <c r="H1" s="1205"/>
      <c r="I1" s="1205"/>
      <c r="J1" s="1205"/>
      <c r="K1" s="1205"/>
      <c r="L1" s="1205"/>
      <c r="M1" s="1205"/>
      <c r="N1" s="1205"/>
      <c r="O1" s="1205"/>
      <c r="P1" s="1205"/>
    </row>
    <row r="2" spans="1:16" s="332" customFormat="1" ht="15.75" thickTop="1">
      <c r="A2" s="1203"/>
      <c r="B2" s="1206" t="s">
        <v>20</v>
      </c>
      <c r="C2" s="1206" t="s">
        <v>195</v>
      </c>
      <c r="D2" s="1208" t="s">
        <v>196</v>
      </c>
      <c r="E2" s="1209"/>
      <c r="F2" s="1209"/>
      <c r="G2" s="1209"/>
      <c r="H2" s="1209"/>
      <c r="I2" s="1209"/>
      <c r="J2" s="1209"/>
      <c r="K2" s="1210"/>
      <c r="L2" s="1208" t="s">
        <v>197</v>
      </c>
      <c r="M2" s="1209"/>
      <c r="N2" s="1209"/>
      <c r="O2" s="1209"/>
      <c r="P2" s="1210"/>
    </row>
    <row r="3" spans="1:16" s="332" customFormat="1" ht="45">
      <c r="A3" s="1203"/>
      <c r="B3" s="1207"/>
      <c r="C3" s="1207"/>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6" s="16" customFormat="1" ht="15.75">
      <c r="A4" s="14"/>
      <c r="B4" s="15"/>
      <c r="C4" s="15"/>
      <c r="D4" s="15"/>
      <c r="E4" s="15"/>
      <c r="F4" s="15"/>
      <c r="G4" s="15"/>
      <c r="H4" s="15"/>
      <c r="I4" s="15"/>
      <c r="J4" s="15"/>
      <c r="K4" s="15"/>
      <c r="L4" s="15"/>
      <c r="M4" s="15"/>
      <c r="N4" s="15"/>
      <c r="O4" s="15"/>
      <c r="P4" s="15"/>
    </row>
    <row r="5" spans="1:16">
      <c r="A5" s="17" t="s">
        <v>554</v>
      </c>
      <c r="B5" s="31">
        <f>SUM(OV_ov_ele_kWh,OV_rest_ele_kWh)/1000</f>
        <v>859.39099999999996</v>
      </c>
      <c r="C5" s="19" t="s">
        <v>210</v>
      </c>
      <c r="D5" s="19" t="s">
        <v>210</v>
      </c>
      <c r="E5" s="19" t="s">
        <v>210</v>
      </c>
      <c r="F5" s="19" t="s">
        <v>210</v>
      </c>
      <c r="G5" s="19" t="s">
        <v>210</v>
      </c>
      <c r="H5" s="19" t="s">
        <v>210</v>
      </c>
      <c r="I5" s="19" t="s">
        <v>210</v>
      </c>
      <c r="J5" s="19" t="s">
        <v>210</v>
      </c>
      <c r="K5" s="19" t="s">
        <v>210</v>
      </c>
      <c r="L5" s="19" t="s">
        <v>210</v>
      </c>
      <c r="M5" s="19" t="s">
        <v>210</v>
      </c>
      <c r="N5" s="19" t="s">
        <v>210</v>
      </c>
      <c r="O5" s="19" t="s">
        <v>210</v>
      </c>
      <c r="P5" s="19" t="s">
        <v>210</v>
      </c>
    </row>
    <row r="6" spans="1:16">
      <c r="A6" s="17" t="s">
        <v>555</v>
      </c>
      <c r="B6" s="31">
        <f>(IF(ISERROR('Eigen openbare verlichting'!B15),0,'Eigen openbare verlichting'!B15))*(-1)</f>
        <v>0</v>
      </c>
      <c r="C6" s="19" t="s">
        <v>210</v>
      </c>
      <c r="D6" s="19" t="s">
        <v>210</v>
      </c>
      <c r="E6" s="19" t="s">
        <v>210</v>
      </c>
      <c r="F6" s="19" t="s">
        <v>210</v>
      </c>
      <c r="G6" s="19" t="s">
        <v>210</v>
      </c>
      <c r="H6" s="19" t="s">
        <v>210</v>
      </c>
      <c r="I6" s="19" t="s">
        <v>210</v>
      </c>
      <c r="J6" s="19" t="s">
        <v>210</v>
      </c>
      <c r="K6" s="19" t="s">
        <v>210</v>
      </c>
      <c r="L6" s="19" t="s">
        <v>210</v>
      </c>
      <c r="M6" s="19" t="s">
        <v>210</v>
      </c>
      <c r="N6" s="19" t="s">
        <v>210</v>
      </c>
      <c r="O6" s="19" t="s">
        <v>210</v>
      </c>
      <c r="P6" s="19" t="s">
        <v>210</v>
      </c>
    </row>
    <row r="7" spans="1:16">
      <c r="B7" s="20"/>
      <c r="C7" s="20"/>
      <c r="D7" s="20"/>
      <c r="E7" s="20"/>
      <c r="F7" s="20"/>
      <c r="G7" s="20"/>
      <c r="H7" s="20"/>
      <c r="I7" s="20"/>
      <c r="J7" s="20"/>
      <c r="K7" s="20"/>
      <c r="L7" s="20"/>
      <c r="M7" s="20"/>
      <c r="N7" s="20"/>
      <c r="O7" s="20"/>
      <c r="P7" s="20"/>
    </row>
    <row r="8" spans="1:16" s="8" customFormat="1">
      <c r="A8" s="21" t="s">
        <v>489</v>
      </c>
      <c r="B8" s="918">
        <f>MAX((B5+B6),0)</f>
        <v>859.39099999999996</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213</v>
      </c>
      <c r="B10" s="26">
        <f ca="1">'EF ele_warmte'!B12</f>
        <v>0.20804957814374317</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212</v>
      </c>
      <c r="B12" s="24">
        <f ca="1">B10*B8</f>
        <v>178.79593501052958</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61" sqref="D61"/>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03" t="s">
        <v>154</v>
      </c>
      <c r="B1" s="1204" t="s">
        <v>194</v>
      </c>
      <c r="C1" s="1205"/>
      <c r="D1" s="1205"/>
      <c r="E1" s="1205"/>
      <c r="F1" s="1205"/>
      <c r="G1" s="1205"/>
      <c r="H1" s="1205"/>
      <c r="I1" s="1205"/>
      <c r="J1" s="1205"/>
      <c r="K1" s="1205"/>
      <c r="L1" s="1205"/>
      <c r="M1" s="1205"/>
      <c r="N1" s="1205"/>
      <c r="O1" s="1205"/>
      <c r="P1" s="1205"/>
    </row>
    <row r="2" spans="1:16" s="332" customFormat="1" ht="15.75" thickTop="1">
      <c r="A2" s="1203"/>
      <c r="B2" s="1206" t="s">
        <v>20</v>
      </c>
      <c r="C2" s="1206" t="s">
        <v>195</v>
      </c>
      <c r="D2" s="1208" t="s">
        <v>196</v>
      </c>
      <c r="E2" s="1209"/>
      <c r="F2" s="1209"/>
      <c r="G2" s="1209"/>
      <c r="H2" s="1209"/>
      <c r="I2" s="1209"/>
      <c r="J2" s="1209"/>
      <c r="K2" s="1210"/>
      <c r="L2" s="1208" t="s">
        <v>197</v>
      </c>
      <c r="M2" s="1209"/>
      <c r="N2" s="1209"/>
      <c r="O2" s="1209"/>
      <c r="P2" s="1210"/>
    </row>
    <row r="3" spans="1:16" s="332" customFormat="1" ht="45">
      <c r="A3" s="1203"/>
      <c r="B3" s="1207"/>
      <c r="C3" s="1207"/>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6" s="16" customFormat="1" ht="15.75">
      <c r="A4" s="14"/>
      <c r="B4" s="15"/>
      <c r="C4" s="15"/>
      <c r="D4" s="15"/>
      <c r="E4" s="15"/>
      <c r="F4" s="15"/>
      <c r="G4" s="15"/>
      <c r="H4" s="15"/>
      <c r="I4" s="15"/>
      <c r="J4" s="15"/>
      <c r="K4" s="15"/>
      <c r="L4" s="15"/>
      <c r="M4" s="15"/>
      <c r="N4" s="15"/>
      <c r="O4" s="15"/>
      <c r="P4" s="15"/>
    </row>
    <row r="5" spans="1:16">
      <c r="A5" s="17" t="s">
        <v>556</v>
      </c>
      <c r="B5" s="31">
        <f>IF(ISERROR(SUM(HH_hh_ele_kWh,HH_rest_kWh)/1000),0,SUM(HH_hh_ele_kWh,HH_rest_kWh)/1000)</f>
        <v>20398.052359461199</v>
      </c>
      <c r="C5" s="18">
        <f>IF(ISERROR('Eigen informatie GS &amp; warmtenet'!B57),0,'Eigen informatie GS &amp; warmtenet'!B57)</f>
        <v>0</v>
      </c>
      <c r="D5" s="31">
        <f>(SUM(HH_hh_gas_kWh,HH_rest_gas_kWh)/1000)*0.902</f>
        <v>42207.734161742897</v>
      </c>
      <c r="E5" s="18">
        <f>B46*B57</f>
        <v>6989.7885699605604</v>
      </c>
      <c r="F5" s="18">
        <f>B51*B62</f>
        <v>13883.38127710871</v>
      </c>
      <c r="G5" s="19"/>
      <c r="H5" s="18"/>
      <c r="I5" s="18"/>
      <c r="J5" s="18">
        <f>B50*B61+C50*C61</f>
        <v>1722.5537087363564</v>
      </c>
      <c r="K5" s="18"/>
      <c r="L5" s="18"/>
      <c r="M5" s="18"/>
      <c r="N5" s="18">
        <f>B48*B59+C48*C59</f>
        <v>14820.545683410632</v>
      </c>
      <c r="O5" s="18">
        <f>B69*B70*B71</f>
        <v>51.589999999999996</v>
      </c>
      <c r="P5" s="18">
        <f>B77*B78*B79/1000-B77*B78*B79/1000/B80</f>
        <v>190.66666666666669</v>
      </c>
    </row>
    <row r="6" spans="1:16">
      <c r="A6" s="17" t="s">
        <v>638</v>
      </c>
      <c r="B6" s="776">
        <f>kWh_PV_kleiner_dan_10kW</f>
        <v>2071.7858986597612</v>
      </c>
      <c r="C6" s="777"/>
      <c r="D6" s="777"/>
      <c r="E6" s="778"/>
      <c r="F6" s="778"/>
      <c r="G6" s="778"/>
      <c r="H6" s="778"/>
      <c r="I6" s="778"/>
      <c r="J6" s="778"/>
      <c r="K6" s="778"/>
      <c r="L6" s="778"/>
      <c r="M6" s="778"/>
      <c r="N6" s="778"/>
      <c r="O6" s="778"/>
      <c r="P6" s="778"/>
    </row>
    <row r="7" spans="1:16">
      <c r="B7" s="20"/>
      <c r="C7" s="20"/>
      <c r="D7" s="20"/>
      <c r="E7" s="20"/>
      <c r="F7" s="20"/>
      <c r="G7" s="20"/>
      <c r="H7" s="20"/>
      <c r="I7" s="20"/>
      <c r="J7" s="20"/>
      <c r="K7" s="20"/>
      <c r="L7" s="20"/>
      <c r="M7" s="20"/>
      <c r="N7" s="20"/>
      <c r="O7" s="20"/>
      <c r="P7" s="20"/>
    </row>
    <row r="8" spans="1:16" s="8" customFormat="1">
      <c r="A8" s="21" t="s">
        <v>211</v>
      </c>
      <c r="B8" s="22">
        <f>B5+B6</f>
        <v>22469.838258120959</v>
      </c>
      <c r="C8" s="22">
        <f>C5</f>
        <v>0</v>
      </c>
      <c r="D8" s="22">
        <f>D5</f>
        <v>42207.734161742897</v>
      </c>
      <c r="E8" s="22">
        <f>E5</f>
        <v>6989.7885699605604</v>
      </c>
      <c r="F8" s="22">
        <f>F5</f>
        <v>13883.38127710871</v>
      </c>
      <c r="G8" s="22"/>
      <c r="H8" s="22"/>
      <c r="I8" s="22"/>
      <c r="J8" s="22">
        <f>J5</f>
        <v>1722.5537087363564</v>
      </c>
      <c r="K8" s="22"/>
      <c r="L8" s="22">
        <f>L5</f>
        <v>0</v>
      </c>
      <c r="M8" s="22">
        <f>M5</f>
        <v>0</v>
      </c>
      <c r="N8" s="22">
        <f>N5</f>
        <v>14820.545683410632</v>
      </c>
      <c r="O8" s="22">
        <f>O5</f>
        <v>51.589999999999996</v>
      </c>
      <c r="P8" s="22">
        <f>P5</f>
        <v>190.66666666666669</v>
      </c>
    </row>
    <row r="9" spans="1:16">
      <c r="B9" s="20"/>
      <c r="C9" s="20"/>
      <c r="D9" s="262"/>
      <c r="E9" s="20"/>
      <c r="F9" s="20"/>
      <c r="G9" s="20"/>
      <c r="H9" s="20"/>
      <c r="I9" s="20"/>
      <c r="J9" s="20"/>
      <c r="K9" s="20"/>
      <c r="L9" s="20"/>
      <c r="M9" s="20"/>
      <c r="N9" s="20"/>
      <c r="O9" s="20"/>
      <c r="P9" s="20"/>
    </row>
    <row r="10" spans="1:16">
      <c r="A10" s="25" t="s">
        <v>213</v>
      </c>
      <c r="B10" s="26">
        <f ca="1">'EF ele_warmte'!B12</f>
        <v>0.20804957814374317</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212</v>
      </c>
      <c r="B12" s="24">
        <f ca="1">B10*B8</f>
        <v>4674.8403705602059</v>
      </c>
      <c r="C12" s="24">
        <f ca="1">C10*C8</f>
        <v>0</v>
      </c>
      <c r="D12" s="24">
        <f>D8*D10</f>
        <v>8525.9623006720667</v>
      </c>
      <c r="E12" s="24">
        <f>E10*E8</f>
        <v>1586.6820053810472</v>
      </c>
      <c r="F12" s="24">
        <f>F10*F8</f>
        <v>3706.8628009880258</v>
      </c>
      <c r="G12" s="24"/>
      <c r="H12" s="24"/>
      <c r="I12" s="24"/>
      <c r="J12" s="24">
        <f>J10*J8</f>
        <v>609.78401289267015</v>
      </c>
      <c r="K12" s="24"/>
      <c r="L12" s="24">
        <f>L10*L8</f>
        <v>0</v>
      </c>
      <c r="M12" s="24">
        <f>M10*M8</f>
        <v>0</v>
      </c>
      <c r="N12" s="24">
        <f>N10*N8</f>
        <v>0</v>
      </c>
      <c r="O12" s="24">
        <f>O10*O8</f>
        <v>0</v>
      </c>
      <c r="P12" s="24">
        <f>P10*P8</f>
        <v>0</v>
      </c>
    </row>
    <row r="15" spans="1:16">
      <c r="A15" s="196" t="s">
        <v>500</v>
      </c>
      <c r="B15" s="206"/>
      <c r="C15" s="206"/>
      <c r="D15" s="228"/>
    </row>
    <row r="16" spans="1:16">
      <c r="A16" s="3"/>
      <c r="B16" s="44"/>
      <c r="C16" s="44"/>
      <c r="D16" s="177"/>
    </row>
    <row r="17" spans="1:7">
      <c r="A17" s="229" t="s">
        <v>214</v>
      </c>
      <c r="B17" s="205" t="s">
        <v>215</v>
      </c>
      <c r="C17" s="205" t="s">
        <v>219</v>
      </c>
      <c r="D17" s="230" t="s">
        <v>181</v>
      </c>
      <c r="E17" s="16"/>
    </row>
    <row r="18" spans="1:7">
      <c r="A18" s="174" t="s">
        <v>70</v>
      </c>
      <c r="B18" s="38">
        <f>Aantalw2001_aardgas</f>
        <v>1630</v>
      </c>
      <c r="C18" s="169" t="s">
        <v>110</v>
      </c>
      <c r="D18" s="231"/>
      <c r="E18" s="16"/>
    </row>
    <row r="19" spans="1:7">
      <c r="A19" s="174" t="s">
        <v>71</v>
      </c>
      <c r="B19" s="38">
        <f>aantalw2001_ander</f>
        <v>0</v>
      </c>
      <c r="C19" s="169" t="s">
        <v>110</v>
      </c>
      <c r="D19" s="232"/>
      <c r="E19" s="16"/>
    </row>
    <row r="20" spans="1:7">
      <c r="A20" s="174" t="s">
        <v>72</v>
      </c>
      <c r="B20" s="38">
        <f>aantalw2001_propaan</f>
        <v>226</v>
      </c>
      <c r="C20" s="170">
        <f>IF(ISERROR(B20/SUM($B$20,$B$21,$B$22)*100),0,B20/SUM($B$20,$B$21,$B$22)*100)</f>
        <v>29.619921363040628</v>
      </c>
      <c r="D20" s="232"/>
      <c r="E20" s="16"/>
    </row>
    <row r="21" spans="1:7">
      <c r="A21" s="174" t="s">
        <v>73</v>
      </c>
      <c r="B21" s="38">
        <f>aantalw2001_elektriciteit</f>
        <v>396</v>
      </c>
      <c r="C21" s="170">
        <f>IF(ISERROR(B21/SUM($B$20,$B$21,$B$22)*100),0,B21/SUM($B$20,$B$21,$B$22)*100)</f>
        <v>51.900393184796854</v>
      </c>
      <c r="D21" s="232"/>
      <c r="E21" s="16"/>
    </row>
    <row r="22" spans="1:7">
      <c r="A22" s="174" t="s">
        <v>74</v>
      </c>
      <c r="B22" s="38">
        <f>aantalw2001_hout</f>
        <v>141</v>
      </c>
      <c r="C22" s="170">
        <f>IF(ISERROR(B22/SUM($B$20,$B$21,$B$22)*100),0,B22/SUM($B$20,$B$21,$B$22)*100)</f>
        <v>18.479685452162517</v>
      </c>
      <c r="D22" s="232"/>
      <c r="E22" s="16"/>
    </row>
    <row r="23" spans="1:7">
      <c r="A23" s="174" t="s">
        <v>75</v>
      </c>
      <c r="B23" s="38">
        <f>aantalw2001_niet_gespec</f>
        <v>107</v>
      </c>
      <c r="C23" s="169" t="s">
        <v>110</v>
      </c>
      <c r="D23" s="231"/>
      <c r="E23" s="16"/>
    </row>
    <row r="24" spans="1:7">
      <c r="A24" s="174" t="s">
        <v>76</v>
      </c>
      <c r="B24" s="38">
        <f>aantalw2001_steenkool</f>
        <v>138</v>
      </c>
      <c r="C24" s="169" t="s">
        <v>110</v>
      </c>
      <c r="D24" s="232"/>
      <c r="E24" s="16"/>
    </row>
    <row r="25" spans="1:7">
      <c r="A25" s="174" t="s">
        <v>77</v>
      </c>
      <c r="B25" s="38">
        <f>aantalw2001_stookolie</f>
        <v>1413</v>
      </c>
      <c r="C25" s="169" t="s">
        <v>110</v>
      </c>
      <c r="D25" s="231"/>
      <c r="E25" s="53"/>
    </row>
    <row r="26" spans="1:7">
      <c r="A26" s="174" t="s">
        <v>78</v>
      </c>
      <c r="B26" s="38">
        <f>aantalw2001_WP</f>
        <v>4</v>
      </c>
      <c r="C26" s="169" t="s">
        <v>110</v>
      </c>
      <c r="D26" s="231"/>
      <c r="E26" s="16"/>
    </row>
    <row r="27" spans="1:7" s="16" customFormat="1">
      <c r="A27" s="174"/>
      <c r="B27" s="30"/>
      <c r="C27" s="37"/>
      <c r="D27" s="231"/>
    </row>
    <row r="28" spans="1:7" s="16" customFormat="1">
      <c r="A28" s="233" t="s">
        <v>663</v>
      </c>
      <c r="B28" s="38">
        <f>aantalHuishoudens</f>
        <v>4306</v>
      </c>
      <c r="C28" s="37"/>
      <c r="D28" s="231"/>
    </row>
    <row r="29" spans="1:7" s="16" customFormat="1">
      <c r="A29" s="233" t="s">
        <v>664</v>
      </c>
      <c r="B29" s="38">
        <f>SUM(HH_hh_gas_aantal,HH_rest_gas_aantal)</f>
        <v>2468</v>
      </c>
      <c r="C29" s="37"/>
      <c r="D29" s="231"/>
    </row>
    <row r="30" spans="1:7" s="16" customFormat="1">
      <c r="A30" s="234"/>
      <c r="B30" s="30"/>
      <c r="C30" s="37"/>
      <c r="D30" s="235"/>
    </row>
    <row r="31" spans="1:7">
      <c r="A31" s="175" t="s">
        <v>665</v>
      </c>
      <c r="B31" s="171" t="s">
        <v>215</v>
      </c>
      <c r="C31" s="168" t="s">
        <v>216</v>
      </c>
      <c r="D31" s="177"/>
      <c r="G31" s="16"/>
    </row>
    <row r="32" spans="1:7">
      <c r="A32" s="174" t="s">
        <v>70</v>
      </c>
      <c r="B32" s="38">
        <f>B29</f>
        <v>2468</v>
      </c>
      <c r="C32" s="170">
        <f>IF(ISERROR(B32/SUM($B$32,$B$34,$B$35,$B$36,$B$38,$B$39)*100),0,B32/SUM($B$32,$B$34,$B$35,$B$36,$B$38,$B$39)*100)</f>
        <v>57.448789571694604</v>
      </c>
      <c r="D32" s="236"/>
      <c r="G32" s="16"/>
    </row>
    <row r="33" spans="1:7">
      <c r="A33" s="174" t="s">
        <v>71</v>
      </c>
      <c r="B33" s="35" t="s">
        <v>110</v>
      </c>
      <c r="C33" s="170"/>
      <c r="D33" s="236"/>
      <c r="G33" s="16"/>
    </row>
    <row r="34" spans="1:7">
      <c r="A34" s="174" t="s">
        <v>72</v>
      </c>
      <c r="B34" s="34">
        <f>IF((($B$28-$B$32-$B$39-$B$77-$B$38)*C20/100)&lt;0,0,($B$28-$B$32-$B$39-$B$77-$B$38)*C20/100)</f>
        <v>330.26212319790301</v>
      </c>
      <c r="C34" s="170">
        <f>IF(ISERROR(B34/SUM($B$32,$B$34,$B$35,$B$36,$B$38,$B$39)*100),0,B34/SUM($B$32,$B$34,$B$35,$B$36,$B$38,$B$39)*100)</f>
        <v>7.6876658100070534</v>
      </c>
      <c r="D34" s="236"/>
      <c r="G34" s="16"/>
    </row>
    <row r="35" spans="1:7">
      <c r="A35" s="174" t="s">
        <v>73</v>
      </c>
      <c r="B35" s="34">
        <f>IF((($B$28-$B$32-$B$39-$B$77-$B$38)*C21/100)&lt;0,0,($B$28-$B$32-$B$39-$B$77-$B$38)*C21/100)</f>
        <v>578.6893840104849</v>
      </c>
      <c r="C35" s="170">
        <f>IF(ISERROR(B35/SUM($B$32,$B$34,$B$35,$B$36,$B$38,$B$39)*100),0,B35/SUM($B$32,$B$34,$B$35,$B$36,$B$38,$B$39)*100)</f>
        <v>13.470423277711474</v>
      </c>
      <c r="D35" s="236"/>
      <c r="G35" s="16"/>
    </row>
    <row r="36" spans="1:7">
      <c r="A36" s="174" t="s">
        <v>74</v>
      </c>
      <c r="B36" s="34">
        <f>IF((($B$28-$B$32-$B$39-$B$77-$B$38)*C22/100)&lt;0,0,($B$28-$B$32-$B$39-$B$77-$B$38)*C22/100)</f>
        <v>206.04849279161209</v>
      </c>
      <c r="C36" s="170">
        <f>IF(ISERROR(B36/SUM($B$32,$B$34,$B$35,$B$36,$B$38,$B$39)*100),0,B36/SUM($B$32,$B$34,$B$35,$B$36,$B$38,$B$39)*100)</f>
        <v>4.7962870761548437</v>
      </c>
      <c r="D36" s="236"/>
      <c r="G36" s="16"/>
    </row>
    <row r="37" spans="1:7">
      <c r="A37" s="174" t="s">
        <v>75</v>
      </c>
      <c r="B37" s="35" t="s">
        <v>110</v>
      </c>
      <c r="C37" s="170"/>
      <c r="D37" s="176"/>
      <c r="G37" s="16"/>
    </row>
    <row r="38" spans="1:7">
      <c r="A38" s="174" t="s">
        <v>76</v>
      </c>
      <c r="B38" s="34">
        <f>IF((B24-(B29-B18)*0.1)&lt;0,0,B24-(B29-B18)*0.1)</f>
        <v>54.199999999999989</v>
      </c>
      <c r="C38" s="170">
        <f>IF(ISERROR(B38/SUM($B$32,$B$34,$B$35,$B$36,$B$38,$B$39)*100),0,B38/SUM($B$32,$B$34,$B$35,$B$36,$B$38,$B$39)*100)</f>
        <v>1.2616387337057726</v>
      </c>
      <c r="D38" s="237"/>
      <c r="G38" s="16"/>
    </row>
    <row r="39" spans="1:7">
      <c r="A39" s="174" t="s">
        <v>77</v>
      </c>
      <c r="B39" s="34">
        <f>IF((B25-(B29-B18))&lt;0,0,B25-(B29-B18)*0.9)</f>
        <v>658.8</v>
      </c>
      <c r="C39" s="170">
        <f>IF(ISERROR(B39/SUM($B$32,$B$34,$B$35,$B$36,$B$38,$B$39)*100),0,B39/SUM($B$32,$B$34,$B$35,$B$36,$B$38,$B$39)*100)</f>
        <v>15.335195530726256</v>
      </c>
      <c r="D39" s="237"/>
      <c r="G39" s="16"/>
    </row>
    <row r="40" spans="1:7">
      <c r="A40" s="174" t="s">
        <v>78</v>
      </c>
      <c r="B40" s="34" t="s">
        <v>218</v>
      </c>
      <c r="C40" s="170"/>
      <c r="D40" s="236"/>
      <c r="G40" s="16"/>
    </row>
    <row r="41" spans="1:7">
      <c r="A41" s="3"/>
      <c r="B41" s="44"/>
      <c r="C41" s="44"/>
      <c r="D41" s="177"/>
    </row>
    <row r="42" spans="1:7">
      <c r="A42" s="3"/>
      <c r="B42" s="44"/>
      <c r="C42" s="44"/>
      <c r="D42" s="177"/>
    </row>
    <row r="43" spans="1:7">
      <c r="A43" s="175" t="s">
        <v>492</v>
      </c>
      <c r="B43" s="172" t="s">
        <v>666</v>
      </c>
      <c r="C43" s="172" t="s">
        <v>667</v>
      </c>
      <c r="D43" s="177"/>
    </row>
    <row r="44" spans="1:7">
      <c r="A44" s="174" t="s">
        <v>70</v>
      </c>
      <c r="B44" s="34">
        <f t="shared" ref="B44:B52" si="0">B32</f>
        <v>2468</v>
      </c>
      <c r="C44" s="35" t="s">
        <v>110</v>
      </c>
      <c r="D44" s="177"/>
    </row>
    <row r="45" spans="1:7">
      <c r="A45" s="174" t="s">
        <v>71</v>
      </c>
      <c r="B45" s="34" t="str">
        <f t="shared" si="0"/>
        <v>-</v>
      </c>
      <c r="C45" s="35" t="s">
        <v>110</v>
      </c>
      <c r="D45" s="177"/>
    </row>
    <row r="46" spans="1:7">
      <c r="A46" s="174" t="s">
        <v>72</v>
      </c>
      <c r="B46" s="34">
        <f t="shared" si="0"/>
        <v>330.26212319790301</v>
      </c>
      <c r="C46" s="35" t="s">
        <v>110</v>
      </c>
      <c r="D46" s="177"/>
    </row>
    <row r="47" spans="1:7">
      <c r="A47" s="174" t="s">
        <v>73</v>
      </c>
      <c r="B47" s="34">
        <f t="shared" si="0"/>
        <v>578.6893840104849</v>
      </c>
      <c r="C47" s="35" t="s">
        <v>110</v>
      </c>
      <c r="D47" s="177"/>
    </row>
    <row r="48" spans="1:7">
      <c r="A48" s="174" t="s">
        <v>74</v>
      </c>
      <c r="B48" s="34">
        <f t="shared" si="0"/>
        <v>206.04849279161209</v>
      </c>
      <c r="C48" s="34">
        <f>B48*10</f>
        <v>2060.4849279161208</v>
      </c>
      <c r="D48" s="237"/>
    </row>
    <row r="49" spans="1:6">
      <c r="A49" s="174" t="s">
        <v>75</v>
      </c>
      <c r="B49" s="34" t="str">
        <f t="shared" si="0"/>
        <v>-</v>
      </c>
      <c r="C49" s="35" t="s">
        <v>110</v>
      </c>
      <c r="D49" s="237"/>
    </row>
    <row r="50" spans="1:6">
      <c r="A50" s="174" t="s">
        <v>76</v>
      </c>
      <c r="B50" s="34">
        <f t="shared" si="0"/>
        <v>54.199999999999989</v>
      </c>
      <c r="C50" s="34">
        <f>B50*2</f>
        <v>108.39999999999998</v>
      </c>
      <c r="D50" s="237"/>
    </row>
    <row r="51" spans="1:6">
      <c r="A51" s="174" t="s">
        <v>77</v>
      </c>
      <c r="B51" s="34">
        <f t="shared" si="0"/>
        <v>658.8</v>
      </c>
      <c r="C51" s="35" t="s">
        <v>110</v>
      </c>
      <c r="D51" s="177"/>
    </row>
    <row r="52" spans="1:6">
      <c r="A52" s="174" t="s">
        <v>78</v>
      </c>
      <c r="B52" s="34" t="str">
        <f t="shared" si="0"/>
        <v>zie verder</v>
      </c>
      <c r="C52" s="35" t="s">
        <v>110</v>
      </c>
      <c r="D52" s="177"/>
    </row>
    <row r="53" spans="1:6">
      <c r="A53" s="3"/>
      <c r="B53" s="44"/>
      <c r="C53" s="44"/>
      <c r="D53" s="177"/>
    </row>
    <row r="54" spans="1:6">
      <c r="A54" s="175" t="s">
        <v>495</v>
      </c>
      <c r="B54" s="168" t="s">
        <v>700</v>
      </c>
      <c r="C54" s="168" t="s">
        <v>701</v>
      </c>
      <c r="D54" s="301" t="s">
        <v>943</v>
      </c>
      <c r="E54" s="165"/>
      <c r="F54" s="165"/>
    </row>
    <row r="55" spans="1:6">
      <c r="A55" s="174" t="s">
        <v>70</v>
      </c>
      <c r="B55" s="166">
        <v>15.80223141515912</v>
      </c>
      <c r="C55" s="173" t="s">
        <v>110</v>
      </c>
      <c r="D55" s="176"/>
      <c r="E55" s="166"/>
      <c r="F55" s="166"/>
    </row>
    <row r="56" spans="1:6">
      <c r="A56" s="174" t="s">
        <v>71</v>
      </c>
      <c r="B56" s="173" t="s">
        <v>110</v>
      </c>
      <c r="C56" s="173" t="s">
        <v>110</v>
      </c>
      <c r="D56" s="176"/>
      <c r="E56" s="166"/>
      <c r="F56" s="166"/>
    </row>
    <row r="57" spans="1:6">
      <c r="A57" s="174" t="s">
        <v>72</v>
      </c>
      <c r="B57" s="166">
        <v>21.164366359299606</v>
      </c>
      <c r="C57" s="173" t="s">
        <v>110</v>
      </c>
      <c r="D57" s="176"/>
      <c r="E57" s="166"/>
      <c r="F57" s="166"/>
    </row>
    <row r="58" spans="1:6">
      <c r="A58" s="174" t="s">
        <v>73</v>
      </c>
      <c r="B58" s="166">
        <v>13.700846128577041</v>
      </c>
      <c r="C58" s="173" t="s">
        <v>110</v>
      </c>
      <c r="D58" s="176"/>
      <c r="E58" s="166"/>
      <c r="F58" s="166"/>
    </row>
    <row r="59" spans="1:6">
      <c r="A59" s="174" t="s">
        <v>74</v>
      </c>
      <c r="B59" s="173">
        <v>10.36900183469993</v>
      </c>
      <c r="C59" s="173">
        <v>6.1558462824793825</v>
      </c>
      <c r="D59" s="176"/>
      <c r="E59" s="166"/>
      <c r="F59" s="166"/>
    </row>
    <row r="60" spans="1:6">
      <c r="A60" s="174" t="s">
        <v>75</v>
      </c>
      <c r="B60" s="173" t="s">
        <v>110</v>
      </c>
      <c r="C60" s="173" t="s">
        <v>110</v>
      </c>
      <c r="D60" s="176"/>
      <c r="E60" s="166"/>
      <c r="F60" s="166"/>
    </row>
    <row r="61" spans="1:6">
      <c r="A61" s="174" t="s">
        <v>76</v>
      </c>
      <c r="B61" s="166">
        <v>14.001946269779403</v>
      </c>
      <c r="C61" s="173">
        <v>8.8897437353718924</v>
      </c>
      <c r="D61" s="176"/>
      <c r="E61" s="166"/>
      <c r="F61" s="166"/>
    </row>
    <row r="62" spans="1:6">
      <c r="A62" s="174" t="s">
        <v>77</v>
      </c>
      <c r="B62" s="173">
        <v>21.073742072114012</v>
      </c>
      <c r="C62" s="173" t="s">
        <v>110</v>
      </c>
      <c r="D62" s="177"/>
      <c r="E62" s="166"/>
      <c r="F62" s="166"/>
    </row>
    <row r="63" spans="1:6">
      <c r="A63" s="174" t="s">
        <v>78</v>
      </c>
      <c r="B63" s="173" t="s">
        <v>218</v>
      </c>
      <c r="C63" s="173" t="s">
        <v>110</v>
      </c>
      <c r="D63" s="177"/>
      <c r="E63" s="166"/>
      <c r="F63" s="166"/>
    </row>
    <row r="64" spans="1:6">
      <c r="A64" s="178"/>
      <c r="B64" s="238"/>
      <c r="C64" s="238"/>
      <c r="D64" s="179"/>
      <c r="E64" s="166"/>
      <c r="F64" s="166"/>
    </row>
    <row r="65" spans="1:6">
      <c r="E65" s="16"/>
      <c r="F65" s="16"/>
    </row>
    <row r="66" spans="1:6">
      <c r="A66" s="197" t="s">
        <v>493</v>
      </c>
      <c r="B66" s="206"/>
      <c r="C66" s="206"/>
      <c r="D66" s="207"/>
    </row>
    <row r="67" spans="1:6" s="16" customFormat="1">
      <c r="A67" s="175"/>
      <c r="B67" s="33"/>
      <c r="C67" s="33"/>
      <c r="D67" s="208"/>
    </row>
    <row r="68" spans="1:6" s="16" customFormat="1">
      <c r="A68" s="209"/>
      <c r="B68" s="210"/>
      <c r="C68" s="211" t="s">
        <v>378</v>
      </c>
      <c r="D68" s="225" t="s">
        <v>181</v>
      </c>
    </row>
    <row r="69" spans="1:6">
      <c r="A69" s="174" t="s">
        <v>265</v>
      </c>
      <c r="B69" s="319">
        <f>aantalZB_NB_wonen+aantalZB_NB_wonen_met_kantoor+ZB_HH_bestaande_bouw</f>
        <v>33</v>
      </c>
      <c r="C69" s="44"/>
      <c r="D69" s="176"/>
    </row>
    <row r="70" spans="1:6">
      <c r="A70" s="174" t="s">
        <v>490</v>
      </c>
      <c r="B70" s="315">
        <v>4.2</v>
      </c>
      <c r="C70" s="44"/>
      <c r="D70" s="309" t="s">
        <v>524</v>
      </c>
    </row>
    <row r="71" spans="1:6">
      <c r="A71" s="248" t="s">
        <v>491</v>
      </c>
      <c r="B71" s="320">
        <f>1.34/3.6</f>
        <v>0.37222222222222223</v>
      </c>
      <c r="C71" s="44" t="s">
        <v>217</v>
      </c>
      <c r="D71" s="309" t="s">
        <v>524</v>
      </c>
    </row>
    <row r="72" spans="1:6">
      <c r="A72" s="178"/>
      <c r="B72" s="249"/>
      <c r="C72" s="181"/>
      <c r="D72" s="182"/>
    </row>
    <row r="73" spans="1:6">
      <c r="D73" s="167"/>
    </row>
    <row r="74" spans="1:6">
      <c r="A74" s="197" t="s">
        <v>494</v>
      </c>
      <c r="B74" s="206"/>
      <c r="C74" s="206"/>
      <c r="D74" s="207"/>
    </row>
    <row r="75" spans="1:6">
      <c r="A75" s="175"/>
      <c r="B75" s="33"/>
      <c r="C75" s="33"/>
      <c r="D75" s="212"/>
    </row>
    <row r="76" spans="1:6">
      <c r="A76" s="186"/>
      <c r="B76" s="185"/>
      <c r="C76" s="211" t="s">
        <v>378</v>
      </c>
      <c r="D76" s="226" t="s">
        <v>181</v>
      </c>
    </row>
    <row r="77" spans="1:6">
      <c r="A77" s="174" t="s">
        <v>265</v>
      </c>
      <c r="B77" s="319">
        <f>aantalWP_NB_wonen+aantalWP_NB_wonen_met_kantoor+WP_HH_bestaande_bouw</f>
        <v>10</v>
      </c>
      <c r="C77" s="33"/>
      <c r="D77" s="180"/>
    </row>
    <row r="78" spans="1:6">
      <c r="A78" s="174" t="s">
        <v>460</v>
      </c>
      <c r="B78" s="315">
        <v>13</v>
      </c>
      <c r="C78" s="33" t="s">
        <v>262</v>
      </c>
      <c r="D78" s="309" t="s">
        <v>524</v>
      </c>
    </row>
    <row r="79" spans="1:6">
      <c r="A79" s="174" t="s">
        <v>461</v>
      </c>
      <c r="B79" s="315">
        <v>2000</v>
      </c>
      <c r="C79" s="33" t="s">
        <v>264</v>
      </c>
      <c r="D79" s="309" t="s">
        <v>524</v>
      </c>
    </row>
    <row r="80" spans="1:6">
      <c r="A80" s="174" t="s">
        <v>421</v>
      </c>
      <c r="B80" s="315">
        <v>3.75</v>
      </c>
      <c r="C80" s="44"/>
      <c r="D80" s="309" t="s">
        <v>524</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34" zoomScale="80" zoomScaleNormal="80" workbookViewId="0">
      <selection activeCell="B46" sqref="B46"/>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6" customFormat="1" ht="17.25" thickTop="1" thickBot="1">
      <c r="A1" s="1203" t="s">
        <v>155</v>
      </c>
      <c r="B1" s="1204" t="s">
        <v>194</v>
      </c>
      <c r="C1" s="1205"/>
      <c r="D1" s="1205"/>
      <c r="E1" s="1205"/>
      <c r="F1" s="1205"/>
      <c r="G1" s="1205"/>
      <c r="H1" s="1205"/>
      <c r="I1" s="1205"/>
      <c r="J1" s="1205"/>
      <c r="K1" s="1205"/>
      <c r="L1" s="1205"/>
      <c r="M1" s="1205"/>
      <c r="N1" s="1205"/>
      <c r="O1" s="1205"/>
      <c r="P1" s="1205"/>
    </row>
    <row r="2" spans="1:18" s="316" customFormat="1" ht="15.75" thickTop="1">
      <c r="A2" s="1203"/>
      <c r="B2" s="1206" t="s">
        <v>20</v>
      </c>
      <c r="C2" s="1206" t="s">
        <v>195</v>
      </c>
      <c r="D2" s="1208" t="s">
        <v>196</v>
      </c>
      <c r="E2" s="1209"/>
      <c r="F2" s="1209"/>
      <c r="G2" s="1209"/>
      <c r="H2" s="1209"/>
      <c r="I2" s="1209"/>
      <c r="J2" s="1209"/>
      <c r="K2" s="1210"/>
      <c r="L2" s="1208" t="s">
        <v>197</v>
      </c>
      <c r="M2" s="1209"/>
      <c r="N2" s="1209"/>
      <c r="O2" s="1209"/>
      <c r="P2" s="1210"/>
    </row>
    <row r="3" spans="1:18" s="316" customFormat="1" ht="45">
      <c r="A3" s="1203"/>
      <c r="B3" s="1207"/>
      <c r="C3" s="1207"/>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8" ht="15.75">
      <c r="A4" s="14"/>
      <c r="B4" s="15"/>
      <c r="C4" s="15"/>
      <c r="D4" s="15"/>
      <c r="E4" s="15"/>
      <c r="F4" s="254"/>
      <c r="G4" s="15"/>
      <c r="H4" s="15"/>
      <c r="I4" s="15"/>
      <c r="J4" s="15"/>
      <c r="K4" s="15"/>
      <c r="L4" s="15"/>
      <c r="M4" s="15"/>
      <c r="N4" s="15"/>
      <c r="O4" s="15"/>
      <c r="P4" s="15"/>
      <c r="R4" s="6"/>
    </row>
    <row r="5" spans="1:18">
      <c r="A5" s="17" t="s">
        <v>258</v>
      </c>
      <c r="B5" s="31">
        <f>SUM(B6:B12)</f>
        <v>12292.846792872737</v>
      </c>
      <c r="C5" s="18">
        <f>IF(ISERROR('Eigen informatie GS &amp; warmtenet'!B58),0,'Eigen informatie GS &amp; warmtenet'!B58)</f>
        <v>0</v>
      </c>
      <c r="D5" s="31">
        <f>SUM(D6:D12)</f>
        <v>15448.492878753628</v>
      </c>
      <c r="E5" s="18">
        <f>SUM(E6:E12)</f>
        <v>183.85051736095431</v>
      </c>
      <c r="F5" s="18">
        <f>SUM(F6:F12)</f>
        <v>2402.030942119633</v>
      </c>
      <c r="G5" s="19"/>
      <c r="H5" s="18"/>
      <c r="I5" s="18"/>
      <c r="J5" s="18">
        <f>SUM(J6:J12)</f>
        <v>0</v>
      </c>
      <c r="K5" s="18"/>
      <c r="L5" s="18"/>
      <c r="M5" s="18"/>
      <c r="N5" s="18">
        <f>SUM(N6:N12)</f>
        <v>689.80905737588023</v>
      </c>
      <c r="O5" s="18">
        <f>B38*B39*B40</f>
        <v>0</v>
      </c>
      <c r="P5" s="18">
        <f>B46*B47*B48/1000-B46*B47*B48/1000/B49</f>
        <v>19.066666666666666</v>
      </c>
      <c r="R5" s="33"/>
    </row>
    <row r="6" spans="1:18">
      <c r="A6" s="33" t="s">
        <v>53</v>
      </c>
      <c r="B6" s="38">
        <f>B26</f>
        <v>3010.71146901878</v>
      </c>
      <c r="C6" s="34"/>
      <c r="D6" s="38">
        <f>IF(ISERROR(TER_kantoor_gas_kWh/1000),0,TER_kantoor_gas_kWh/1000)*0.902</f>
        <v>5587.4809698504841</v>
      </c>
      <c r="E6" s="34">
        <f>$C$26*'E Balans VL '!I12/100/3.6*1000000</f>
        <v>4.9411877191628335</v>
      </c>
      <c r="F6" s="34">
        <f>$C$26*('E Balans VL '!L12+'E Balans VL '!N12)/100/3.6*1000000</f>
        <v>354.89204400328407</v>
      </c>
      <c r="G6" s="35"/>
      <c r="H6" s="34"/>
      <c r="I6" s="34"/>
      <c r="J6" s="34">
        <f>$C$26*('E Balans VL '!D12+'E Balans VL '!E12)/100/3.6*1000000</f>
        <v>0</v>
      </c>
      <c r="K6" s="34"/>
      <c r="L6" s="34"/>
      <c r="M6" s="34"/>
      <c r="N6" s="34">
        <f>$C$26*'E Balans VL '!Y12/100/3.6*1000000</f>
        <v>0.60829999542926461</v>
      </c>
      <c r="O6" s="34"/>
      <c r="P6" s="34"/>
      <c r="R6" s="33"/>
    </row>
    <row r="7" spans="1:18">
      <c r="A7" s="33" t="s">
        <v>52</v>
      </c>
      <c r="B7" s="38">
        <f t="shared" ref="B7:B12" si="0">B27</f>
        <v>2520.0017249651</v>
      </c>
      <c r="C7" s="34"/>
      <c r="D7" s="38">
        <f>IF(ISERROR(TER_horeca_gas_kWh/1000),0,TER_horeca_gas_kWh/1000)*0.902</f>
        <v>3339.3376531517893</v>
      </c>
      <c r="E7" s="34">
        <f>$C$27*'E Balans VL '!I9/100/3.6*1000000</f>
        <v>130.76985440298975</v>
      </c>
      <c r="F7" s="34">
        <f>$C$27*('E Balans VL '!L9+'E Balans VL '!N9)/100/3.6*1000000</f>
        <v>575.06622215934988</v>
      </c>
      <c r="G7" s="35"/>
      <c r="H7" s="34"/>
      <c r="I7" s="34"/>
      <c r="J7" s="34">
        <f>$C$27*('E Balans VL '!D9+'E Balans VL '!E9)/100/3.6*1000000</f>
        <v>0</v>
      </c>
      <c r="K7" s="34"/>
      <c r="L7" s="34"/>
      <c r="M7" s="34"/>
      <c r="N7" s="34">
        <f>$C$27*'E Balans VL '!Y9/100/3.6*1000000</f>
        <v>0.26611102731514136</v>
      </c>
      <c r="O7" s="34"/>
      <c r="P7" s="34"/>
      <c r="R7" s="33"/>
    </row>
    <row r="8" spans="1:18">
      <c r="A8" s="6" t="s">
        <v>51</v>
      </c>
      <c r="B8" s="38">
        <f t="shared" si="0"/>
        <v>2457.18439722022</v>
      </c>
      <c r="C8" s="34"/>
      <c r="D8" s="38">
        <f>IF(ISERROR(TER_handel_gas_kWh/1000),0,TER_handel_gas_kWh/1000)*0.902</f>
        <v>1807.3346807814246</v>
      </c>
      <c r="E8" s="34">
        <f>$C$28*'E Balans VL '!I13/100/3.6*1000000</f>
        <v>13.232239926861196</v>
      </c>
      <c r="F8" s="34">
        <f>$C$28*('E Balans VL '!L13+'E Balans VL '!N13)/100/3.6*1000000</f>
        <v>501.09291953672829</v>
      </c>
      <c r="G8" s="35"/>
      <c r="H8" s="34"/>
      <c r="I8" s="34"/>
      <c r="J8" s="34">
        <f>$C$28*('E Balans VL '!D13+'E Balans VL '!E13)/100/3.6*1000000</f>
        <v>0</v>
      </c>
      <c r="K8" s="34"/>
      <c r="L8" s="34"/>
      <c r="M8" s="34"/>
      <c r="N8" s="34">
        <f>$C$28*'E Balans VL '!Y13/100/3.6*1000000</f>
        <v>12.218280405473033</v>
      </c>
      <c r="O8" s="34"/>
      <c r="P8" s="34"/>
      <c r="R8" s="33"/>
    </row>
    <row r="9" spans="1:18">
      <c r="A9" s="33" t="s">
        <v>50</v>
      </c>
      <c r="B9" s="38">
        <f t="shared" si="0"/>
        <v>187.92127598866</v>
      </c>
      <c r="C9" s="34"/>
      <c r="D9" s="38">
        <f>IF(ISERROR(TER_gezond_gas_kWh/1000),0,TER_gezond_gas_kWh/1000)*0.902</f>
        <v>438.87128998704833</v>
      </c>
      <c r="E9" s="34">
        <f>$C$29*'E Balans VL '!I10/100/3.6*1000000</f>
        <v>0.18623212153666829</v>
      </c>
      <c r="F9" s="34">
        <f>$C$29*('E Balans VL '!L10+'E Balans VL '!N10)/100/3.6*1000000</f>
        <v>65.203266145089898</v>
      </c>
      <c r="G9" s="35"/>
      <c r="H9" s="34"/>
      <c r="I9" s="34"/>
      <c r="J9" s="34">
        <f>$C$29*('E Balans VL '!D10+'E Balans VL '!E10)/100/3.6*1000000</f>
        <v>0</v>
      </c>
      <c r="K9" s="34"/>
      <c r="L9" s="34"/>
      <c r="M9" s="34"/>
      <c r="N9" s="34">
        <f>$C$29*'E Balans VL '!Y10/100/3.6*1000000</f>
        <v>1.6193013556521936</v>
      </c>
      <c r="O9" s="34"/>
      <c r="P9" s="34"/>
      <c r="R9" s="33"/>
    </row>
    <row r="10" spans="1:18">
      <c r="A10" s="33" t="s">
        <v>49</v>
      </c>
      <c r="B10" s="38">
        <f t="shared" si="0"/>
        <v>798.45151602255601</v>
      </c>
      <c r="C10" s="34"/>
      <c r="D10" s="38">
        <f>IF(ISERROR(TER_ander_gas_kWh/1000),0,TER_ander_gas_kWh/1000)*0.902</f>
        <v>555.60846266383567</v>
      </c>
      <c r="E10" s="34">
        <f>$C$30*'E Balans VL '!I14/100/3.6*1000000</f>
        <v>6.532131396523261</v>
      </c>
      <c r="F10" s="34">
        <f>$C$30*('E Balans VL '!L14+'E Balans VL '!N14)/100/3.6*1000000</f>
        <v>233.43471697748063</v>
      </c>
      <c r="G10" s="35"/>
      <c r="H10" s="34"/>
      <c r="I10" s="34"/>
      <c r="J10" s="34">
        <f>$C$30*('E Balans VL '!D14+'E Balans VL '!E14)/100/3.6*1000000</f>
        <v>0</v>
      </c>
      <c r="K10" s="34"/>
      <c r="L10" s="34"/>
      <c r="M10" s="34"/>
      <c r="N10" s="34">
        <f>$C$30*'E Balans VL '!Y14/100/3.6*1000000</f>
        <v>460.60175905399535</v>
      </c>
      <c r="O10" s="34"/>
      <c r="P10" s="34"/>
      <c r="R10" s="33"/>
    </row>
    <row r="11" spans="1:18">
      <c r="A11" s="33" t="s">
        <v>54</v>
      </c>
      <c r="B11" s="38">
        <f t="shared" si="0"/>
        <v>60.413762570229004</v>
      </c>
      <c r="C11" s="34"/>
      <c r="D11" s="38">
        <f>IF(ISERROR(TER_onderwijs_gas_kWh/1000),0,TER_onderwijs_gas_kWh/1000)*0.902</f>
        <v>274.27098418378</v>
      </c>
      <c r="E11" s="34">
        <f>$C$31*'E Balans VL '!I11/100/3.6*1000000</f>
        <v>3.723649413856607E-2</v>
      </c>
      <c r="F11" s="34">
        <f>$C$31*('E Balans VL '!L11+'E Balans VL '!N11)/100/3.6*1000000</f>
        <v>23.356938990557421</v>
      </c>
      <c r="G11" s="35"/>
      <c r="H11" s="34"/>
      <c r="I11" s="34"/>
      <c r="J11" s="34">
        <f>$C$31*('E Balans VL '!D11+'E Balans VL '!E11)/100/3.6*1000000</f>
        <v>0</v>
      </c>
      <c r="K11" s="34"/>
      <c r="L11" s="34"/>
      <c r="M11" s="34"/>
      <c r="N11" s="34">
        <f>$C$31*'E Balans VL '!Y11/100/3.6*1000000</f>
        <v>0.19651302324806028</v>
      </c>
      <c r="O11" s="34"/>
      <c r="P11" s="34"/>
      <c r="R11" s="33"/>
    </row>
    <row r="12" spans="1:18">
      <c r="A12" s="33" t="s">
        <v>259</v>
      </c>
      <c r="B12" s="38">
        <f t="shared" si="0"/>
        <v>3258.1626470871897</v>
      </c>
      <c r="C12" s="34"/>
      <c r="D12" s="38">
        <f>IF(ISERROR(TER_rest_gas_kWh/1000),0,TER_rest_gas_kWh/1000)*0.902</f>
        <v>3445.5888381352665</v>
      </c>
      <c r="E12" s="34">
        <f>$C$32*'E Balans VL '!I8/100/3.6*1000000</f>
        <v>28.151635299742058</v>
      </c>
      <c r="F12" s="34">
        <f>$C$32*('E Balans VL '!L8+'E Balans VL '!N8)/100/3.6*1000000</f>
        <v>648.98483430714305</v>
      </c>
      <c r="G12" s="35"/>
      <c r="H12" s="34"/>
      <c r="I12" s="34"/>
      <c r="J12" s="34">
        <f>$C$32*('E Balans VL '!D8+'E Balans VL '!E8)/100/3.6*1000000</f>
        <v>0</v>
      </c>
      <c r="K12" s="34"/>
      <c r="L12" s="34"/>
      <c r="M12" s="34"/>
      <c r="N12" s="34">
        <f>$C$32*'E Balans VL '!Y8/100/3.6*1000000</f>
        <v>214.2987925147672</v>
      </c>
      <c r="O12" s="34"/>
      <c r="P12" s="34"/>
      <c r="R12" s="33"/>
    </row>
    <row r="13" spans="1:18">
      <c r="A13" s="17" t="s">
        <v>501</v>
      </c>
      <c r="B13" s="250">
        <f ca="1">'lokale energieproductie'!N38+'lokale energieproductie'!N31</f>
        <v>0</v>
      </c>
      <c r="C13" s="250">
        <f ca="1">'lokale energieproductie'!O38+'lokale energieproductie'!O31</f>
        <v>0</v>
      </c>
      <c r="D13" s="310">
        <f ca="1">('lokale energieproductie'!P31+'lokale energieproductie'!P38)*(-1)</f>
        <v>0</v>
      </c>
      <c r="E13" s="251"/>
      <c r="F13" s="310">
        <f ca="1">('lokale energieproductie'!S31+'lokale energieproductie'!S38)*(-1)</f>
        <v>0</v>
      </c>
      <c r="G13" s="252"/>
      <c r="H13" s="251"/>
      <c r="I13" s="251"/>
      <c r="J13" s="251"/>
      <c r="K13" s="251"/>
      <c r="L13" s="310">
        <f ca="1">('lokale energieproductie'!U31+'lokale energieproductie'!T31+'lokale energieproductie'!U38+'lokale energieproductie'!T38)*(-1)</f>
        <v>0</v>
      </c>
      <c r="M13" s="251"/>
      <c r="N13" s="310">
        <f ca="1">('lokale energieproductie'!Q31+'lokale energieproductie'!R31+'lokale energieproductie'!V31+'lokale energieproductie'!Q38+'lokale energieproductie'!R38+'lokale energieproductie'!V38)*(-1)</f>
        <v>0</v>
      </c>
      <c r="O13" s="251"/>
      <c r="P13" s="251"/>
      <c r="R13" s="33"/>
    </row>
    <row r="14" spans="1:18">
      <c r="A14" s="17" t="s">
        <v>515</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260</v>
      </c>
      <c r="B16" s="22">
        <f t="shared" ref="B16:N16" ca="1" si="1">MAX((B5+B13+B14),0)</f>
        <v>12292.846792872737</v>
      </c>
      <c r="C16" s="22">
        <f t="shared" ca="1" si="1"/>
        <v>0</v>
      </c>
      <c r="D16" s="22">
        <f t="shared" ca="1" si="1"/>
        <v>15448.492878753628</v>
      </c>
      <c r="E16" s="22">
        <f t="shared" si="1"/>
        <v>183.85051736095431</v>
      </c>
      <c r="F16" s="22">
        <f t="shared" ca="1" si="1"/>
        <v>2402.030942119633</v>
      </c>
      <c r="G16" s="22">
        <f t="shared" si="1"/>
        <v>0</v>
      </c>
      <c r="H16" s="22">
        <f t="shared" si="1"/>
        <v>0</v>
      </c>
      <c r="I16" s="22">
        <f t="shared" si="1"/>
        <v>0</v>
      </c>
      <c r="J16" s="22">
        <f t="shared" si="1"/>
        <v>0</v>
      </c>
      <c r="K16" s="22">
        <f t="shared" si="1"/>
        <v>0</v>
      </c>
      <c r="L16" s="22">
        <f t="shared" ca="1" si="1"/>
        <v>0</v>
      </c>
      <c r="M16" s="22">
        <f t="shared" si="1"/>
        <v>0</v>
      </c>
      <c r="N16" s="22">
        <f t="shared" ca="1" si="1"/>
        <v>689.80905737588023</v>
      </c>
      <c r="O16" s="22">
        <f>O5</f>
        <v>0</v>
      </c>
      <c r="P16" s="22">
        <f>P5</f>
        <v>19.066666666666666</v>
      </c>
      <c r="R16" s="33"/>
    </row>
    <row r="17" spans="1:18">
      <c r="A17"/>
      <c r="B17" s="20"/>
      <c r="C17" s="20"/>
      <c r="D17" s="20"/>
      <c r="E17" s="20"/>
      <c r="F17" s="20"/>
      <c r="G17" s="20"/>
      <c r="H17" s="20"/>
      <c r="I17" s="20"/>
      <c r="J17" s="20"/>
      <c r="K17" s="20"/>
      <c r="L17" s="20"/>
      <c r="M17" s="20"/>
      <c r="N17" s="20"/>
      <c r="O17" s="20"/>
      <c r="P17" s="20"/>
      <c r="R17" s="33"/>
    </row>
    <row r="18" spans="1:18">
      <c r="A18" s="25" t="s">
        <v>213</v>
      </c>
      <c r="B18" s="26">
        <f ca="1">'EF ele_warmte'!B12</f>
        <v>0.20804957814374317</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212</v>
      </c>
      <c r="B20" s="24">
        <f ca="1">B16*B18</f>
        <v>2557.5215894428393</v>
      </c>
      <c r="C20" s="24">
        <f t="shared" ref="C20:P20" ca="1" si="2">C16*C18</f>
        <v>0</v>
      </c>
      <c r="D20" s="24">
        <f t="shared" ca="1" si="2"/>
        <v>3120.595561508233</v>
      </c>
      <c r="E20" s="24">
        <f t="shared" si="2"/>
        <v>41.734067440936627</v>
      </c>
      <c r="F20" s="24">
        <f t="shared" ca="1" si="2"/>
        <v>641.34226154594205</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500</v>
      </c>
      <c r="B23" s="206"/>
      <c r="C23" s="206"/>
      <c r="D23" s="228"/>
    </row>
    <row r="24" spans="1:18">
      <c r="A24" s="239"/>
      <c r="B24" s="33"/>
      <c r="C24" s="33"/>
      <c r="D24" s="240"/>
    </row>
    <row r="25" spans="1:18">
      <c r="A25" s="241"/>
      <c r="B25" s="227" t="s">
        <v>266</v>
      </c>
      <c r="C25" s="227" t="s">
        <v>267</v>
      </c>
      <c r="D25" s="242" t="s">
        <v>181</v>
      </c>
    </row>
    <row r="26" spans="1:18">
      <c r="A26" s="234" t="s">
        <v>53</v>
      </c>
      <c r="B26" s="34">
        <f>IF(ISERROR(TER_kantoor_ele_kWh/1000),0,TER_kantoor_ele_kWh/1000)</f>
        <v>3010.71146901878</v>
      </c>
      <c r="C26" s="40">
        <f>IF(ISERROR(B26*3.6/1000000/'E Balans VL '!Z12*100),0,B26*3.6/1000000/'E Balans VL '!Z12*100)</f>
        <v>6.3975459641991028E-2</v>
      </c>
      <c r="D26" s="240" t="s">
        <v>703</v>
      </c>
      <c r="F26" s="6"/>
    </row>
    <row r="27" spans="1:18">
      <c r="A27" s="234" t="s">
        <v>52</v>
      </c>
      <c r="B27" s="34">
        <f>IF(ISERROR(TER_horeca_ele_kWh/1000),0,TER_horeca_ele_kWh/1000)</f>
        <v>2520.0017249651</v>
      </c>
      <c r="C27" s="40">
        <f>IF(ISERROR(B27*3.6/1000000/'E Balans VL '!Z9*100),0,B27*3.6/1000000/'E Balans VL '!Z9*100)</f>
        <v>0.19834362284358364</v>
      </c>
      <c r="D27" s="240" t="s">
        <v>703</v>
      </c>
      <c r="F27" s="6"/>
    </row>
    <row r="28" spans="1:18">
      <c r="A28" s="174" t="s">
        <v>51</v>
      </c>
      <c r="B28" s="34">
        <f>IF(ISERROR(TER_handel_ele_kWh/1000),0,TER_handel_ele_kWh/1000)</f>
        <v>2457.18439722022</v>
      </c>
      <c r="C28" s="40">
        <f>IF(ISERROR(B28*3.6/1000000/'E Balans VL '!Z13*100),0,B28*3.6/1000000/'E Balans VL '!Z13*100)</f>
        <v>6.8827049999310635E-2</v>
      </c>
      <c r="D28" s="240" t="s">
        <v>703</v>
      </c>
      <c r="F28" s="6"/>
    </row>
    <row r="29" spans="1:18">
      <c r="A29" s="234" t="s">
        <v>50</v>
      </c>
      <c r="B29" s="34">
        <f>IF(ISERROR(TER_gezond_ele_kWh/1000),0,TER_gezond_ele_kWh/1000)</f>
        <v>187.92127598866</v>
      </c>
      <c r="C29" s="40">
        <f>IF(ISERROR(B29*3.6/1000000/'E Balans VL '!Z10*100),0,B29*3.6/1000000/'E Balans VL '!Z10*100)</f>
        <v>2.4040813709475858E-2</v>
      </c>
      <c r="D29" s="240" t="s">
        <v>703</v>
      </c>
      <c r="F29" s="6"/>
    </row>
    <row r="30" spans="1:18">
      <c r="A30" s="234" t="s">
        <v>49</v>
      </c>
      <c r="B30" s="34">
        <f>IF(ISERROR(TER_ander_ele_kWh/1000),0,TER_ander_ele_kWh/1000)</f>
        <v>798.45151602255601</v>
      </c>
      <c r="C30" s="40">
        <f>IF(ISERROR(B30*3.6/1000000/'E Balans VL '!Z14*100),0,B30*3.6/1000000/'E Balans VL '!Z14*100)</f>
        <v>5.9717445528484694E-2</v>
      </c>
      <c r="D30" s="240" t="s">
        <v>703</v>
      </c>
      <c r="F30" s="6"/>
    </row>
    <row r="31" spans="1:18">
      <c r="A31" s="234" t="s">
        <v>54</v>
      </c>
      <c r="B31" s="34">
        <f>IF(ISERROR(TER_onderwijs_ele_kWh/1000),0,TER_onderwijs_ele_kWh/1000)</f>
        <v>60.413762570229004</v>
      </c>
      <c r="C31" s="40">
        <f>IF(ISERROR(B31*3.6/1000000/'E Balans VL '!Z11*100),0,B31*3.6/1000000/'E Balans VL '!Z11*100)</f>
        <v>1.2756444222529069E-2</v>
      </c>
      <c r="D31" s="240" t="s">
        <v>703</v>
      </c>
    </row>
    <row r="32" spans="1:18">
      <c r="A32" s="234" t="s">
        <v>259</v>
      </c>
      <c r="B32" s="34">
        <f>IF(ISERROR(TER_rest_ele_kWh/1000),0,TER_rest_ele_kWh/1000)</f>
        <v>3258.1626470871897</v>
      </c>
      <c r="C32" s="40">
        <f>IF(ISERROR(B32*3.6/1000000/'E Balans VL '!Z8*100),0,B32*3.6/1000000/'E Balans VL '!Z8*100)</f>
        <v>2.6840522544857342E-2</v>
      </c>
      <c r="D32" s="240" t="s">
        <v>703</v>
      </c>
    </row>
    <row r="33" spans="1:4">
      <c r="A33" s="243"/>
      <c r="B33" s="183"/>
      <c r="C33" s="183"/>
      <c r="D33" s="244"/>
    </row>
    <row r="34" spans="1:4">
      <c r="A34" s="33"/>
      <c r="B34" s="33"/>
      <c r="C34" s="33"/>
    </row>
    <row r="35" spans="1:4">
      <c r="A35" s="196" t="s">
        <v>493</v>
      </c>
      <c r="B35" s="206"/>
      <c r="C35" s="206"/>
      <c r="D35" s="228"/>
    </row>
    <row r="36" spans="1:4">
      <c r="A36" s="239"/>
      <c r="B36" s="33"/>
      <c r="C36" s="33"/>
      <c r="D36" s="235"/>
    </row>
    <row r="37" spans="1:4">
      <c r="A37" s="245"/>
      <c r="B37" s="246"/>
      <c r="C37" s="227" t="s">
        <v>378</v>
      </c>
      <c r="D37" s="247" t="s">
        <v>181</v>
      </c>
    </row>
    <row r="38" spans="1:4">
      <c r="A38" s="174" t="s">
        <v>265</v>
      </c>
      <c r="B38" s="319">
        <f>aantalZB_NB_ander+aantalZB_NB_ander_met_kantoor+aantalZB_NB_kantoor+aantalZB_NB_school+ZB_NHH_bestaande_bouw+aantalZB_NB_NIET_RESIDENTIEEL_EPN</f>
        <v>0</v>
      </c>
      <c r="C38" s="44"/>
      <c r="D38" s="235"/>
    </row>
    <row r="39" spans="1:4">
      <c r="A39" s="174" t="s">
        <v>490</v>
      </c>
      <c r="B39" s="315">
        <v>4.2</v>
      </c>
      <c r="C39" s="44"/>
      <c r="D39" s="309" t="s">
        <v>524</v>
      </c>
    </row>
    <row r="40" spans="1:4">
      <c r="A40" s="6" t="s">
        <v>491</v>
      </c>
      <c r="B40" s="320">
        <f>1.34/3.6</f>
        <v>0.37222222222222223</v>
      </c>
      <c r="C40" s="44" t="s">
        <v>217</v>
      </c>
      <c r="D40" s="309" t="s">
        <v>524</v>
      </c>
    </row>
    <row r="41" spans="1:4">
      <c r="A41" s="243"/>
      <c r="B41" s="183"/>
      <c r="C41" s="183"/>
      <c r="D41" s="244"/>
    </row>
    <row r="43" spans="1:4">
      <c r="A43" s="197" t="s">
        <v>494</v>
      </c>
      <c r="B43" s="206"/>
      <c r="C43" s="206"/>
      <c r="D43" s="228"/>
    </row>
    <row r="44" spans="1:4">
      <c r="A44" s="233"/>
      <c r="B44" s="33"/>
      <c r="C44" s="33"/>
      <c r="D44" s="235"/>
    </row>
    <row r="45" spans="1:4">
      <c r="A45" s="245"/>
      <c r="B45" s="246"/>
      <c r="C45" s="227" t="s">
        <v>378</v>
      </c>
      <c r="D45" s="247" t="s">
        <v>181</v>
      </c>
    </row>
    <row r="46" spans="1:4">
      <c r="A46" s="174" t="s">
        <v>265</v>
      </c>
      <c r="B46" s="540">
        <f>aantalWP_NB_NIET_RESIDENTIEEL_EPN+aantalWP_NB_ander+antalWP_NB_ander_met_kantoor+aantalWP_NB_kantoor+aantalWP_NB_school+WP_NHH_bestaande_bouw</f>
        <v>1</v>
      </c>
      <c r="C46" s="33"/>
      <c r="D46" s="235"/>
    </row>
    <row r="47" spans="1:4">
      <c r="A47" s="174" t="s">
        <v>460</v>
      </c>
      <c r="B47" s="541">
        <v>13</v>
      </c>
      <c r="C47" s="33" t="s">
        <v>262</v>
      </c>
      <c r="D47" s="309" t="s">
        <v>524</v>
      </c>
    </row>
    <row r="48" spans="1:4">
      <c r="A48" s="174" t="s">
        <v>461</v>
      </c>
      <c r="B48" s="541">
        <v>2000</v>
      </c>
      <c r="C48" s="33" t="s">
        <v>264</v>
      </c>
      <c r="D48" s="309" t="s">
        <v>524</v>
      </c>
    </row>
    <row r="49" spans="1:4">
      <c r="A49" s="174" t="s">
        <v>421</v>
      </c>
      <c r="B49" s="541">
        <v>3.75</v>
      </c>
      <c r="C49" s="33"/>
      <c r="D49" s="309" t="s">
        <v>524</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6" customFormat="1" ht="17.25" thickTop="1" thickBot="1">
      <c r="A1" s="1203" t="s">
        <v>162</v>
      </c>
      <c r="B1" s="1204" t="s">
        <v>194</v>
      </c>
      <c r="C1" s="1205"/>
      <c r="D1" s="1205"/>
      <c r="E1" s="1205"/>
      <c r="F1" s="1205"/>
      <c r="G1" s="1205"/>
      <c r="H1" s="1205"/>
      <c r="I1" s="1205"/>
      <c r="J1" s="1205"/>
      <c r="K1" s="1205"/>
      <c r="L1" s="1205"/>
      <c r="M1" s="1205"/>
      <c r="N1" s="1205"/>
      <c r="O1" s="1205"/>
      <c r="P1" s="1205"/>
      <c r="R1" s="758"/>
    </row>
    <row r="2" spans="1:18" s="316" customFormat="1" ht="15.75" thickTop="1">
      <c r="A2" s="1203"/>
      <c r="B2" s="1206" t="s">
        <v>20</v>
      </c>
      <c r="C2" s="1206" t="s">
        <v>195</v>
      </c>
      <c r="D2" s="1208" t="s">
        <v>196</v>
      </c>
      <c r="E2" s="1209"/>
      <c r="F2" s="1209"/>
      <c r="G2" s="1209"/>
      <c r="H2" s="1209"/>
      <c r="I2" s="1209"/>
      <c r="J2" s="1209"/>
      <c r="K2" s="1210"/>
      <c r="L2" s="1208" t="s">
        <v>197</v>
      </c>
      <c r="M2" s="1209"/>
      <c r="N2" s="1209"/>
      <c r="O2" s="1209"/>
      <c r="P2" s="1210"/>
      <c r="R2" s="758"/>
    </row>
    <row r="3" spans="1:18" s="316" customFormat="1" ht="45">
      <c r="A3" s="1203"/>
      <c r="B3" s="1207"/>
      <c r="C3" s="1207"/>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c r="R3" s="758"/>
    </row>
    <row r="4" spans="1:18" ht="15.75">
      <c r="A4" s="14"/>
      <c r="B4" s="15"/>
      <c r="C4" s="15"/>
      <c r="D4" s="15"/>
      <c r="E4" s="15"/>
      <c r="F4" s="15"/>
      <c r="G4" s="15"/>
      <c r="H4" s="15"/>
      <c r="I4" s="15"/>
      <c r="J4" s="15"/>
      <c r="K4" s="15"/>
      <c r="L4" s="15"/>
      <c r="M4" s="15"/>
      <c r="N4" s="15"/>
      <c r="O4" s="15"/>
      <c r="P4" s="15"/>
      <c r="R4" s="6"/>
    </row>
    <row r="5" spans="1:18">
      <c r="A5" s="17" t="s">
        <v>268</v>
      </c>
      <c r="B5" s="31">
        <f>SUM(B6:B15)</f>
        <v>2987.416439965994</v>
      </c>
      <c r="C5" s="18">
        <f>IF(ISERROR('Eigen informatie GS &amp; warmtenet'!B59),0,'Eigen informatie GS &amp; warmtenet'!B59)</f>
        <v>0</v>
      </c>
      <c r="D5" s="31">
        <f>SUM(D6:D15)</f>
        <v>1770.3996782221673</v>
      </c>
      <c r="E5" s="18">
        <f>SUM(E6:E15)</f>
        <v>23.454957322128983</v>
      </c>
      <c r="F5" s="18">
        <f>SUM(F6:F15)</f>
        <v>1242.1868126634395</v>
      </c>
      <c r="G5" s="19"/>
      <c r="H5" s="18"/>
      <c r="I5" s="18"/>
      <c r="J5" s="18">
        <f>SUM(J6:J15)</f>
        <v>9.1461013792486483</v>
      </c>
      <c r="K5" s="18"/>
      <c r="L5" s="18"/>
      <c r="M5" s="18"/>
      <c r="N5" s="18">
        <f>SUM(N6:N15)</f>
        <v>133.79718413308512</v>
      </c>
      <c r="O5" s="18">
        <f>B43*B44*B45</f>
        <v>0</v>
      </c>
      <c r="P5" s="18">
        <f>B51*B52*B53/1000-B51*B52*B53/1000/B54</f>
        <v>0</v>
      </c>
      <c r="R5" s="33"/>
    </row>
    <row r="6" spans="1:18">
      <c r="A6" s="6" t="s">
        <v>34</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37</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35</v>
      </c>
      <c r="B8" s="38">
        <f t="shared" si="0"/>
        <v>157.71499821609299</v>
      </c>
      <c r="C8" s="34"/>
      <c r="D8" s="38">
        <f>IF( ISERROR(IND_metaal_Gas_kWH/1000),0,IND_metaal_Gas_kWH/1000)*0.902</f>
        <v>67.28810466396429</v>
      </c>
      <c r="E8" s="34">
        <f>C30*'E Balans VL '!I18/100/3.6*1000000</f>
        <v>1.4362820665628009</v>
      </c>
      <c r="F8" s="34">
        <f>C30*'E Balans VL '!L18/100/3.6*1000000+C30*'E Balans VL '!N18/100/3.6*1000000</f>
        <v>20.801410556434924</v>
      </c>
      <c r="G8" s="35"/>
      <c r="H8" s="34"/>
      <c r="I8" s="34"/>
      <c r="J8" s="41">
        <f>C30*'E Balans VL '!D18/100/3.6*1000000+C30*'E Balans VL '!E18/100/3.6*1000000</f>
        <v>2.5862969768123398</v>
      </c>
      <c r="K8" s="34"/>
      <c r="L8" s="34"/>
      <c r="M8" s="34"/>
      <c r="N8" s="34">
        <f>C30*'E Balans VL '!Y18/100/3.6*1000000</f>
        <v>0.5420037967463851</v>
      </c>
      <c r="O8" s="34"/>
      <c r="P8" s="34"/>
      <c r="R8" s="33"/>
    </row>
    <row r="9" spans="1:18">
      <c r="A9" s="6" t="s">
        <v>32</v>
      </c>
      <c r="B9" s="38">
        <f t="shared" si="0"/>
        <v>1164.4070146188201</v>
      </c>
      <c r="C9" s="34"/>
      <c r="D9" s="38">
        <f>IF( ISERROR(IND_andere_gas_kWh/1000),0,IND_andere_gas_kWh/1000)*0.902</f>
        <v>981.89112889756166</v>
      </c>
      <c r="E9" s="34">
        <f>C31*'E Balans VL '!I19/100/3.6*1000000</f>
        <v>6.7304465507325411</v>
      </c>
      <c r="F9" s="34">
        <f>C31*'E Balans VL '!L19/100/3.6*1000000+C31*'E Balans VL '!N19/100/3.6*1000000</f>
        <v>926.34180917766412</v>
      </c>
      <c r="G9" s="35"/>
      <c r="H9" s="34"/>
      <c r="I9" s="34"/>
      <c r="J9" s="41">
        <f>C31*'E Balans VL '!D19/100/3.6*1000000+C31*'E Balans VL '!E19/100/3.6*1000000</f>
        <v>0.11013996971615825</v>
      </c>
      <c r="K9" s="34"/>
      <c r="L9" s="34"/>
      <c r="M9" s="34"/>
      <c r="N9" s="34">
        <f>C31*'E Balans VL '!Y19/100/3.6*1000000</f>
        <v>88.221452686492484</v>
      </c>
      <c r="O9" s="34"/>
      <c r="P9" s="34"/>
      <c r="R9" s="33"/>
    </row>
    <row r="10" spans="1:18">
      <c r="A10" s="6" t="s">
        <v>40</v>
      </c>
      <c r="B10" s="38">
        <f t="shared" si="0"/>
        <v>383.04167452839096</v>
      </c>
      <c r="C10" s="34"/>
      <c r="D10" s="38">
        <f>IF( ISERROR(IND_voed_gas_kWh/1000),0,IND_voed_gas_kWh/1000)*0.902</f>
        <v>168.03950339049837</v>
      </c>
      <c r="E10" s="34">
        <f>C32*'E Balans VL '!I20/100/3.6*1000000</f>
        <v>3.7663017555944891</v>
      </c>
      <c r="F10" s="34">
        <f>C32*'E Balans VL '!L20/100/3.6*1000000+C32*'E Balans VL '!N20/100/3.6*1000000</f>
        <v>42.541777663142589</v>
      </c>
      <c r="G10" s="35"/>
      <c r="H10" s="34"/>
      <c r="I10" s="34"/>
      <c r="J10" s="41">
        <f>C32*'E Balans VL '!D20/100/3.6*1000000+C32*'E Balans VL '!E20/100/3.6*1000000</f>
        <v>1.5097411297732353E-3</v>
      </c>
      <c r="K10" s="34"/>
      <c r="L10" s="34"/>
      <c r="M10" s="34"/>
      <c r="N10" s="34">
        <f>C32*'E Balans VL '!Y20/100/3.6*1000000</f>
        <v>5.6719461907736699</v>
      </c>
      <c r="O10" s="34"/>
      <c r="P10" s="34"/>
      <c r="R10" s="33"/>
    </row>
    <row r="11" spans="1:18">
      <c r="A11" s="6" t="s">
        <v>39</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36</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38</v>
      </c>
      <c r="B13" s="38">
        <f t="shared" si="0"/>
        <v>0</v>
      </c>
      <c r="C13" s="34"/>
      <c r="D13" s="38">
        <f>IF( ISERROR(IND_papier_gas_kWh/1000),0,IND_papier_gas_kWh/1000)*0.902</f>
        <v>0</v>
      </c>
      <c r="E13" s="34">
        <f>C35*'E Balans VL '!I23/100/3.6*1000000</f>
        <v>0</v>
      </c>
      <c r="F13" s="34">
        <f>C35*'E Balans VL '!L23/100/3.6*1000000+C35*'E Balans VL '!N23/100/3.6*1000000</f>
        <v>0</v>
      </c>
      <c r="G13" s="35"/>
      <c r="H13" s="34"/>
      <c r="I13" s="34"/>
      <c r="J13" s="41">
        <f>C35*'E Balans VL '!D23/100/3.6*1000000+C35*'E Balans VL '!E23/100/3.6*1000000</f>
        <v>0</v>
      </c>
      <c r="K13" s="34"/>
      <c r="L13" s="34"/>
      <c r="M13" s="34"/>
      <c r="N13" s="34">
        <f>C35*'E Balans VL '!Y23/100/3.6*1000000</f>
        <v>0</v>
      </c>
      <c r="O13" s="34"/>
      <c r="P13" s="34"/>
      <c r="R13" s="33"/>
    </row>
    <row r="14" spans="1:18">
      <c r="A14" s="6" t="s">
        <v>33</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269</v>
      </c>
      <c r="B15" s="38">
        <f t="shared" si="0"/>
        <v>1282.25275260269</v>
      </c>
      <c r="C15" s="34"/>
      <c r="D15" s="38">
        <f>IF( ISERROR(IND_rest_gas_kWh/1000),0,IND_rest_gas_kWh/1000)*0.902</f>
        <v>553.18094127014297</v>
      </c>
      <c r="E15" s="34">
        <f>C37*'E Balans VL '!I15/100/3.6*1000000</f>
        <v>11.521926949239154</v>
      </c>
      <c r="F15" s="34">
        <f>C37*'E Balans VL '!L15/100/3.6*1000000+C37*'E Balans VL '!N15/100/3.6*1000000</f>
        <v>252.50181526619772</v>
      </c>
      <c r="G15" s="35"/>
      <c r="H15" s="34"/>
      <c r="I15" s="34"/>
      <c r="J15" s="41">
        <f>C37*'E Balans VL '!D15/100/3.6*1000000+C37*'E Balans VL '!E15/100/3.6*1000000</f>
        <v>6.4481546915903767</v>
      </c>
      <c r="K15" s="34"/>
      <c r="L15" s="34"/>
      <c r="M15" s="34"/>
      <c r="N15" s="34">
        <f>C37*'E Balans VL '!Y15/100/3.6*1000000</f>
        <v>39.361781459072589</v>
      </c>
      <c r="O15" s="34"/>
      <c r="P15" s="34"/>
      <c r="R15" s="33"/>
    </row>
    <row r="16" spans="1:18">
      <c r="A16" s="17" t="s">
        <v>501</v>
      </c>
      <c r="B16" s="250">
        <f>'lokale energieproductie'!N37+'lokale energieproductie'!N30</f>
        <v>0</v>
      </c>
      <c r="C16" s="250">
        <f>'lokale energieproductie'!O37+'lokale energieproductie'!O30</f>
        <v>0</v>
      </c>
      <c r="D16" s="310">
        <f>('lokale energieproductie'!P30+'lokale energieproductie'!P37)*(-1)</f>
        <v>0</v>
      </c>
      <c r="E16" s="251"/>
      <c r="F16" s="310">
        <f>('lokale energieproductie'!S30+'lokale energieproductie'!S37)*(-1)</f>
        <v>0</v>
      </c>
      <c r="G16" s="252"/>
      <c r="H16" s="251"/>
      <c r="I16" s="251"/>
      <c r="J16" s="251"/>
      <c r="K16" s="251"/>
      <c r="L16" s="310">
        <f>('lokale energieproductie'!T30+'lokale energieproductie'!U30+'lokale energieproductie'!T37+'lokale energieproductie'!U37)*(-1)</f>
        <v>0</v>
      </c>
      <c r="M16" s="251"/>
      <c r="N16" s="310">
        <f>('lokale energieproductie'!Q30+'lokale energieproductie'!R30+'lokale energieproductie'!V30+'lokale energieproductie'!Q37+'lokale energieproductie'!R37+'lokale energieproductie'!V37)*(-1)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277</v>
      </c>
      <c r="B18" s="22">
        <f>B5+B16</f>
        <v>2987.416439965994</v>
      </c>
      <c r="C18" s="22">
        <f>C5+C16</f>
        <v>0</v>
      </c>
      <c r="D18" s="22">
        <f>MAX((D5+D16),0)</f>
        <v>1770.3996782221673</v>
      </c>
      <c r="E18" s="22">
        <f>MAX((E5+E16),0)</f>
        <v>23.454957322128983</v>
      </c>
      <c r="F18" s="22">
        <f>MAX((F5+F16),0)</f>
        <v>1242.1868126634395</v>
      </c>
      <c r="G18" s="22"/>
      <c r="H18" s="22"/>
      <c r="I18" s="22"/>
      <c r="J18" s="22">
        <f>MAX((J5+J16),0)</f>
        <v>9.1461013792486483</v>
      </c>
      <c r="K18" s="22"/>
      <c r="L18" s="22">
        <f>MAX((L5+L16),0)</f>
        <v>0</v>
      </c>
      <c r="M18" s="22"/>
      <c r="N18" s="22">
        <f>MAX((N5+N16),0)</f>
        <v>133.79718413308512</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213</v>
      </c>
      <c r="B20" s="26">
        <f ca="1">'EF ele_warmte'!B12</f>
        <v>0.20804957814374317</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212</v>
      </c>
      <c r="B22" s="24">
        <f ca="1">B18*B20</f>
        <v>621.53073007460807</v>
      </c>
      <c r="C22" s="24">
        <f ca="1">C18*C20</f>
        <v>0</v>
      </c>
      <c r="D22" s="24">
        <f>D18*D20</f>
        <v>357.6207350008778</v>
      </c>
      <c r="E22" s="24">
        <f>E18*E20</f>
        <v>5.3242753121232793</v>
      </c>
      <c r="F22" s="24">
        <f>F18*F20</f>
        <v>331.66387898113834</v>
      </c>
      <c r="G22" s="24"/>
      <c r="H22" s="24"/>
      <c r="I22" s="24"/>
      <c r="J22" s="24">
        <f>J18*J20</f>
        <v>3.2377198882540212</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500</v>
      </c>
      <c r="B25" s="206"/>
      <c r="C25" s="206"/>
      <c r="D25" s="228"/>
    </row>
    <row r="26" spans="1:18">
      <c r="A26" s="239"/>
      <c r="B26" s="33"/>
      <c r="C26" s="33"/>
      <c r="D26" s="240"/>
    </row>
    <row r="27" spans="1:18">
      <c r="A27" s="241"/>
      <c r="B27" s="227" t="s">
        <v>266</v>
      </c>
      <c r="C27" s="227" t="s">
        <v>267</v>
      </c>
      <c r="D27" s="242" t="s">
        <v>181</v>
      </c>
    </row>
    <row r="28" spans="1:18">
      <c r="A28" s="174" t="s">
        <v>34</v>
      </c>
      <c r="B28" s="38"/>
      <c r="C28" s="40"/>
      <c r="D28" s="240" t="s">
        <v>703</v>
      </c>
    </row>
    <row r="29" spans="1:18">
      <c r="A29" s="174" t="s">
        <v>37</v>
      </c>
      <c r="B29" s="38">
        <f>IF( ISERROR(IND_nonf_ele_kWh/1000),0,IND_nonf_ele_kWh/1000)</f>
        <v>0</v>
      </c>
      <c r="C29" s="40">
        <f>IF(ISERROR(B29*3.6/1000000/'E Balans VL '!Z17*100),0,B29*3.6/1000000/'E Balans VL '!Z17*100)</f>
        <v>0</v>
      </c>
      <c r="D29" s="240" t="s">
        <v>703</v>
      </c>
    </row>
    <row r="30" spans="1:18">
      <c r="A30" s="174" t="s">
        <v>35</v>
      </c>
      <c r="B30" s="38">
        <f>IF( ISERROR(IND_metaal_ele_kWh/1000),0,IND_metaal_ele_kWh/1000)</f>
        <v>157.71499821609299</v>
      </c>
      <c r="C30" s="40">
        <f>IF(ISERROR(B30*3.6/1000000/'E Balans VL '!Z18*100),0,B30*3.6/1000000/'E Balans VL '!Z18*100)</f>
        <v>8.7757850195809648E-3</v>
      </c>
      <c r="D30" s="240" t="s">
        <v>703</v>
      </c>
    </row>
    <row r="31" spans="1:18">
      <c r="A31" s="6" t="s">
        <v>32</v>
      </c>
      <c r="B31" s="38">
        <f>IF( ISERROR(IND_ander_ele_kWh/1000),0,IND_ander_ele_kWh/1000)</f>
        <v>1164.4070146188201</v>
      </c>
      <c r="C31" s="40">
        <f>IF(ISERROR(B31*3.6/1000000/'E Balans VL '!Z19*100),0,B31*3.6/1000000/'E Balans VL '!Z19*100)</f>
        <v>5.4130224024323506E-2</v>
      </c>
      <c r="D31" s="240" t="s">
        <v>703</v>
      </c>
    </row>
    <row r="32" spans="1:18">
      <c r="A32" s="174" t="s">
        <v>40</v>
      </c>
      <c r="B32" s="38">
        <f>IF( ISERROR(IND_voed_ele_kWh/1000),0,IND_voed_ele_kWh/1000)</f>
        <v>383.04167452839096</v>
      </c>
      <c r="C32" s="40">
        <f>IF(ISERROR(B32*3.6/1000000/'E Balans VL '!Z20*100),0,B32*3.6/1000000/'E Balans VL '!Z20*100)</f>
        <v>1.353974960915523E-2</v>
      </c>
      <c r="D32" s="240" t="s">
        <v>703</v>
      </c>
    </row>
    <row r="33" spans="1:5">
      <c r="A33" s="174" t="s">
        <v>39</v>
      </c>
      <c r="B33" s="38">
        <f>IF( ISERROR(IND_textiel_ele_kWh/1000),0,IND_textiel_ele_kWh/1000)</f>
        <v>0</v>
      </c>
      <c r="C33" s="40">
        <f>IF(ISERROR(B33*3.6/1000000/'E Balans VL '!Z21*100),0,B33*3.6/1000000/'E Balans VL '!Z21*100)</f>
        <v>0</v>
      </c>
      <c r="D33" s="240" t="s">
        <v>703</v>
      </c>
    </row>
    <row r="34" spans="1:5">
      <c r="A34" s="174" t="s">
        <v>36</v>
      </c>
      <c r="B34" s="38">
        <f>IF( ISERROR(IND_min_ele_kWh/1000),0,IND_min_ele_kWh/1000)</f>
        <v>0</v>
      </c>
      <c r="C34" s="40">
        <f>IF(ISERROR(B34*3.6/1000000/'E Balans VL '!Z22*100),0,B34*3.6/1000000/'E Balans VL '!Z22*100)</f>
        <v>0</v>
      </c>
      <c r="D34" s="240" t="s">
        <v>703</v>
      </c>
    </row>
    <row r="35" spans="1:5">
      <c r="A35" s="174" t="s">
        <v>38</v>
      </c>
      <c r="B35" s="38">
        <f>IF( ISERROR(IND_papier_ele_kWh/1000),0,IND_papier_ele_kWh/1000)</f>
        <v>0</v>
      </c>
      <c r="C35" s="40">
        <f>IF(ISERROR(B35*3.6/1000000/'E Balans VL '!Z22*100),0,B35*3.6/1000000/'E Balans VL '!Z22*100)</f>
        <v>0</v>
      </c>
      <c r="D35" s="240" t="s">
        <v>703</v>
      </c>
    </row>
    <row r="36" spans="1:5">
      <c r="A36" s="174" t="s">
        <v>33</v>
      </c>
      <c r="B36" s="38">
        <f>IF( ISERROR(IND_chemie_ele_kWh/1000),0,IND_chemie_ele_kWh/1000)</f>
        <v>0</v>
      </c>
      <c r="C36" s="40">
        <f>IF(ISERROR(B36*3.6/1000000/'E Balans VL '!Z24*100),0,B36*3.6/1000000/'E Balans VL '!Z24*100)</f>
        <v>0</v>
      </c>
      <c r="D36" s="240" t="s">
        <v>703</v>
      </c>
    </row>
    <row r="37" spans="1:5">
      <c r="A37" s="174" t="s">
        <v>269</v>
      </c>
      <c r="B37" s="38">
        <f>IF( ISERROR(IND_rest_ele_kWh/1000),0,IND_rest_ele_kWh/1000)</f>
        <v>1282.25275260269</v>
      </c>
      <c r="C37" s="40">
        <f>IF(ISERROR(B37*3.6/1000000/'E Balans VL '!Z15*100),0,B37*3.6/1000000/'E Balans VL '!Z15*100)</f>
        <v>9.682902455893325E-3</v>
      </c>
      <c r="D37" s="240" t="s">
        <v>703</v>
      </c>
    </row>
    <row r="38" spans="1:5">
      <c r="A38" s="243"/>
      <c r="B38" s="183"/>
      <c r="C38" s="183"/>
      <c r="D38" s="244"/>
    </row>
    <row r="39" spans="1:5">
      <c r="A39" s="234"/>
      <c r="B39" s="33"/>
      <c r="C39" s="33"/>
      <c r="D39" s="33"/>
      <c r="E39" s="33"/>
    </row>
    <row r="40" spans="1:5">
      <c r="A40" s="196" t="s">
        <v>493</v>
      </c>
      <c r="B40" s="206"/>
      <c r="C40" s="206"/>
      <c r="D40" s="228"/>
    </row>
    <row r="41" spans="1:5">
      <c r="A41" s="239"/>
      <c r="B41" s="33"/>
      <c r="C41" s="33"/>
      <c r="D41" s="235"/>
    </row>
    <row r="42" spans="1:5">
      <c r="A42" s="245"/>
      <c r="B42" s="246"/>
      <c r="C42" s="227" t="s">
        <v>378</v>
      </c>
      <c r="D42" s="247" t="s">
        <v>181</v>
      </c>
    </row>
    <row r="43" spans="1:5">
      <c r="A43" s="174" t="s">
        <v>265</v>
      </c>
      <c r="B43" s="319">
        <f>aantalZB_NB_industrie+aantalZB_NB_industrie_met_kantoor</f>
        <v>0</v>
      </c>
      <c r="C43" s="44"/>
      <c r="D43" s="235"/>
    </row>
    <row r="44" spans="1:5">
      <c r="A44" s="174" t="s">
        <v>490</v>
      </c>
      <c r="B44" s="315">
        <v>4.2</v>
      </c>
      <c r="C44" s="44"/>
      <c r="D44" s="309" t="s">
        <v>524</v>
      </c>
    </row>
    <row r="45" spans="1:5">
      <c r="A45" s="6" t="s">
        <v>491</v>
      </c>
      <c r="B45" s="320">
        <f>1.34/3.6</f>
        <v>0.37222222222222223</v>
      </c>
      <c r="C45" s="44" t="s">
        <v>217</v>
      </c>
      <c r="D45" s="309" t="s">
        <v>524</v>
      </c>
    </row>
    <row r="46" spans="1:5" s="33" customFormat="1">
      <c r="A46" s="178"/>
      <c r="B46" s="249"/>
      <c r="C46" s="183"/>
      <c r="D46" s="244"/>
    </row>
    <row r="48" spans="1:5">
      <c r="A48" s="197" t="s">
        <v>494</v>
      </c>
      <c r="B48" s="206"/>
      <c r="C48" s="206"/>
      <c r="D48" s="228"/>
    </row>
    <row r="49" spans="1:4">
      <c r="A49" s="233"/>
      <c r="B49" s="33"/>
      <c r="C49" s="33"/>
      <c r="D49" s="235"/>
    </row>
    <row r="50" spans="1:4">
      <c r="A50" s="245"/>
      <c r="B50" s="246"/>
      <c r="C50" s="227" t="s">
        <v>378</v>
      </c>
      <c r="D50" s="247" t="s">
        <v>181</v>
      </c>
    </row>
    <row r="51" spans="1:4">
      <c r="A51" s="174" t="s">
        <v>265</v>
      </c>
      <c r="B51" s="319">
        <f>aantalWP_NB_industrie+AantalWP_NB_industrie_met_kantoor</f>
        <v>0</v>
      </c>
      <c r="C51" s="33"/>
      <c r="D51" s="235"/>
    </row>
    <row r="52" spans="1:4">
      <c r="A52" s="174" t="s">
        <v>261</v>
      </c>
      <c r="B52" s="315">
        <v>13</v>
      </c>
      <c r="C52" s="33" t="s">
        <v>262</v>
      </c>
      <c r="D52" s="309" t="s">
        <v>524</v>
      </c>
    </row>
    <row r="53" spans="1:4">
      <c r="A53" s="174" t="s">
        <v>263</v>
      </c>
      <c r="B53" s="315">
        <v>2000</v>
      </c>
      <c r="C53" s="33" t="s">
        <v>264</v>
      </c>
      <c r="D53" s="309" t="s">
        <v>524</v>
      </c>
    </row>
    <row r="54" spans="1:4">
      <c r="A54" s="174" t="s">
        <v>421</v>
      </c>
      <c r="B54" s="315">
        <v>3.75</v>
      </c>
      <c r="C54" s="33"/>
      <c r="D54" s="309" t="s">
        <v>524</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6" customFormat="1" ht="17.25" thickTop="1" thickBot="1">
      <c r="A1" s="1203" t="s">
        <v>270</v>
      </c>
      <c r="B1" s="1204" t="s">
        <v>194</v>
      </c>
      <c r="C1" s="1205"/>
      <c r="D1" s="1205"/>
      <c r="E1" s="1205"/>
      <c r="F1" s="1205"/>
      <c r="G1" s="1205"/>
      <c r="H1" s="1205"/>
      <c r="I1" s="1205"/>
      <c r="J1" s="1205"/>
      <c r="K1" s="1205"/>
      <c r="L1" s="1205"/>
      <c r="M1" s="1205"/>
      <c r="N1" s="1205"/>
      <c r="O1" s="1205"/>
      <c r="P1" s="1205"/>
    </row>
    <row r="2" spans="1:18" s="316" customFormat="1" ht="15.75" thickTop="1">
      <c r="A2" s="1203"/>
      <c r="B2" s="1206" t="s">
        <v>20</v>
      </c>
      <c r="C2" s="1206" t="s">
        <v>195</v>
      </c>
      <c r="D2" s="1208" t="s">
        <v>196</v>
      </c>
      <c r="E2" s="1209"/>
      <c r="F2" s="1209"/>
      <c r="G2" s="1209"/>
      <c r="H2" s="1209"/>
      <c r="I2" s="1209"/>
      <c r="J2" s="1209"/>
      <c r="K2" s="1210"/>
      <c r="L2" s="1208" t="s">
        <v>197</v>
      </c>
      <c r="M2" s="1209"/>
      <c r="N2" s="1209"/>
      <c r="O2" s="1209"/>
      <c r="P2" s="1210"/>
    </row>
    <row r="3" spans="1:18" s="316" customFormat="1" ht="45">
      <c r="A3" s="1203"/>
      <c r="B3" s="1207"/>
      <c r="C3" s="1207"/>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8" ht="15.75">
      <c r="A4" s="14"/>
      <c r="B4" s="15"/>
      <c r="C4" s="15"/>
      <c r="D4" s="15"/>
      <c r="E4" s="15"/>
      <c r="F4" s="15"/>
      <c r="G4" s="15"/>
      <c r="H4" s="15"/>
      <c r="I4" s="15"/>
      <c r="J4" s="15"/>
      <c r="K4" s="15"/>
      <c r="L4" s="15"/>
      <c r="M4" s="15"/>
      <c r="N4" s="15"/>
      <c r="O4" s="15"/>
      <c r="P4" s="15"/>
      <c r="R4" s="6"/>
    </row>
    <row r="5" spans="1:18">
      <c r="A5" s="17" t="s">
        <v>271</v>
      </c>
      <c r="B5" s="31">
        <f>IF(ISERROR(SUM(LB_lb_ele_kWh,LB_rest_ele_kWh)/1000),0,SUM(LB_lb_ele_kWh,LB_rest_ele_kWh)/1000)</f>
        <v>3451.226300473867</v>
      </c>
      <c r="C5" s="18">
        <f>'Eigen informatie GS &amp; warmtenet'!B60</f>
        <v>0</v>
      </c>
      <c r="D5" s="31">
        <f>IF(ISERROR(SUM(LB_lb_gas_kWh,LB_rest_gas_kWh)/1000),0,SUM(LB_lb_gas_kWh,LB_rest_gas_kWh)/1000)*0.902</f>
        <v>2275.0944779232232</v>
      </c>
      <c r="E5" s="18">
        <f>B17*'E Balans VL '!I25/3.6*1000000/100</f>
        <v>32.512864147938942</v>
      </c>
      <c r="F5" s="18">
        <f>B17*('E Balans VL '!L25/3.6*1000000+'E Balans VL '!N25/3.6*1000000)/100</f>
        <v>11262.496779865982</v>
      </c>
      <c r="G5" s="19"/>
      <c r="H5" s="18"/>
      <c r="I5" s="18"/>
      <c r="J5" s="18">
        <f>('E Balans VL '!D25+'E Balans VL '!E25)/3.6*1000000*landbouw!B17/100</f>
        <v>426.93348013011831</v>
      </c>
      <c r="K5" s="18"/>
      <c r="L5" s="18">
        <f>L6*(-1)</f>
        <v>0</v>
      </c>
      <c r="M5" s="18"/>
      <c r="N5" s="18">
        <f>N6*(-1)</f>
        <v>0</v>
      </c>
      <c r="O5" s="18"/>
      <c r="P5" s="18"/>
      <c r="R5" s="33"/>
    </row>
    <row r="6" spans="1:18">
      <c r="A6" s="17" t="s">
        <v>501</v>
      </c>
      <c r="B6" s="18" t="s">
        <v>210</v>
      </c>
      <c r="C6" s="18">
        <f>'lokale energieproductie'!O39+'lokale energieproductie'!O32</f>
        <v>0</v>
      </c>
      <c r="D6" s="310">
        <f>('lokale energieproductie'!P32+'lokale energieproductie'!P39)*(-1)</f>
        <v>0</v>
      </c>
      <c r="E6" s="251"/>
      <c r="F6" s="310">
        <f>('lokale energieproductie'!S32+'lokale energieproductie'!S39)*(-1)</f>
        <v>0</v>
      </c>
      <c r="G6" s="252"/>
      <c r="H6" s="251"/>
      <c r="I6" s="251"/>
      <c r="J6" s="251"/>
      <c r="K6" s="251"/>
      <c r="L6" s="310">
        <f>('lokale energieproductie'!T32+'lokale energieproductie'!U32+'lokale energieproductie'!T39+'lokale energieproductie'!U39)*(-1)</f>
        <v>0</v>
      </c>
      <c r="M6" s="251"/>
      <c r="N6" s="310">
        <f>('lokale energieproductie'!V32+'lokale energieproductie'!R32+'lokale energieproductie'!Q32+'lokale energieproductie'!Q39+'lokale energieproductie'!R39+'lokale energieproductie'!V39)*(-1)</f>
        <v>0</v>
      </c>
      <c r="O6" s="251"/>
      <c r="P6" s="251"/>
      <c r="R6" s="33"/>
    </row>
    <row r="7" spans="1:18">
      <c r="A7" s="33"/>
      <c r="B7" s="30"/>
      <c r="C7" s="30"/>
      <c r="D7" s="253"/>
      <c r="E7" s="30"/>
      <c r="F7" s="30"/>
      <c r="G7" s="29"/>
      <c r="H7" s="30"/>
      <c r="I7" s="30"/>
      <c r="J7" s="30"/>
      <c r="K7" s="30"/>
      <c r="L7" s="30"/>
      <c r="M7" s="30"/>
      <c r="N7" s="30"/>
      <c r="O7" s="30"/>
      <c r="P7" s="30"/>
      <c r="R7" s="33"/>
    </row>
    <row r="8" spans="1:18">
      <c r="A8" s="21" t="s">
        <v>272</v>
      </c>
      <c r="B8" s="22">
        <f>B5</f>
        <v>3451.226300473867</v>
      </c>
      <c r="C8" s="22">
        <f>C5+C6</f>
        <v>0</v>
      </c>
      <c r="D8" s="22">
        <f>MAX((D5+D6),0)</f>
        <v>2275.0944779232232</v>
      </c>
      <c r="E8" s="22">
        <f>MAX((E5+E6),0)</f>
        <v>32.512864147938942</v>
      </c>
      <c r="F8" s="22">
        <f>MAX((F5+F6),0)</f>
        <v>11262.496779865982</v>
      </c>
      <c r="G8" s="22"/>
      <c r="H8" s="22"/>
      <c r="I8" s="22"/>
      <c r="J8" s="22">
        <f>MAX((J5+J6),0)</f>
        <v>426.93348013011831</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213</v>
      </c>
      <c r="B10" s="32">
        <f ca="1">'EF ele_warmte'!B12</f>
        <v>0.20804957814374317</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212</v>
      </c>
      <c r="B12" s="24">
        <f ca="1">B8*B10</f>
        <v>718.02617589217948</v>
      </c>
      <c r="C12" s="24">
        <f ca="1">C8*C10</f>
        <v>0</v>
      </c>
      <c r="D12" s="24">
        <f>D8*D10</f>
        <v>459.56908454049113</v>
      </c>
      <c r="E12" s="24">
        <f>E8*E10</f>
        <v>7.3804201615821396</v>
      </c>
      <c r="F12" s="24">
        <f>F8*F10</f>
        <v>3007.0866402242173</v>
      </c>
      <c r="G12" s="24"/>
      <c r="H12" s="24"/>
      <c r="I12" s="24"/>
      <c r="J12" s="24">
        <f>J8*J10</f>
        <v>151.13445196606187</v>
      </c>
      <c r="K12" s="24"/>
      <c r="L12" s="24">
        <f>L8*L10</f>
        <v>0</v>
      </c>
      <c r="M12" s="24">
        <f>M8*M10</f>
        <v>0</v>
      </c>
      <c r="N12" s="24">
        <f>N8*N10</f>
        <v>0</v>
      </c>
      <c r="O12" s="24"/>
      <c r="P12" s="24"/>
    </row>
    <row r="14" spans="1:18">
      <c r="A14" s="196" t="s">
        <v>507</v>
      </c>
      <c r="B14" s="206"/>
      <c r="C14" s="228"/>
    </row>
    <row r="15" spans="1:18">
      <c r="A15" s="239"/>
      <c r="B15" s="33"/>
      <c r="C15" s="240"/>
    </row>
    <row r="16" spans="1:18">
      <c r="A16" s="258"/>
      <c r="B16" s="43" t="s">
        <v>291</v>
      </c>
      <c r="C16" s="242" t="s">
        <v>181</v>
      </c>
    </row>
    <row r="17" spans="1:4">
      <c r="A17" s="259" t="s">
        <v>111</v>
      </c>
      <c r="B17" s="257">
        <f>IF(ISERROR(SUM(LB_lb_ele_kWh,LB_rest_ele_kWh)*3.6/1000000000/'E Balans VL '!Z26*100),0,SUM(LB_lb_ele_kWh,LB_rest_ele_kWh)*3.6/1000000000/'E Balans VL '!Z26*100)</f>
        <v>0.46724089225082116</v>
      </c>
      <c r="C17" s="240" t="s">
        <v>703</v>
      </c>
      <c r="D17" s="255"/>
    </row>
    <row r="18" spans="1:4">
      <c r="A18" s="243"/>
      <c r="B18" s="256"/>
      <c r="C18" s="244"/>
    </row>
    <row r="19" spans="1:4">
      <c r="A19" s="33"/>
      <c r="B19" s="49"/>
      <c r="C19" s="33"/>
    </row>
    <row r="20" spans="1:4">
      <c r="A20" s="33"/>
      <c r="B20" s="49"/>
      <c r="C20" s="33"/>
    </row>
    <row r="21" spans="1:4" ht="15.75" thickBot="1">
      <c r="B21" s="33"/>
    </row>
    <row r="22" spans="1:4" ht="15.75" customHeight="1">
      <c r="A22" s="1211" t="s">
        <v>302</v>
      </c>
      <c r="B22" s="1214" t="s">
        <v>303</v>
      </c>
      <c r="C22" s="1214" t="s">
        <v>506</v>
      </c>
    </row>
    <row r="23" spans="1:4">
      <c r="A23" s="1212"/>
      <c r="B23" s="1215"/>
      <c r="C23" s="1215"/>
    </row>
    <row r="24" spans="1:4" ht="15.75" thickBot="1">
      <c r="A24" s="1213"/>
      <c r="B24" s="1216"/>
      <c r="C24" s="1216"/>
    </row>
    <row r="25" spans="1:4" ht="15.75">
      <c r="A25" s="14"/>
      <c r="B25" s="33"/>
    </row>
    <row r="26" spans="1:4">
      <c r="A26" s="42" t="s">
        <v>273</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1004.67075685306</v>
      </c>
      <c r="C26" s="250">
        <f>B26*'GWP N2O_CH4'!B5</f>
        <v>21098.08589391426</v>
      </c>
      <c r="D26" s="51"/>
    </row>
    <row r="27" spans="1:4">
      <c r="A27" s="42" t="s">
        <v>274</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276.42441415241899</v>
      </c>
      <c r="C27" s="250">
        <f>B27*'GWP N2O_CH4'!B5</f>
        <v>5804.9126972007989</v>
      </c>
      <c r="D27" s="51"/>
    </row>
    <row r="28" spans="1:4">
      <c r="A28" s="42" t="s">
        <v>275</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14.244686329232961</v>
      </c>
      <c r="C28" s="250">
        <f>B28*'GWP N2O_CH4'!B4</f>
        <v>4415.8527620622181</v>
      </c>
      <c r="D28" s="51"/>
    </row>
    <row r="29" spans="1:4">
      <c r="A29" s="42" t="s">
        <v>276</v>
      </c>
      <c r="B29" s="250">
        <f>B34*'ha_N2O bodem landbouw'!B4</f>
        <v>36.908821603908002</v>
      </c>
      <c r="C29" s="250">
        <f>B29*'GWP N2O_CH4'!B4</f>
        <v>11441.734697211481</v>
      </c>
      <c r="D29" s="51"/>
    </row>
    <row r="31" spans="1:4">
      <c r="A31" s="196" t="s">
        <v>508</v>
      </c>
      <c r="B31" s="206"/>
      <c r="C31" s="228"/>
    </row>
    <row r="32" spans="1:4">
      <c r="A32" s="239"/>
      <c r="B32" s="33"/>
      <c r="C32" s="240"/>
    </row>
    <row r="33" spans="1:5">
      <c r="A33" s="241"/>
      <c r="B33" s="227" t="s">
        <v>642</v>
      </c>
      <c r="C33" s="242" t="s">
        <v>181</v>
      </c>
    </row>
    <row r="34" spans="1:5">
      <c r="A34" s="260" t="s">
        <v>111</v>
      </c>
      <c r="B34" s="36">
        <f>IF(ISERROR(aantalCultuurgronden/'ha_N2O bodem landbouw'!B5),0,aantalCultuurgronden/'ha_N2O bodem landbouw'!B5)</f>
        <v>9.9642199335023812E-3</v>
      </c>
      <c r="C34" s="261" t="s">
        <v>641</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34" zoomScale="85" zoomScaleNormal="85" workbookViewId="0">
      <selection activeCell="E35" sqref="E35"/>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6" customFormat="1" ht="17.25" thickTop="1" thickBot="1">
      <c r="A1" s="1203" t="s">
        <v>510</v>
      </c>
      <c r="B1" s="1204" t="s">
        <v>563</v>
      </c>
      <c r="C1" s="1205"/>
      <c r="D1" s="1205"/>
      <c r="E1" s="1205"/>
      <c r="F1" s="1205"/>
      <c r="G1" s="1205"/>
      <c r="H1" s="1205"/>
      <c r="I1" s="1205"/>
      <c r="J1" s="1205"/>
      <c r="K1" s="1205"/>
      <c r="L1" s="1205"/>
      <c r="M1" s="1205"/>
      <c r="N1" s="1205"/>
      <c r="O1" s="1205"/>
      <c r="P1" s="1205"/>
    </row>
    <row r="2" spans="1:18" s="316" customFormat="1" ht="15.75" thickTop="1">
      <c r="A2" s="1203"/>
      <c r="B2" s="1206" t="s">
        <v>20</v>
      </c>
      <c r="C2" s="1206" t="s">
        <v>195</v>
      </c>
      <c r="D2" s="1208" t="s">
        <v>196</v>
      </c>
      <c r="E2" s="1209"/>
      <c r="F2" s="1209"/>
      <c r="G2" s="1209"/>
      <c r="H2" s="1209"/>
      <c r="I2" s="1209"/>
      <c r="J2" s="1209"/>
      <c r="K2" s="1210"/>
      <c r="L2" s="1208" t="s">
        <v>197</v>
      </c>
      <c r="M2" s="1209"/>
      <c r="N2" s="1209"/>
      <c r="O2" s="1209"/>
      <c r="P2" s="1210"/>
    </row>
    <row r="3" spans="1:18" s="316" customFormat="1" ht="45">
      <c r="A3" s="1203"/>
      <c r="B3" s="1207"/>
      <c r="C3" s="1207"/>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8">
      <c r="C4" s="16"/>
    </row>
    <row r="5" spans="1:18" s="8" customFormat="1">
      <c r="A5" s="287" t="s">
        <v>328</v>
      </c>
      <c r="B5" s="428">
        <f>SUM(B6:B11)</f>
        <v>1.206173510939803E-5</v>
      </c>
      <c r="C5" s="443" t="s">
        <v>210</v>
      </c>
      <c r="D5" s="428">
        <f>SUM(D6:D11)</f>
        <v>2.8973778559609572E-5</v>
      </c>
      <c r="E5" s="428">
        <f>SUM(E6:E11)</f>
        <v>1.8283641992266548E-3</v>
      </c>
      <c r="F5" s="441" t="s">
        <v>210</v>
      </c>
      <c r="G5" s="428">
        <f>SUM(G6:G11)</f>
        <v>0.44398401609391308</v>
      </c>
      <c r="H5" s="428">
        <f>SUM(H6:H11)</f>
        <v>7.3537386541280864E-2</v>
      </c>
      <c r="I5" s="443" t="s">
        <v>210</v>
      </c>
      <c r="J5" s="443" t="s">
        <v>210</v>
      </c>
      <c r="K5" s="443" t="s">
        <v>210</v>
      </c>
      <c r="L5" s="443" t="s">
        <v>210</v>
      </c>
      <c r="M5" s="428">
        <f>SUM(M6:M11)</f>
        <v>2.3123771452148324E-2</v>
      </c>
      <c r="N5" s="443" t="s">
        <v>210</v>
      </c>
      <c r="O5" s="443" t="s">
        <v>210</v>
      </c>
      <c r="P5" s="444" t="s">
        <v>210</v>
      </c>
    </row>
    <row r="6" spans="1:18">
      <c r="A6" s="265" t="s">
        <v>761</v>
      </c>
      <c r="B6" s="429">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8.8226058359254903E-6</v>
      </c>
      <c r="C6" s="429"/>
      <c r="D6" s="429">
        <f>vkm_GW_PW*SUMIFS(TableVerdeelsleutelVkm[CNG],TableVerdeelsleutelVkm[Voertuigtype],"Lichte voertuigen")*SUMIFS(TableECFTransport[EnergieConsumptieFactor (PJ per km)],TableECFTransport[Index],CONCATENATE($A6,"_CNG_CNG"))</f>
        <v>1.7850449858655315E-5</v>
      </c>
      <c r="E6" s="431">
        <f>vkm_GW_PW*SUMIFS(TableVerdeelsleutelVkm[LPG],TableVerdeelsleutelVkm[Voertuigtype],"Lichte voertuigen")*SUMIFS(TableECFTransport[EnergieConsumptieFactor (PJ per km)],TableECFTransport[Index],CONCATENATE($A6,"_LPG_LPG"))</f>
        <v>1.1524134924961581E-3</v>
      </c>
      <c r="F6" s="431"/>
      <c r="G6" s="429">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0.18401833129014245</v>
      </c>
      <c r="H6" s="429">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4.6111709049869186E-2</v>
      </c>
      <c r="I6" s="429"/>
      <c r="J6" s="429"/>
      <c r="K6" s="429"/>
      <c r="L6" s="429"/>
      <c r="M6" s="429">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1.0300196802173246E-2</v>
      </c>
      <c r="N6" s="429"/>
      <c r="O6" s="429"/>
      <c r="P6" s="430"/>
    </row>
    <row r="7" spans="1:18">
      <c r="A7" s="265" t="s">
        <v>762</v>
      </c>
      <c r="B7" s="429">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9"/>
      <c r="D7" s="431">
        <f>vkm_GW_ZV*SUMIFS(TableVerdeelsleutelVkm[CNG],TableVerdeelsleutelVkm[Voertuigtype],"Zware voertuigen")*SUMIFS(TableECFTransport[EnergieConsumptieFactor (PJ per km)],TableECFTransport[Index],CONCATENATE($A7,"_CNG_CNG"))</f>
        <v>0</v>
      </c>
      <c r="E7" s="431">
        <f>vkm_GW_ZV*SUMIFS(TableVerdeelsleutelVkm[LPG],TableVerdeelsleutelVkm[Voertuigtype],"Zware voertuigen")*SUMIFS(TableECFTransport[EnergieConsumptieFactor (PJ per km)],TableECFTransport[Index],CONCATENATE($A7,"_LPG_LPG"))</f>
        <v>0</v>
      </c>
      <c r="F7" s="431"/>
      <c r="G7" s="429">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0.12078597862202979</v>
      </c>
      <c r="H7" s="889">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3.3036997193698609E-6</v>
      </c>
      <c r="I7" s="429"/>
      <c r="J7" s="429"/>
      <c r="K7" s="429"/>
      <c r="L7" s="429"/>
      <c r="M7" s="429">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5.3745848892234761E-3</v>
      </c>
      <c r="N7" s="429"/>
      <c r="O7" s="429"/>
      <c r="P7" s="430"/>
    </row>
    <row r="8" spans="1:18">
      <c r="A8" s="265" t="s">
        <v>763</v>
      </c>
      <c r="B8" s="429">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3.2391292734725396E-6</v>
      </c>
      <c r="C8" s="429"/>
      <c r="D8" s="431">
        <f>vkm_NGW_PW*SUMIFS(TableVerdeelsleutelVkm[CNG],TableVerdeelsleutelVkm[Voertuigtype],"Lichte voertuigen")*SUMIFS(TableECFTransport[EnergieConsumptieFactor (PJ per km)],TableECFTransport[Index],CONCATENATE($A8,"_CNG_CNG"))</f>
        <v>1.1123328700954257E-5</v>
      </c>
      <c r="E8" s="431">
        <f>vkm_NGW_PW*SUMIFS(TableVerdeelsleutelVkm[LPG],TableVerdeelsleutelVkm[Voertuigtype],"Lichte voertuigen")*SUMIFS(TableECFTransport[EnergieConsumptieFactor (PJ per km)],TableECFTransport[Index],CONCATENATE($A8,"_LPG_LPG"))</f>
        <v>6.7595070673049664E-4</v>
      </c>
      <c r="F8" s="431"/>
      <c r="G8" s="429">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0.10275313779786679</v>
      </c>
      <c r="H8" s="889">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2.7421216762548647E-2</v>
      </c>
      <c r="I8" s="429"/>
      <c r="J8" s="429"/>
      <c r="K8" s="429"/>
      <c r="L8" s="429"/>
      <c r="M8" s="429">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5.8281180721902678E-3</v>
      </c>
      <c r="N8" s="429"/>
      <c r="O8" s="429"/>
      <c r="P8" s="430"/>
    </row>
    <row r="9" spans="1:18">
      <c r="A9" s="265" t="s">
        <v>764</v>
      </c>
      <c r="B9" s="429">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9"/>
      <c r="D9" s="431">
        <f>vkm_NGW_ZV*SUMIFS(TableVerdeelsleutelVkm[CNG],TableVerdeelsleutelVkm[Voertuigtype],"Zware voertuigen")*SUMIFS(TableECFTransport[EnergieConsumptieFactor (PJ per km)],TableECFTransport[Index],CONCATENATE($A9,"_CNG_CNG"))</f>
        <v>0</v>
      </c>
      <c r="E9" s="431">
        <f>vkm_NGW_ZV*SUMIFS(TableVerdeelsleutelVkm[LPG],TableVerdeelsleutelVkm[Voertuigtype],"Zware voertuigen")*SUMIFS(TableECFTransport[EnergieConsumptieFactor (PJ per km)],TableECFTransport[Index],CONCATENATE($A9,"_LPG_LPG"))</f>
        <v>0</v>
      </c>
      <c r="F9" s="431"/>
      <c r="G9" s="429">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3.6426568383874085E-2</v>
      </c>
      <c r="H9" s="889">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1.1570291436601265E-6</v>
      </c>
      <c r="I9" s="429"/>
      <c r="J9" s="429"/>
      <c r="K9" s="429"/>
      <c r="L9" s="429"/>
      <c r="M9" s="429">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1.620871688561333E-3</v>
      </c>
      <c r="N9" s="429"/>
      <c r="O9" s="429"/>
      <c r="P9" s="430"/>
    </row>
    <row r="10" spans="1:18">
      <c r="A10" s="265" t="s">
        <v>765</v>
      </c>
      <c r="B10" s="429">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9"/>
      <c r="D10" s="431">
        <f>vkm_SW_PW*SUMIFS(TableVerdeelsleutelVkm[CNG],TableVerdeelsleutelVkm[Voertuigtype],"Lichte voertuigen")*SUMIFS(TableECFTransport[EnergieConsumptieFactor (PJ per km)],TableECFTransport[Index],CONCATENATE($A10,"_CNG_CNG"))</f>
        <v>0</v>
      </c>
      <c r="E10" s="431">
        <f>vkm_SW_PW*SUMIFS(TableVerdeelsleutelVkm[LPG],TableVerdeelsleutelVkm[Voertuigtype],"Lichte voertuigen")*SUMIFS(TableECFTransport[EnergieConsumptieFactor (PJ per km)],TableECFTransport[Index],CONCATENATE($A10,"_LPG_LPG"))</f>
        <v>0</v>
      </c>
      <c r="F10" s="431"/>
      <c r="G10" s="429">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89">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9"/>
      <c r="J10" s="429"/>
      <c r="K10" s="429"/>
      <c r="L10" s="429"/>
      <c r="M10" s="429">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9"/>
      <c r="O10" s="429"/>
      <c r="P10" s="430"/>
    </row>
    <row r="11" spans="1:18">
      <c r="A11" s="4" t="s">
        <v>766</v>
      </c>
      <c r="B11" s="432">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32"/>
      <c r="D11" s="433">
        <f>vkm_SW_ZV*SUMIFS(TableVerdeelsleutelVkm[CNG],TableVerdeelsleutelVkm[Voertuigtype],"Zware voertuigen")*SUMIFS(TableECFTransport[EnergieConsumptieFactor (PJ per km)],TableECFTransport[Index],CONCATENATE($A11,"_CNG_CNG"))</f>
        <v>0</v>
      </c>
      <c r="E11" s="433">
        <f>vkm_SW_ZV*SUMIFS(TableVerdeelsleutelVkm[LPG],TableVerdeelsleutelVkm[Voertuigtype],"Zware voertuigen")*SUMIFS(TableECFTransport[EnergieConsumptieFactor (PJ per km)],TableECFTransport[Index],CONCATENATE($A11,"_LPG_LPG"))</f>
        <v>0</v>
      </c>
      <c r="F11" s="433"/>
      <c r="G11" s="432">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90">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32"/>
      <c r="J11" s="432"/>
      <c r="K11" s="432"/>
      <c r="L11" s="432"/>
      <c r="M11" s="432">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32"/>
      <c r="O11" s="432"/>
      <c r="P11" s="434"/>
    </row>
    <row r="12" spans="1:18">
      <c r="A12" s="331" t="s">
        <v>561</v>
      </c>
      <c r="B12" s="442">
        <f>('Eigen vloot'!B27)*(-1)</f>
        <v>0</v>
      </c>
      <c r="C12" s="442"/>
      <c r="D12" s="442">
        <f>('Eigen vloot'!D27)*(-1)</f>
        <v>0</v>
      </c>
      <c r="E12" s="442">
        <f>('Eigen vloot'!E27)*(-1)</f>
        <v>0</v>
      </c>
      <c r="F12" s="435"/>
      <c r="G12" s="442">
        <f>('Eigen vloot'!G27)*(-1)</f>
        <v>0</v>
      </c>
      <c r="H12" s="442">
        <f>('Eigen vloot'!H27)*(-1)</f>
        <v>0</v>
      </c>
      <c r="I12" s="442"/>
      <c r="J12" s="442"/>
      <c r="K12" s="442"/>
      <c r="L12" s="442"/>
      <c r="M12" s="442">
        <f>('Eigen vloot'!M27)*(-1)</f>
        <v>0</v>
      </c>
      <c r="N12" s="442"/>
      <c r="O12" s="442"/>
      <c r="P12" s="445"/>
    </row>
    <row r="13" spans="1:18">
      <c r="B13" s="12"/>
      <c r="C13" s="56"/>
      <c r="D13" s="56"/>
      <c r="E13" s="56"/>
      <c r="F13" s="56"/>
      <c r="G13" s="12"/>
      <c r="H13" s="12"/>
      <c r="I13" s="11"/>
      <c r="J13" s="12"/>
      <c r="K13" s="12"/>
      <c r="L13" s="12"/>
      <c r="M13" s="12"/>
      <c r="N13" s="12"/>
      <c r="O13" s="12"/>
      <c r="P13" s="12"/>
    </row>
    <row r="14" spans="1:18" s="16" customFormat="1">
      <c r="A14" s="21" t="s">
        <v>337</v>
      </c>
      <c r="B14" s="22">
        <f>((B5)*10^9/3600)+B12</f>
        <v>3.3504819748327859</v>
      </c>
      <c r="C14" s="22"/>
      <c r="D14" s="22">
        <f t="shared" ref="D14:M14" si="0">((D5)*10^9/3600)+D12</f>
        <v>8.0482718221137706</v>
      </c>
      <c r="E14" s="22">
        <f t="shared" si="0"/>
        <v>507.87894422962637</v>
      </c>
      <c r="F14" s="22"/>
      <c r="G14" s="22">
        <f t="shared" si="0"/>
        <v>123328.8933594203</v>
      </c>
      <c r="H14" s="22">
        <f t="shared" si="0"/>
        <v>20427.051817022464</v>
      </c>
      <c r="I14" s="22"/>
      <c r="J14" s="22"/>
      <c r="K14" s="22"/>
      <c r="L14" s="22"/>
      <c r="M14" s="22">
        <f t="shared" si="0"/>
        <v>6423.2698478189786</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213</v>
      </c>
      <c r="B16" s="57">
        <f ca="1">'EF ele_warmte'!B12</f>
        <v>0.20804957814374317</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339</v>
      </c>
      <c r="B18" s="24">
        <f ca="1">B14*B16</f>
        <v>0.6970663614421766</v>
      </c>
      <c r="C18" s="24"/>
      <c r="D18" s="24">
        <f t="shared" ref="D18:M18" si="1">D14*D16</f>
        <v>1.6257509080669819</v>
      </c>
      <c r="E18" s="24">
        <f t="shared" si="1"/>
        <v>115.28852034012519</v>
      </c>
      <c r="F18" s="24"/>
      <c r="G18" s="24">
        <f t="shared" si="1"/>
        <v>32928.814526965223</v>
      </c>
      <c r="H18" s="24">
        <f t="shared" si="1"/>
        <v>5086.3359024385936</v>
      </c>
      <c r="I18" s="24"/>
      <c r="J18" s="24"/>
      <c r="K18" s="24"/>
      <c r="L18" s="24"/>
      <c r="M18" s="24">
        <f t="shared" si="1"/>
        <v>0</v>
      </c>
      <c r="N18" s="24"/>
      <c r="O18" s="24"/>
      <c r="P18" s="24"/>
    </row>
    <row r="19" spans="1:18" s="16" customFormat="1">
      <c r="A19" s="43"/>
      <c r="B19" s="311"/>
      <c r="C19" s="55"/>
      <c r="D19" s="55"/>
      <c r="E19" s="55"/>
      <c r="F19" s="55"/>
      <c r="G19" s="55"/>
      <c r="H19" s="55"/>
      <c r="I19" s="55"/>
      <c r="J19" s="55"/>
      <c r="K19" s="55"/>
      <c r="L19" s="55"/>
      <c r="M19" s="55"/>
      <c r="N19" s="55"/>
      <c r="O19" s="55"/>
      <c r="P19" s="55"/>
      <c r="R19" s="33"/>
    </row>
    <row r="20" spans="1:18">
      <c r="A20" s="1"/>
      <c r="B20" s="1"/>
      <c r="E20" s="767"/>
    </row>
    <row r="21" spans="1:18">
      <c r="A21" s="900" t="s">
        <v>512</v>
      </c>
      <c r="B21" s="901"/>
      <c r="C21" s="902"/>
      <c r="D21" s="902"/>
      <c r="E21" s="902"/>
      <c r="F21" s="902"/>
      <c r="G21" s="902"/>
      <c r="H21" s="902"/>
      <c r="I21" s="902"/>
      <c r="J21" s="902"/>
      <c r="K21" s="902"/>
      <c r="L21" s="902"/>
      <c r="M21" s="902"/>
      <c r="N21" s="903"/>
    </row>
    <row r="22" spans="1:18">
      <c r="A22" s="263"/>
      <c r="B22" s="264"/>
      <c r="C22" s="44"/>
      <c r="D22" s="44"/>
      <c r="E22" s="44"/>
      <c r="F22" s="44"/>
      <c r="G22" s="44"/>
      <c r="H22" s="44"/>
      <c r="I22" s="44"/>
      <c r="J22" s="44"/>
      <c r="K22" s="44"/>
      <c r="L22" s="44"/>
      <c r="M22" s="44"/>
      <c r="N22" s="177"/>
    </row>
    <row r="23" spans="1:18">
      <c r="A23" s="270" t="s">
        <v>307</v>
      </c>
      <c r="B23" s="904" t="s">
        <v>308</v>
      </c>
      <c r="C23" s="904" t="s">
        <v>773</v>
      </c>
      <c r="D23" s="904" t="s">
        <v>774</v>
      </c>
      <c r="E23" s="904" t="s">
        <v>775</v>
      </c>
      <c r="F23" s="904" t="s">
        <v>729</v>
      </c>
      <c r="G23" s="904" t="s">
        <v>776</v>
      </c>
      <c r="H23" s="904" t="s">
        <v>777</v>
      </c>
      <c r="I23" s="904" t="s">
        <v>118</v>
      </c>
      <c r="J23" s="904" t="s">
        <v>778</v>
      </c>
      <c r="K23" s="904" t="s">
        <v>779</v>
      </c>
      <c r="L23" s="905" t="s">
        <v>780</v>
      </c>
      <c r="M23" s="130" t="s">
        <v>181</v>
      </c>
      <c r="N23" s="271" t="s">
        <v>315</v>
      </c>
    </row>
    <row r="24" spans="1:18">
      <c r="A24" s="33" t="s">
        <v>767</v>
      </c>
      <c r="B24" s="1049">
        <v>6.3372400000000003E-5</v>
      </c>
      <c r="C24" s="1049">
        <v>0.79560171000000002</v>
      </c>
      <c r="D24" s="1050"/>
      <c r="E24" s="1049"/>
      <c r="F24" s="1049"/>
      <c r="G24" s="1049">
        <v>9.43054E-5</v>
      </c>
      <c r="H24" s="1050"/>
      <c r="I24" s="1050">
        <v>4.6501609999999999E-3</v>
      </c>
      <c r="J24" s="1050">
        <v>0.19797316000000001</v>
      </c>
      <c r="K24" s="1050">
        <v>1.7115959999999999E-3</v>
      </c>
      <c r="L24" s="886"/>
      <c r="M24" s="1054" t="s">
        <v>934</v>
      </c>
      <c r="N24" s="888">
        <f>SUM(B24:K24)</f>
        <v>1.0000943047999999</v>
      </c>
    </row>
    <row r="25" spans="1:18">
      <c r="A25" s="33" t="s">
        <v>768</v>
      </c>
      <c r="B25" s="1050"/>
      <c r="C25" s="1049">
        <v>0.99995719999999999</v>
      </c>
      <c r="D25" s="1050"/>
      <c r="E25" s="1050"/>
      <c r="F25" s="1049"/>
      <c r="G25" s="1050"/>
      <c r="H25" s="1050"/>
      <c r="I25" s="1050"/>
      <c r="J25" s="1050">
        <v>4.2800399999999998E-5</v>
      </c>
      <c r="K25" s="1050"/>
      <c r="L25" s="886"/>
      <c r="M25" s="1054" t="s">
        <v>934</v>
      </c>
      <c r="N25" s="888">
        <f>SUM(B25:K25)</f>
        <v>1.0000000004</v>
      </c>
    </row>
    <row r="26" spans="1:18">
      <c r="A26" s="243"/>
      <c r="B26" s="183"/>
      <c r="C26" s="183"/>
      <c r="D26" s="183"/>
      <c r="E26" s="183"/>
      <c r="F26" s="183"/>
      <c r="G26" s="183"/>
      <c r="H26" s="183"/>
      <c r="I26" s="183"/>
      <c r="J26" s="183"/>
      <c r="K26" s="183"/>
      <c r="L26" s="181"/>
      <c r="M26" s="181"/>
      <c r="N26" s="179"/>
    </row>
    <row r="27" spans="1:18" s="44" customFormat="1"/>
    <row r="28" spans="1:18">
      <c r="A28" s="266" t="s">
        <v>513</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27" t="s">
        <v>201</v>
      </c>
      <c r="B30" s="276" t="s">
        <v>317</v>
      </c>
      <c r="C30" s="884">
        <v>2012</v>
      </c>
      <c r="D30" s="276" t="s">
        <v>318</v>
      </c>
      <c r="E30" s="246" t="s">
        <v>181</v>
      </c>
      <c r="F30" s="273"/>
      <c r="G30" s="246"/>
      <c r="H30" s="246"/>
      <c r="I30" s="246"/>
      <c r="J30" s="246"/>
      <c r="K30" s="246"/>
      <c r="L30" s="274"/>
    </row>
    <row r="31" spans="1:18">
      <c r="A31" s="277" t="s">
        <v>319</v>
      </c>
      <c r="B31" s="278"/>
      <c r="F31" s="54"/>
      <c r="G31" s="44"/>
      <c r="H31" s="44"/>
      <c r="I31" s="44"/>
      <c r="J31" s="44"/>
      <c r="K31" s="44"/>
      <c r="L31" s="177"/>
    </row>
    <row r="32" spans="1:18">
      <c r="A32" s="279" t="s">
        <v>320</v>
      </c>
      <c r="B32" s="280"/>
      <c r="F32" s="54"/>
      <c r="G32" s="44"/>
      <c r="H32" s="44"/>
      <c r="I32" s="44"/>
      <c r="J32" s="44"/>
      <c r="K32" s="44"/>
      <c r="L32" s="177"/>
    </row>
    <row r="33" spans="1:16">
      <c r="A33" s="279" t="s">
        <v>321</v>
      </c>
      <c r="B33" s="281"/>
      <c r="F33" s="54"/>
      <c r="G33" s="44"/>
      <c r="H33" s="44"/>
      <c r="I33" s="44"/>
      <c r="J33" s="44"/>
      <c r="K33" s="44"/>
      <c r="L33" s="177"/>
    </row>
    <row r="34" spans="1:16">
      <c r="A34" s="279" t="s">
        <v>322</v>
      </c>
      <c r="B34" s="281"/>
      <c r="F34" s="54"/>
      <c r="G34" s="44"/>
      <c r="H34" s="44"/>
      <c r="I34" s="44"/>
      <c r="J34" s="44"/>
      <c r="K34" s="44"/>
      <c r="L34" s="177"/>
    </row>
    <row r="35" spans="1:16">
      <c r="A35" s="279" t="s">
        <v>323</v>
      </c>
      <c r="B35" s="281"/>
      <c r="C35" s="283">
        <v>4.2599999999999999E-2</v>
      </c>
      <c r="D35" s="59"/>
      <c r="E35" s="1066" t="s">
        <v>936</v>
      </c>
      <c r="F35" s="54"/>
      <c r="G35" s="44"/>
      <c r="H35" s="44"/>
      <c r="I35" s="44"/>
      <c r="J35" s="44"/>
      <c r="K35" s="44"/>
      <c r="L35" s="177"/>
    </row>
    <row r="36" spans="1:16">
      <c r="A36" s="265"/>
      <c r="B36" s="44"/>
      <c r="C36" s="44"/>
      <c r="D36" s="44"/>
      <c r="E36" s="157"/>
      <c r="F36" s="54"/>
      <c r="G36" s="44"/>
      <c r="H36" s="44"/>
      <c r="I36" s="44"/>
      <c r="J36" s="44"/>
      <c r="K36" s="44"/>
      <c r="L36" s="177"/>
    </row>
    <row r="37" spans="1:16">
      <c r="A37" s="427" t="s">
        <v>119</v>
      </c>
      <c r="B37" s="276" t="s">
        <v>317</v>
      </c>
      <c r="C37" s="884">
        <v>2012</v>
      </c>
      <c r="D37" s="276" t="s">
        <v>318</v>
      </c>
      <c r="E37" s="906" t="s">
        <v>181</v>
      </c>
      <c r="F37" s="286"/>
      <c r="G37" s="270"/>
      <c r="H37" s="270"/>
      <c r="I37" s="270"/>
      <c r="J37" s="270"/>
      <c r="K37" s="270"/>
      <c r="L37" s="271"/>
    </row>
    <row r="38" spans="1:16">
      <c r="A38" s="279" t="s">
        <v>324</v>
      </c>
      <c r="B38" s="280"/>
      <c r="F38" s="282"/>
      <c r="G38" s="59"/>
      <c r="H38" s="59"/>
      <c r="I38" s="59"/>
      <c r="J38" s="59"/>
      <c r="K38" s="59"/>
      <c r="L38" s="284"/>
    </row>
    <row r="39" spans="1:16">
      <c r="A39" s="279" t="s">
        <v>325</v>
      </c>
      <c r="B39" s="280"/>
      <c r="F39" s="282"/>
      <c r="G39" s="59"/>
      <c r="H39" s="59"/>
      <c r="I39" s="59"/>
      <c r="J39" s="59"/>
      <c r="K39" s="59"/>
      <c r="L39" s="284"/>
    </row>
    <row r="40" spans="1:16">
      <c r="A40" s="279" t="s">
        <v>321</v>
      </c>
      <c r="B40" s="281"/>
      <c r="F40" s="59"/>
      <c r="G40" s="59"/>
      <c r="H40" s="59"/>
      <c r="I40" s="59"/>
      <c r="J40" s="59"/>
      <c r="K40" s="59"/>
      <c r="L40" s="284"/>
    </row>
    <row r="41" spans="1:16">
      <c r="A41" s="279" t="s">
        <v>326</v>
      </c>
      <c r="B41" s="281"/>
      <c r="F41" s="59"/>
      <c r="G41" s="59"/>
      <c r="H41" s="59"/>
      <c r="I41" s="59"/>
      <c r="J41" s="59"/>
      <c r="K41" s="59"/>
      <c r="L41" s="284"/>
    </row>
    <row r="42" spans="1:16">
      <c r="A42" s="279" t="s">
        <v>323</v>
      </c>
      <c r="B42" s="281"/>
      <c r="C42" s="283">
        <v>4.3799999999999999E-2</v>
      </c>
      <c r="D42" s="282"/>
      <c r="E42" t="str">
        <f>E35</f>
        <v>Data VMM maart 2020</v>
      </c>
      <c r="F42" s="59"/>
      <c r="G42" s="285"/>
      <c r="H42" s="59"/>
      <c r="I42" s="59"/>
      <c r="J42" s="59"/>
      <c r="K42" s="59"/>
      <c r="L42" s="284"/>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17" t="s">
        <v>511</v>
      </c>
      <c r="B46" s="1218" t="s">
        <v>562</v>
      </c>
      <c r="C46" s="1219"/>
      <c r="D46" s="1219"/>
      <c r="E46" s="1219"/>
      <c r="F46" s="1219"/>
      <c r="G46" s="1219"/>
      <c r="H46" s="1219"/>
      <c r="I46" s="1219"/>
      <c r="J46" s="1219"/>
      <c r="K46" s="1219"/>
      <c r="L46" s="1219"/>
      <c r="M46" s="1219"/>
      <c r="N46" s="1219"/>
      <c r="O46" s="1219"/>
      <c r="P46" s="1219"/>
    </row>
    <row r="47" spans="1:16" s="16" customFormat="1" ht="15.75" thickTop="1">
      <c r="A47" s="1217"/>
      <c r="B47" s="1220" t="s">
        <v>20</v>
      </c>
      <c r="C47" s="1220" t="s">
        <v>195</v>
      </c>
      <c r="D47" s="1222" t="s">
        <v>196</v>
      </c>
      <c r="E47" s="1223"/>
      <c r="F47" s="1223"/>
      <c r="G47" s="1223"/>
      <c r="H47" s="1223"/>
      <c r="I47" s="1223"/>
      <c r="J47" s="1223"/>
      <c r="K47" s="1224"/>
      <c r="L47" s="1222" t="s">
        <v>197</v>
      </c>
      <c r="M47" s="1223"/>
      <c r="N47" s="1223"/>
      <c r="O47" s="1223"/>
      <c r="P47" s="1224"/>
    </row>
    <row r="48" spans="1:16" s="16" customFormat="1" ht="45">
      <c r="A48" s="1217"/>
      <c r="B48" s="1221"/>
      <c r="C48" s="1221"/>
      <c r="D48" s="13" t="s">
        <v>198</v>
      </c>
      <c r="E48" s="13" t="s">
        <v>199</v>
      </c>
      <c r="F48" s="13" t="s">
        <v>200</v>
      </c>
      <c r="G48" s="13" t="s">
        <v>201</v>
      </c>
      <c r="H48" s="13" t="s">
        <v>119</v>
      </c>
      <c r="I48" s="13" t="s">
        <v>202</v>
      </c>
      <c r="J48" s="13" t="s">
        <v>203</v>
      </c>
      <c r="K48" s="13" t="s">
        <v>204</v>
      </c>
      <c r="L48" s="13" t="s">
        <v>205</v>
      </c>
      <c r="M48" s="13" t="s">
        <v>206</v>
      </c>
      <c r="N48" s="13" t="s">
        <v>207</v>
      </c>
      <c r="O48" s="13" t="s">
        <v>208</v>
      </c>
      <c r="P48" s="13" t="s">
        <v>209</v>
      </c>
    </row>
    <row r="49" spans="1:18" s="16" customFormat="1">
      <c r="A49" s="43"/>
      <c r="B49" s="55"/>
      <c r="C49" s="55"/>
      <c r="D49" s="55"/>
      <c r="E49" s="55"/>
      <c r="F49" s="55"/>
      <c r="G49" s="55"/>
      <c r="H49" s="55"/>
      <c r="I49" s="55"/>
      <c r="J49" s="55"/>
      <c r="K49" s="55"/>
      <c r="L49" s="55"/>
      <c r="M49" s="55"/>
      <c r="N49" s="55"/>
      <c r="O49" s="55"/>
      <c r="P49" s="55"/>
      <c r="R49" s="33"/>
    </row>
    <row r="50" spans="1:18" s="299" customFormat="1">
      <c r="A50" s="298" t="s">
        <v>331</v>
      </c>
      <c r="B50" s="321">
        <f>SUM(B51:B52)</f>
        <v>0</v>
      </c>
      <c r="C50" s="321">
        <f t="shared" ref="C50:P50" si="2">SUM(C51:C52)</f>
        <v>0</v>
      </c>
      <c r="D50" s="321">
        <f t="shared" si="2"/>
        <v>0</v>
      </c>
      <c r="E50" s="321">
        <f t="shared" si="2"/>
        <v>0</v>
      </c>
      <c r="F50" s="321">
        <f t="shared" si="2"/>
        <v>0</v>
      </c>
      <c r="G50" s="321">
        <f t="shared" si="2"/>
        <v>5.4165007547558666E-3</v>
      </c>
      <c r="H50" s="321">
        <f t="shared" si="2"/>
        <v>0</v>
      </c>
      <c r="I50" s="321">
        <f t="shared" si="2"/>
        <v>0</v>
      </c>
      <c r="J50" s="321">
        <f t="shared" si="2"/>
        <v>0</v>
      </c>
      <c r="K50" s="321">
        <f t="shared" si="2"/>
        <v>0</v>
      </c>
      <c r="L50" s="321">
        <f t="shared" si="2"/>
        <v>0</v>
      </c>
      <c r="M50" s="321">
        <f t="shared" si="2"/>
        <v>2.3765529698901091E-4</v>
      </c>
      <c r="N50" s="321">
        <f t="shared" si="2"/>
        <v>0</v>
      </c>
      <c r="O50" s="321">
        <f t="shared" si="2"/>
        <v>0</v>
      </c>
      <c r="P50" s="322">
        <f t="shared" si="2"/>
        <v>0</v>
      </c>
    </row>
    <row r="51" spans="1:18">
      <c r="A51" s="265"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5.4165007547558666E-3</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2.3765529698901091E-4</v>
      </c>
      <c r="N51" s="323"/>
      <c r="O51" s="323"/>
      <c r="P51" s="326"/>
    </row>
    <row r="52" spans="1:18">
      <c r="A52" s="4" t="s">
        <v>329</v>
      </c>
      <c r="B52" s="327">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2"/>
      <c r="C53" s="56"/>
      <c r="D53" s="56"/>
      <c r="E53" s="56"/>
      <c r="F53" s="56"/>
      <c r="G53" s="12"/>
      <c r="H53" s="12"/>
      <c r="I53" s="11"/>
      <c r="J53" s="12"/>
      <c r="K53" s="12"/>
      <c r="L53" s="12"/>
      <c r="M53" s="12"/>
      <c r="N53" s="12"/>
      <c r="O53" s="12"/>
      <c r="P53" s="12"/>
    </row>
    <row r="54" spans="1:18" s="16" customFormat="1">
      <c r="A54" s="21" t="s">
        <v>338</v>
      </c>
      <c r="B54" s="22">
        <f>(B50)*10^9/3600</f>
        <v>0</v>
      </c>
      <c r="C54" s="22">
        <f t="shared" ref="C54:P54" si="3">(C50)*10^9/3600</f>
        <v>0</v>
      </c>
      <c r="D54" s="22">
        <f t="shared" si="3"/>
        <v>0</v>
      </c>
      <c r="E54" s="22">
        <f t="shared" si="3"/>
        <v>0</v>
      </c>
      <c r="F54" s="22">
        <f t="shared" si="3"/>
        <v>0</v>
      </c>
      <c r="G54" s="22">
        <f t="shared" si="3"/>
        <v>1504.5835429877407</v>
      </c>
      <c r="H54" s="22">
        <f t="shared" si="3"/>
        <v>0</v>
      </c>
      <c r="I54" s="22">
        <f t="shared" si="3"/>
        <v>0</v>
      </c>
      <c r="J54" s="22">
        <f t="shared" si="3"/>
        <v>0</v>
      </c>
      <c r="K54" s="22">
        <f t="shared" si="3"/>
        <v>0</v>
      </c>
      <c r="L54" s="22">
        <f t="shared" si="3"/>
        <v>0</v>
      </c>
      <c r="M54" s="22">
        <f t="shared" si="3"/>
        <v>66.015360274725253</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213</v>
      </c>
      <c r="B56" s="57">
        <f ca="1">'EF ele_warmte'!B12</f>
        <v>0.20804957814374317</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340</v>
      </c>
      <c r="B58" s="24">
        <f ca="1">B54*B56</f>
        <v>0</v>
      </c>
      <c r="C58" s="24">
        <f t="shared" ref="C58:P58" ca="1" si="4">C54*C56</f>
        <v>0</v>
      </c>
      <c r="D58" s="24">
        <f t="shared" si="4"/>
        <v>0</v>
      </c>
      <c r="E58" s="24">
        <f t="shared" si="4"/>
        <v>0</v>
      </c>
      <c r="F58" s="24">
        <f t="shared" si="4"/>
        <v>0</v>
      </c>
      <c r="G58" s="24">
        <f t="shared" si="4"/>
        <v>401.72380597772678</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576</v>
      </c>
      <c r="B61" s="267"/>
      <c r="C61" s="268"/>
    </row>
    <row r="62" spans="1:18" s="16" customFormat="1">
      <c r="A62" s="294"/>
      <c r="B62" s="290"/>
      <c r="C62" s="295"/>
    </row>
    <row r="63" spans="1:18">
      <c r="A63" s="296"/>
      <c r="B63" s="134"/>
      <c r="C63" s="297" t="s">
        <v>181</v>
      </c>
    </row>
    <row r="64" spans="1:18">
      <c r="A64" s="288" t="s">
        <v>201</v>
      </c>
      <c r="B64" s="291">
        <f>100%-B65</f>
        <v>0.97840000000000005</v>
      </c>
      <c r="C64" s="177"/>
    </row>
    <row r="65" spans="1:12">
      <c r="A65" s="288" t="s">
        <v>332</v>
      </c>
      <c r="B65" s="300">
        <v>2.1600000000000001E-2</v>
      </c>
      <c r="C65" s="177" t="s">
        <v>813</v>
      </c>
    </row>
    <row r="66" spans="1:12" s="16" customFormat="1">
      <c r="A66" s="289"/>
      <c r="B66" s="272"/>
      <c r="C66" s="235"/>
    </row>
    <row r="67" spans="1:12">
      <c r="A67" s="292" t="s">
        <v>315</v>
      </c>
      <c r="B67" s="293">
        <f>SUM(B64:B65)</f>
        <v>1</v>
      </c>
      <c r="C67" s="179"/>
    </row>
    <row r="70" spans="1:12">
      <c r="A70" s="266" t="s">
        <v>513</v>
      </c>
      <c r="B70" s="267"/>
      <c r="C70" s="267"/>
      <c r="D70" s="267"/>
      <c r="E70" s="267"/>
      <c r="F70" s="267"/>
      <c r="G70" s="267"/>
      <c r="H70" s="267"/>
      <c r="I70" s="267"/>
      <c r="J70" s="267"/>
      <c r="K70" s="267"/>
      <c r="L70" s="268"/>
    </row>
    <row r="71" spans="1:12">
      <c r="A71" s="425" t="s">
        <v>577</v>
      </c>
    </row>
    <row r="72" spans="1:12">
      <c r="A72" s="265"/>
      <c r="B72" s="269"/>
      <c r="C72" s="269"/>
      <c r="D72" s="269"/>
      <c r="E72" s="269"/>
    </row>
    <row r="73" spans="1:12">
      <c r="A73" s="275"/>
      <c r="B73" s="276" t="s">
        <v>317</v>
      </c>
      <c r="C73" s="884">
        <v>2012</v>
      </c>
      <c r="D73" s="276" t="s">
        <v>318</v>
      </c>
      <c r="E73" s="246" t="s">
        <v>181</v>
      </c>
    </row>
    <row r="74" spans="1:12">
      <c r="A74" t="str">
        <f t="shared" ref="A74:A75" si="5">A31</f>
        <v>diesel</v>
      </c>
      <c r="B74" s="424"/>
    </row>
    <row r="75" spans="1:12">
      <c r="A75" t="str">
        <f t="shared" si="5"/>
        <v>biodiesel</v>
      </c>
      <c r="B75" s="424"/>
    </row>
    <row r="76" spans="1:12">
      <c r="A76" t="str">
        <f>A33</f>
        <v>vol% liter</v>
      </c>
      <c r="B76" s="424"/>
    </row>
    <row r="77" spans="1:12">
      <c r="A77" t="str">
        <f>A34</f>
        <v>gew% kg</v>
      </c>
      <c r="B77" s="424"/>
    </row>
    <row r="78" spans="1:12">
      <c r="A78" t="str">
        <f>A35</f>
        <v>J%</v>
      </c>
      <c r="B78" s="424"/>
      <c r="C78" s="426">
        <f>C35</f>
        <v>4.2599999999999999E-2</v>
      </c>
      <c r="D78" s="424"/>
      <c r="E78" t="str">
        <f>E35</f>
        <v>Data VMM maart 2020</v>
      </c>
    </row>
    <row r="79" spans="1:12">
      <c r="B79" s="424"/>
      <c r="C79" s="424"/>
      <c r="D79" s="42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1" customWidth="1"/>
    <col min="2" max="2" width="22.85546875" style="451"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1"/>
  </cols>
  <sheetData>
    <row r="2" spans="1:19" ht="15.75">
      <c r="A2" s="1145" t="s">
        <v>220</v>
      </c>
      <c r="B2" s="1145"/>
      <c r="C2" s="1145"/>
      <c r="D2" s="60"/>
      <c r="E2" s="60"/>
      <c r="F2" s="60"/>
      <c r="G2" s="60"/>
      <c r="H2" s="61"/>
      <c r="I2" s="61"/>
      <c r="J2" s="62"/>
      <c r="K2" s="62"/>
      <c r="L2" s="61"/>
      <c r="M2" s="61"/>
      <c r="N2" s="61"/>
      <c r="O2" s="61"/>
      <c r="P2" s="61"/>
      <c r="Q2" s="61"/>
      <c r="R2" s="61"/>
    </row>
    <row r="3" spans="1:19">
      <c r="A3" s="1146"/>
      <c r="B3" s="1146"/>
      <c r="C3" s="1146"/>
      <c r="D3" s="1146"/>
      <c r="E3" s="1146"/>
      <c r="F3" s="1146"/>
      <c r="G3" s="1146"/>
      <c r="H3" s="1146"/>
      <c r="I3" s="1146"/>
      <c r="J3" s="1146"/>
      <c r="K3" s="1146"/>
      <c r="L3" s="1146"/>
      <c r="M3" s="1146"/>
      <c r="N3" s="1146"/>
      <c r="O3" s="1146"/>
      <c r="P3" s="1146"/>
      <c r="Q3" s="1146"/>
      <c r="R3" s="1146"/>
    </row>
    <row r="4" spans="1:19" ht="15.75" thickBot="1">
      <c r="A4" s="452"/>
      <c r="B4" s="452"/>
      <c r="C4" s="64"/>
      <c r="D4" s="64"/>
      <c r="E4" s="64"/>
      <c r="F4" s="64"/>
      <c r="G4" s="64"/>
      <c r="H4" s="64"/>
      <c r="I4" s="64"/>
      <c r="J4" s="64"/>
      <c r="K4" s="64"/>
      <c r="L4" s="64"/>
      <c r="M4" s="64"/>
      <c r="N4" s="64"/>
      <c r="O4" s="64"/>
      <c r="P4" s="64"/>
      <c r="Q4" s="64"/>
      <c r="R4" s="64"/>
    </row>
    <row r="5" spans="1:19" ht="16.5" thickBot="1">
      <c r="A5" s="1147" t="s">
        <v>221</v>
      </c>
      <c r="B5" s="790"/>
      <c r="C5" s="1150" t="s">
        <v>342</v>
      </c>
      <c r="D5" s="1151"/>
      <c r="E5" s="1151"/>
      <c r="F5" s="1151"/>
      <c r="G5" s="1151"/>
      <c r="H5" s="1151"/>
      <c r="I5" s="1151"/>
      <c r="J5" s="1151"/>
      <c r="K5" s="1151"/>
      <c r="L5" s="1151"/>
      <c r="M5" s="1151"/>
      <c r="N5" s="1151"/>
      <c r="O5" s="1151"/>
      <c r="P5" s="1151"/>
      <c r="Q5" s="1151"/>
      <c r="R5" s="1152"/>
    </row>
    <row r="6" spans="1:19" ht="16.5" thickTop="1">
      <c r="A6" s="1148"/>
      <c r="B6" s="791"/>
      <c r="C6" s="1153" t="s">
        <v>20</v>
      </c>
      <c r="D6" s="1155" t="s">
        <v>195</v>
      </c>
      <c r="E6" s="1157" t="s">
        <v>196</v>
      </c>
      <c r="F6" s="1158"/>
      <c r="G6" s="1158"/>
      <c r="H6" s="1158"/>
      <c r="I6" s="1158"/>
      <c r="J6" s="1158"/>
      <c r="K6" s="1158"/>
      <c r="L6" s="1159"/>
      <c r="M6" s="1157" t="s">
        <v>197</v>
      </c>
      <c r="N6" s="1158"/>
      <c r="O6" s="1158"/>
      <c r="P6" s="1158"/>
      <c r="Q6" s="1158"/>
      <c r="R6" s="1160" t="s">
        <v>115</v>
      </c>
    </row>
    <row r="7" spans="1:19" ht="45.75" thickBot="1">
      <c r="A7" s="1149"/>
      <c r="B7" s="792"/>
      <c r="C7" s="1154"/>
      <c r="D7" s="1156"/>
      <c r="E7" s="976" t="s">
        <v>198</v>
      </c>
      <c r="F7" s="976" t="s">
        <v>199</v>
      </c>
      <c r="G7" s="65" t="s">
        <v>200</v>
      </c>
      <c r="H7" s="976" t="s">
        <v>201</v>
      </c>
      <c r="I7" s="976" t="s">
        <v>119</v>
      </c>
      <c r="J7" s="976" t="s">
        <v>202</v>
      </c>
      <c r="K7" s="449" t="s">
        <v>203</v>
      </c>
      <c r="L7" s="449" t="s">
        <v>204</v>
      </c>
      <c r="M7" s="65" t="s">
        <v>205</v>
      </c>
      <c r="N7" s="66" t="s">
        <v>206</v>
      </c>
      <c r="O7" s="66" t="s">
        <v>207</v>
      </c>
      <c r="P7" s="66" t="s">
        <v>208</v>
      </c>
      <c r="Q7" s="67" t="s">
        <v>209</v>
      </c>
      <c r="R7" s="1161"/>
    </row>
    <row r="8" spans="1:19" ht="18.75" customHeight="1" thickTop="1">
      <c r="A8" s="798" t="s">
        <v>343</v>
      </c>
      <c r="B8" s="803"/>
      <c r="C8" s="1132"/>
      <c r="D8" s="1132"/>
      <c r="E8" s="1132"/>
      <c r="F8" s="1132"/>
      <c r="G8" s="1132"/>
      <c r="H8" s="1132"/>
      <c r="I8" s="1132"/>
      <c r="J8" s="1132"/>
      <c r="K8" s="1132"/>
      <c r="L8" s="1132"/>
      <c r="M8" s="1132"/>
      <c r="N8" s="1132"/>
      <c r="O8" s="1132"/>
      <c r="P8" s="1132"/>
      <c r="Q8" s="1132"/>
      <c r="R8" s="308"/>
    </row>
    <row r="9" spans="1:19" s="453" customFormat="1">
      <c r="A9" s="799" t="s">
        <v>222</v>
      </c>
      <c r="B9" s="804"/>
      <c r="C9" s="684">
        <f>'Eigen gebouwen'!B15</f>
        <v>0</v>
      </c>
      <c r="D9" s="684">
        <f>'Eigen gebouwen'!C15</f>
        <v>0</v>
      </c>
      <c r="E9" s="684">
        <f>'Eigen gebouwen'!D15</f>
        <v>0</v>
      </c>
      <c r="F9" s="684">
        <f>'Eigen gebouwen'!E15</f>
        <v>0</v>
      </c>
      <c r="G9" s="684">
        <f>'Eigen gebouwen'!F15</f>
        <v>0</v>
      </c>
      <c r="H9" s="684">
        <f>'Eigen gebouwen'!G15</f>
        <v>0</v>
      </c>
      <c r="I9" s="684">
        <f>'Eigen gebouwen'!H15</f>
        <v>0</v>
      </c>
      <c r="J9" s="684">
        <f>'Eigen gebouwen'!I15</f>
        <v>0</v>
      </c>
      <c r="K9" s="684">
        <f>'Eigen gebouwen'!J15</f>
        <v>0</v>
      </c>
      <c r="L9" s="684">
        <f>'Eigen gebouwen'!K15</f>
        <v>0</v>
      </c>
      <c r="M9" s="684">
        <f>'Eigen gebouwen'!L15</f>
        <v>0</v>
      </c>
      <c r="N9" s="684">
        <f>'Eigen gebouwen'!M15</f>
        <v>0</v>
      </c>
      <c r="O9" s="684">
        <f>'Eigen gebouwen'!N15</f>
        <v>0</v>
      </c>
      <c r="P9" s="684">
        <f>'Eigen gebouwen'!O15</f>
        <v>0</v>
      </c>
      <c r="Q9" s="685">
        <f>'Eigen gebouwen'!P15</f>
        <v>0</v>
      </c>
      <c r="R9" s="686">
        <f>SUM(C9:Q9)</f>
        <v>0</v>
      </c>
      <c r="S9" s="68"/>
    </row>
    <row r="10" spans="1:19" s="453" customFormat="1">
      <c r="A10" s="800" t="s">
        <v>223</v>
      </c>
      <c r="B10" s="805"/>
      <c r="C10" s="684">
        <f ca="1">tertiair!B16+'openbare verlichting'!B8</f>
        <v>13152.237792872736</v>
      </c>
      <c r="D10" s="684">
        <f ca="1">tertiair!C16</f>
        <v>0</v>
      </c>
      <c r="E10" s="684">
        <f ca="1">tertiair!D16</f>
        <v>15448.492878753628</v>
      </c>
      <c r="F10" s="684">
        <f>tertiair!E16</f>
        <v>183.85051736095431</v>
      </c>
      <c r="G10" s="684">
        <f ca="1">tertiair!F16</f>
        <v>2402.030942119633</v>
      </c>
      <c r="H10" s="684">
        <f>tertiair!G16</f>
        <v>0</v>
      </c>
      <c r="I10" s="684">
        <f>tertiair!H16</f>
        <v>0</v>
      </c>
      <c r="J10" s="684">
        <f>tertiair!I16</f>
        <v>0</v>
      </c>
      <c r="K10" s="684">
        <f>tertiair!J16</f>
        <v>0</v>
      </c>
      <c r="L10" s="684">
        <f>tertiair!K16</f>
        <v>0</v>
      </c>
      <c r="M10" s="684">
        <f ca="1">tertiair!L16</f>
        <v>0</v>
      </c>
      <c r="N10" s="684">
        <f>tertiair!M16</f>
        <v>0</v>
      </c>
      <c r="O10" s="684">
        <f ca="1">tertiair!N16</f>
        <v>689.80905737588023</v>
      </c>
      <c r="P10" s="684">
        <f>tertiair!O16</f>
        <v>0</v>
      </c>
      <c r="Q10" s="685">
        <f>tertiair!P16</f>
        <v>19.066666666666666</v>
      </c>
      <c r="R10" s="687">
        <f ca="1">SUM(C10:Q10)</f>
        <v>31895.487855149499</v>
      </c>
      <c r="S10" s="68"/>
    </row>
    <row r="11" spans="1:19" s="453" customFormat="1">
      <c r="A11" s="799" t="s">
        <v>224</v>
      </c>
      <c r="B11" s="804"/>
      <c r="C11" s="684">
        <f>huishoudens!B8</f>
        <v>22469.838258120959</v>
      </c>
      <c r="D11" s="684">
        <f>huishoudens!C8</f>
        <v>0</v>
      </c>
      <c r="E11" s="684">
        <f>huishoudens!D8</f>
        <v>42207.734161742897</v>
      </c>
      <c r="F11" s="684">
        <f>huishoudens!E8</f>
        <v>6989.7885699605604</v>
      </c>
      <c r="G11" s="684">
        <f>huishoudens!F8</f>
        <v>13883.38127710871</v>
      </c>
      <c r="H11" s="684">
        <f>huishoudens!G8</f>
        <v>0</v>
      </c>
      <c r="I11" s="684">
        <f>huishoudens!H8</f>
        <v>0</v>
      </c>
      <c r="J11" s="684">
        <f>huishoudens!I8</f>
        <v>0</v>
      </c>
      <c r="K11" s="684">
        <f>huishoudens!J8</f>
        <v>1722.5537087363564</v>
      </c>
      <c r="L11" s="684">
        <f>huishoudens!K8</f>
        <v>0</v>
      </c>
      <c r="M11" s="684">
        <f>huishoudens!L8</f>
        <v>0</v>
      </c>
      <c r="N11" s="684">
        <f>huishoudens!M8</f>
        <v>0</v>
      </c>
      <c r="O11" s="684">
        <f>huishoudens!N8</f>
        <v>14820.545683410632</v>
      </c>
      <c r="P11" s="684">
        <f>huishoudens!O8</f>
        <v>51.589999999999996</v>
      </c>
      <c r="Q11" s="685">
        <f>huishoudens!P8</f>
        <v>190.66666666666669</v>
      </c>
      <c r="R11" s="687">
        <f>SUM(C11:Q11)</f>
        <v>102336.09832574679</v>
      </c>
      <c r="S11" s="68"/>
    </row>
    <row r="12" spans="1:19" s="453" customFormat="1">
      <c r="A12" s="799" t="s">
        <v>514</v>
      </c>
      <c r="B12" s="804"/>
      <c r="C12" s="684">
        <f>'Eigen openbare verlichting'!B15</f>
        <v>0</v>
      </c>
      <c r="D12" s="684"/>
      <c r="E12" s="684"/>
      <c r="F12" s="684"/>
      <c r="G12" s="684"/>
      <c r="H12" s="684"/>
      <c r="I12" s="684"/>
      <c r="J12" s="684"/>
      <c r="K12" s="684"/>
      <c r="L12" s="684"/>
      <c r="M12" s="684"/>
      <c r="N12" s="684"/>
      <c r="O12" s="684"/>
      <c r="P12" s="684"/>
      <c r="Q12" s="684"/>
      <c r="R12" s="687">
        <f>SUM(C12:Q12)</f>
        <v>0</v>
      </c>
      <c r="S12" s="68"/>
    </row>
    <row r="13" spans="1:19" s="453" customFormat="1">
      <c r="A13" s="799" t="s">
        <v>686</v>
      </c>
      <c r="B13" s="808" t="s">
        <v>684</v>
      </c>
      <c r="C13" s="684">
        <f>industrie!B18</f>
        <v>2987.416439965994</v>
      </c>
      <c r="D13" s="684">
        <f>industrie!C18</f>
        <v>0</v>
      </c>
      <c r="E13" s="684">
        <f>industrie!D18</f>
        <v>1770.3996782221673</v>
      </c>
      <c r="F13" s="684">
        <f>industrie!E18</f>
        <v>23.454957322128983</v>
      </c>
      <c r="G13" s="684">
        <f>industrie!F18</f>
        <v>1242.1868126634395</v>
      </c>
      <c r="H13" s="684">
        <f>industrie!G18</f>
        <v>0</v>
      </c>
      <c r="I13" s="684">
        <f>industrie!H18</f>
        <v>0</v>
      </c>
      <c r="J13" s="684">
        <f>industrie!I18</f>
        <v>0</v>
      </c>
      <c r="K13" s="684">
        <f>industrie!J18</f>
        <v>9.1461013792486483</v>
      </c>
      <c r="L13" s="684">
        <f>industrie!K18</f>
        <v>0</v>
      </c>
      <c r="M13" s="684">
        <f>industrie!L18</f>
        <v>0</v>
      </c>
      <c r="N13" s="684">
        <f>industrie!M18</f>
        <v>0</v>
      </c>
      <c r="O13" s="684">
        <f>industrie!N18</f>
        <v>133.79718413308512</v>
      </c>
      <c r="P13" s="684">
        <f>industrie!O18</f>
        <v>0</v>
      </c>
      <c r="Q13" s="685">
        <f>industrie!P18</f>
        <v>0</v>
      </c>
      <c r="R13" s="687">
        <f>SUM(C13:Q13)</f>
        <v>6166.4011736860648</v>
      </c>
      <c r="S13" s="68"/>
    </row>
    <row r="14" spans="1:19" s="453" customFormat="1">
      <c r="A14" s="799"/>
      <c r="B14" s="808" t="s">
        <v>685</v>
      </c>
      <c r="C14" s="684"/>
      <c r="D14" s="684"/>
      <c r="E14" s="684"/>
      <c r="F14" s="684"/>
      <c r="G14" s="684"/>
      <c r="H14" s="684"/>
      <c r="I14" s="684"/>
      <c r="J14" s="684"/>
      <c r="K14" s="684"/>
      <c r="L14" s="684"/>
      <c r="M14" s="684"/>
      <c r="N14" s="684"/>
      <c r="O14" s="684"/>
      <c r="P14" s="684"/>
      <c r="Q14" s="684"/>
      <c r="R14" s="687"/>
      <c r="S14" s="68"/>
    </row>
    <row r="15" spans="1:19" s="453" customFormat="1" ht="15" thickBot="1">
      <c r="A15" s="989" t="s">
        <v>894</v>
      </c>
      <c r="B15" s="990"/>
      <c r="C15" s="991"/>
      <c r="D15" s="991"/>
      <c r="E15" s="991"/>
      <c r="F15" s="991"/>
      <c r="G15" s="991"/>
      <c r="H15" s="991"/>
      <c r="I15" s="991"/>
      <c r="J15" s="991"/>
      <c r="K15" s="991"/>
      <c r="L15" s="991"/>
      <c r="M15" s="991"/>
      <c r="N15" s="991"/>
      <c r="O15" s="991"/>
      <c r="P15" s="991"/>
      <c r="Q15" s="992"/>
      <c r="R15" s="686"/>
      <c r="S15" s="68"/>
    </row>
    <row r="16" spans="1:19" s="453" customFormat="1" ht="15.75" thickBot="1">
      <c r="A16" s="688" t="s">
        <v>225</v>
      </c>
      <c r="B16" s="806"/>
      <c r="C16" s="717">
        <f ca="1">SUM(C9:C15)</f>
        <v>38609.492490959688</v>
      </c>
      <c r="D16" s="717">
        <f t="shared" ref="D16:R16" ca="1" si="0">SUM(D9:D15)</f>
        <v>0</v>
      </c>
      <c r="E16" s="717">
        <f t="shared" ca="1" si="0"/>
        <v>59426.62671871869</v>
      </c>
      <c r="F16" s="717">
        <f t="shared" si="0"/>
        <v>7197.0940446436443</v>
      </c>
      <c r="G16" s="717">
        <f t="shared" ca="1" si="0"/>
        <v>17527.599031891783</v>
      </c>
      <c r="H16" s="717">
        <f t="shared" si="0"/>
        <v>0</v>
      </c>
      <c r="I16" s="717">
        <f t="shared" si="0"/>
        <v>0</v>
      </c>
      <c r="J16" s="717">
        <f t="shared" si="0"/>
        <v>0</v>
      </c>
      <c r="K16" s="717">
        <f t="shared" si="0"/>
        <v>1731.699810115605</v>
      </c>
      <c r="L16" s="717">
        <f t="shared" si="0"/>
        <v>0</v>
      </c>
      <c r="M16" s="717">
        <f t="shared" ca="1" si="0"/>
        <v>0</v>
      </c>
      <c r="N16" s="717">
        <f t="shared" si="0"/>
        <v>0</v>
      </c>
      <c r="O16" s="717">
        <f t="shared" ca="1" si="0"/>
        <v>15644.151924919597</v>
      </c>
      <c r="P16" s="717">
        <f t="shared" si="0"/>
        <v>51.589999999999996</v>
      </c>
      <c r="Q16" s="717">
        <f t="shared" si="0"/>
        <v>209.73333333333335</v>
      </c>
      <c r="R16" s="717">
        <f t="shared" ca="1" si="0"/>
        <v>140397.98735458235</v>
      </c>
      <c r="S16" s="68"/>
    </row>
    <row r="17" spans="1:19" s="453" customFormat="1" ht="15.75">
      <c r="A17" s="801" t="s">
        <v>226</v>
      </c>
      <c r="B17" s="721"/>
      <c r="C17" s="1133"/>
      <c r="D17" s="1133"/>
      <c r="E17" s="1133"/>
      <c r="F17" s="1133"/>
      <c r="G17" s="1133"/>
      <c r="H17" s="1133"/>
      <c r="I17" s="1133"/>
      <c r="J17" s="1133"/>
      <c r="K17" s="1133"/>
      <c r="L17" s="1133"/>
      <c r="M17" s="1133"/>
      <c r="N17" s="1133"/>
      <c r="O17" s="1133"/>
      <c r="P17" s="1133"/>
      <c r="Q17" s="1133"/>
      <c r="R17" s="689"/>
      <c r="S17" s="68"/>
    </row>
    <row r="18" spans="1:19" s="453" customFormat="1">
      <c r="A18" s="799" t="s">
        <v>227</v>
      </c>
      <c r="B18" s="804"/>
      <c r="C18" s="684">
        <f>'Eigen vloot'!B27</f>
        <v>0</v>
      </c>
      <c r="D18" s="684">
        <f>'Eigen vloot'!C27</f>
        <v>0</v>
      </c>
      <c r="E18" s="684">
        <f>'Eigen vloot'!D27</f>
        <v>0</v>
      </c>
      <c r="F18" s="684">
        <f>'Eigen vloot'!E27</f>
        <v>0</v>
      </c>
      <c r="G18" s="684">
        <f>'Eigen vloot'!F27</f>
        <v>0</v>
      </c>
      <c r="H18" s="684">
        <f>'Eigen vloot'!G27</f>
        <v>0</v>
      </c>
      <c r="I18" s="684">
        <f>'Eigen vloot'!H27</f>
        <v>0</v>
      </c>
      <c r="J18" s="684">
        <f>'Eigen vloot'!I27</f>
        <v>0</v>
      </c>
      <c r="K18" s="684">
        <f>'Eigen vloot'!J27</f>
        <v>0</v>
      </c>
      <c r="L18" s="684">
        <f>'Eigen vloot'!K27</f>
        <v>0</v>
      </c>
      <c r="M18" s="684">
        <f>'Eigen vloot'!L27</f>
        <v>0</v>
      </c>
      <c r="N18" s="684">
        <f>'Eigen vloot'!M27</f>
        <v>0</v>
      </c>
      <c r="O18" s="684">
        <f>'Eigen vloot'!N27</f>
        <v>0</v>
      </c>
      <c r="P18" s="684">
        <f>'Eigen vloot'!O27</f>
        <v>0</v>
      </c>
      <c r="Q18" s="685">
        <f>'Eigen vloot'!P27</f>
        <v>0</v>
      </c>
      <c r="R18" s="687">
        <f>SUM(C18:Q18)</f>
        <v>0</v>
      </c>
      <c r="S18" s="68"/>
    </row>
    <row r="19" spans="1:19" s="453" customFormat="1">
      <c r="A19" s="799" t="s">
        <v>228</v>
      </c>
      <c r="B19" s="804"/>
      <c r="C19" s="684">
        <f>transport!B54</f>
        <v>0</v>
      </c>
      <c r="D19" s="684">
        <f>transport!C54</f>
        <v>0</v>
      </c>
      <c r="E19" s="684">
        <f>transport!D54</f>
        <v>0</v>
      </c>
      <c r="F19" s="684">
        <f>transport!E54</f>
        <v>0</v>
      </c>
      <c r="G19" s="684">
        <f>transport!F54</f>
        <v>0</v>
      </c>
      <c r="H19" s="684">
        <f>transport!G54</f>
        <v>1504.5835429877407</v>
      </c>
      <c r="I19" s="684">
        <f>transport!H54</f>
        <v>0</v>
      </c>
      <c r="J19" s="684">
        <f>transport!I54</f>
        <v>0</v>
      </c>
      <c r="K19" s="684">
        <f>transport!J54</f>
        <v>0</v>
      </c>
      <c r="L19" s="684">
        <f>transport!K54</f>
        <v>0</v>
      </c>
      <c r="M19" s="684">
        <f>transport!L54</f>
        <v>0</v>
      </c>
      <c r="N19" s="684">
        <f>transport!M54</f>
        <v>66.015360274725253</v>
      </c>
      <c r="O19" s="684">
        <f>transport!N54</f>
        <v>0</v>
      </c>
      <c r="P19" s="684">
        <f>transport!O54</f>
        <v>0</v>
      </c>
      <c r="Q19" s="685">
        <f>transport!P54</f>
        <v>0</v>
      </c>
      <c r="R19" s="687">
        <f>SUM(C19:Q19)</f>
        <v>1570.5989032624659</v>
      </c>
      <c r="S19" s="68"/>
    </row>
    <row r="20" spans="1:19" s="453" customFormat="1">
      <c r="A20" s="799" t="s">
        <v>306</v>
      </c>
      <c r="B20" s="804"/>
      <c r="C20" s="684">
        <f>transport!B14</f>
        <v>3.3504819748327859</v>
      </c>
      <c r="D20" s="684">
        <f>transport!C14</f>
        <v>0</v>
      </c>
      <c r="E20" s="684">
        <f>transport!D14</f>
        <v>8.0482718221137706</v>
      </c>
      <c r="F20" s="684">
        <f>transport!E14</f>
        <v>507.87894422962637</v>
      </c>
      <c r="G20" s="684">
        <f>transport!F14</f>
        <v>0</v>
      </c>
      <c r="H20" s="684">
        <f>transport!G14</f>
        <v>123328.8933594203</v>
      </c>
      <c r="I20" s="684">
        <f>transport!H14</f>
        <v>20427.051817022464</v>
      </c>
      <c r="J20" s="684">
        <f>transport!I14</f>
        <v>0</v>
      </c>
      <c r="K20" s="684">
        <f>transport!J14</f>
        <v>0</v>
      </c>
      <c r="L20" s="684">
        <f>transport!K14</f>
        <v>0</v>
      </c>
      <c r="M20" s="684">
        <f>transport!L14</f>
        <v>0</v>
      </c>
      <c r="N20" s="684">
        <f>transport!M14</f>
        <v>6423.2698478189786</v>
      </c>
      <c r="O20" s="684">
        <f>transport!N14</f>
        <v>0</v>
      </c>
      <c r="P20" s="684">
        <f>transport!O14</f>
        <v>0</v>
      </c>
      <c r="Q20" s="685">
        <f>transport!P14</f>
        <v>0</v>
      </c>
      <c r="R20" s="687">
        <f>SUM(C20:Q20)</f>
        <v>150698.4927222883</v>
      </c>
      <c r="S20" s="68"/>
    </row>
    <row r="21" spans="1:19" s="453" customFormat="1" ht="15" thickBot="1">
      <c r="A21" s="821" t="s">
        <v>895</v>
      </c>
      <c r="B21" s="990"/>
      <c r="C21" s="991"/>
      <c r="D21" s="991"/>
      <c r="E21" s="991"/>
      <c r="F21" s="991"/>
      <c r="G21" s="991"/>
      <c r="H21" s="991"/>
      <c r="I21" s="991"/>
      <c r="J21" s="991"/>
      <c r="K21" s="991"/>
      <c r="L21" s="991"/>
      <c r="M21" s="991"/>
      <c r="N21" s="991"/>
      <c r="O21" s="991"/>
      <c r="P21" s="991"/>
      <c r="Q21" s="992"/>
      <c r="R21" s="686"/>
      <c r="S21" s="68"/>
    </row>
    <row r="22" spans="1:19" s="453" customFormat="1" ht="15.75" thickBot="1">
      <c r="A22" s="690" t="s">
        <v>229</v>
      </c>
      <c r="B22" s="807"/>
      <c r="C22" s="802">
        <f>SUM(C18:C21)</f>
        <v>3.3504819748327859</v>
      </c>
      <c r="D22" s="802">
        <f t="shared" ref="D22:R22" si="1">SUM(D18:D21)</f>
        <v>0</v>
      </c>
      <c r="E22" s="802">
        <f t="shared" si="1"/>
        <v>8.0482718221137706</v>
      </c>
      <c r="F22" s="802">
        <f t="shared" si="1"/>
        <v>507.87894422962637</v>
      </c>
      <c r="G22" s="802">
        <f t="shared" si="1"/>
        <v>0</v>
      </c>
      <c r="H22" s="802">
        <f t="shared" si="1"/>
        <v>124833.47690240803</v>
      </c>
      <c r="I22" s="802">
        <f t="shared" si="1"/>
        <v>20427.051817022464</v>
      </c>
      <c r="J22" s="802">
        <f t="shared" si="1"/>
        <v>0</v>
      </c>
      <c r="K22" s="802">
        <f t="shared" si="1"/>
        <v>0</v>
      </c>
      <c r="L22" s="802">
        <f t="shared" si="1"/>
        <v>0</v>
      </c>
      <c r="M22" s="802">
        <f t="shared" si="1"/>
        <v>0</v>
      </c>
      <c r="N22" s="802">
        <f t="shared" si="1"/>
        <v>6489.2852080937037</v>
      </c>
      <c r="O22" s="802">
        <f t="shared" si="1"/>
        <v>0</v>
      </c>
      <c r="P22" s="802">
        <f t="shared" si="1"/>
        <v>0</v>
      </c>
      <c r="Q22" s="802">
        <f t="shared" si="1"/>
        <v>0</v>
      </c>
      <c r="R22" s="802">
        <f t="shared" si="1"/>
        <v>152269.09162555076</v>
      </c>
      <c r="S22" s="68"/>
    </row>
    <row r="23" spans="1:19" s="453" customFormat="1" ht="15.75">
      <c r="A23" s="801" t="s">
        <v>236</v>
      </c>
      <c r="B23" s="721"/>
      <c r="C23" s="1133"/>
      <c r="D23" s="1133"/>
      <c r="E23" s="1133"/>
      <c r="F23" s="1133"/>
      <c r="G23" s="1133"/>
      <c r="H23" s="1133"/>
      <c r="I23" s="1133"/>
      <c r="J23" s="1133"/>
      <c r="K23" s="1133"/>
      <c r="L23" s="1133"/>
      <c r="M23" s="1133"/>
      <c r="N23" s="1133"/>
      <c r="O23" s="1133"/>
      <c r="P23" s="1133"/>
      <c r="Q23" s="1133"/>
      <c r="R23" s="689"/>
      <c r="S23" s="68"/>
    </row>
    <row r="24" spans="1:19" s="453" customFormat="1">
      <c r="A24" s="799" t="s">
        <v>675</v>
      </c>
      <c r="B24" s="804"/>
      <c r="C24" s="684">
        <f>+landbouw!B8</f>
        <v>3451.226300473867</v>
      </c>
      <c r="D24" s="684">
        <f>+landbouw!C8</f>
        <v>0</v>
      </c>
      <c r="E24" s="684">
        <f>+landbouw!D8</f>
        <v>2275.0944779232232</v>
      </c>
      <c r="F24" s="684">
        <f>+landbouw!E8</f>
        <v>32.512864147938942</v>
      </c>
      <c r="G24" s="684">
        <f>+landbouw!F8</f>
        <v>11262.496779865982</v>
      </c>
      <c r="H24" s="684">
        <f>+landbouw!G8</f>
        <v>0</v>
      </c>
      <c r="I24" s="684">
        <f>+landbouw!H8</f>
        <v>0</v>
      </c>
      <c r="J24" s="684">
        <f>+landbouw!I8</f>
        <v>0</v>
      </c>
      <c r="K24" s="684">
        <f>+landbouw!J8</f>
        <v>426.93348013011831</v>
      </c>
      <c r="L24" s="684">
        <f>+landbouw!K8</f>
        <v>0</v>
      </c>
      <c r="M24" s="684">
        <f>+landbouw!L8</f>
        <v>0</v>
      </c>
      <c r="N24" s="684">
        <f>+landbouw!M8</f>
        <v>0</v>
      </c>
      <c r="O24" s="684">
        <f>+landbouw!N8</f>
        <v>0</v>
      </c>
      <c r="P24" s="684">
        <f>+landbouw!O8</f>
        <v>0</v>
      </c>
      <c r="Q24" s="685">
        <f>+landbouw!P8</f>
        <v>0</v>
      </c>
      <c r="R24" s="687">
        <f>SUM(C24:Q24)</f>
        <v>17448.26390254113</v>
      </c>
      <c r="S24" s="68"/>
    </row>
    <row r="25" spans="1:19" s="453" customFormat="1" ht="15" thickBot="1">
      <c r="A25" s="821" t="s">
        <v>896</v>
      </c>
      <c r="B25" s="990"/>
      <c r="C25" s="991">
        <f>IF(Onbekend_ele_kWh="---",0,Onbekend_ele_kWh)/1000+IF(REST_rest_ele_kWh="---",0,REST_rest_ele_kWh)/1000</f>
        <v>726.90026995421897</v>
      </c>
      <c r="D25" s="991"/>
      <c r="E25" s="991">
        <f>IF(onbekend_gas_kWh="---",0,onbekend_gas_kWh)/1000+IF(REST_rest_gas_kWh="---",0,REST_rest_gas_kWh)/1000</f>
        <v>1272.56253390539</v>
      </c>
      <c r="F25" s="991"/>
      <c r="G25" s="991"/>
      <c r="H25" s="991"/>
      <c r="I25" s="991"/>
      <c r="J25" s="991"/>
      <c r="K25" s="991"/>
      <c r="L25" s="991"/>
      <c r="M25" s="991"/>
      <c r="N25" s="991"/>
      <c r="O25" s="991"/>
      <c r="P25" s="991"/>
      <c r="Q25" s="992"/>
      <c r="R25" s="687">
        <f>SUM(C25:Q25)</f>
        <v>1999.4628038596088</v>
      </c>
      <c r="S25" s="68"/>
    </row>
    <row r="26" spans="1:19" s="453" customFormat="1" ht="15.75" thickBot="1">
      <c r="A26" s="690" t="s">
        <v>897</v>
      </c>
      <c r="B26" s="807"/>
      <c r="C26" s="802">
        <f>SUM(C24:C25)</f>
        <v>4178.1265704280859</v>
      </c>
      <c r="D26" s="802">
        <f t="shared" ref="D26:R26" si="2">SUM(D24:D25)</f>
        <v>0</v>
      </c>
      <c r="E26" s="802">
        <f t="shared" si="2"/>
        <v>3547.6570118286131</v>
      </c>
      <c r="F26" s="802">
        <f t="shared" si="2"/>
        <v>32.512864147938942</v>
      </c>
      <c r="G26" s="802">
        <f t="shared" si="2"/>
        <v>11262.496779865982</v>
      </c>
      <c r="H26" s="802">
        <f t="shared" si="2"/>
        <v>0</v>
      </c>
      <c r="I26" s="802">
        <f t="shared" si="2"/>
        <v>0</v>
      </c>
      <c r="J26" s="802">
        <f t="shared" si="2"/>
        <v>0</v>
      </c>
      <c r="K26" s="802">
        <f t="shared" si="2"/>
        <v>426.93348013011831</v>
      </c>
      <c r="L26" s="802">
        <f t="shared" si="2"/>
        <v>0</v>
      </c>
      <c r="M26" s="802">
        <f t="shared" si="2"/>
        <v>0</v>
      </c>
      <c r="N26" s="802">
        <f t="shared" si="2"/>
        <v>0</v>
      </c>
      <c r="O26" s="802">
        <f t="shared" si="2"/>
        <v>0</v>
      </c>
      <c r="P26" s="802">
        <f t="shared" si="2"/>
        <v>0</v>
      </c>
      <c r="Q26" s="802">
        <f t="shared" si="2"/>
        <v>0</v>
      </c>
      <c r="R26" s="802">
        <f t="shared" si="2"/>
        <v>19447.726706400739</v>
      </c>
      <c r="S26" s="68"/>
    </row>
    <row r="27" spans="1:19" s="453" customFormat="1" ht="17.25" thickTop="1" thickBot="1">
      <c r="A27" s="691" t="s">
        <v>115</v>
      </c>
      <c r="B27" s="794"/>
      <c r="C27" s="692">
        <f ca="1">C22+C16+C26</f>
        <v>42790.969543362611</v>
      </c>
      <c r="D27" s="692">
        <f t="shared" ref="D27:R27" ca="1" si="3">D22+D16+D26</f>
        <v>0</v>
      </c>
      <c r="E27" s="692">
        <f t="shared" ca="1" si="3"/>
        <v>62982.332002369418</v>
      </c>
      <c r="F27" s="692">
        <f t="shared" si="3"/>
        <v>7737.4858530212096</v>
      </c>
      <c r="G27" s="692">
        <f t="shared" ca="1" si="3"/>
        <v>28790.095811757765</v>
      </c>
      <c r="H27" s="692">
        <f t="shared" si="3"/>
        <v>124833.47690240803</v>
      </c>
      <c r="I27" s="692">
        <f t="shared" si="3"/>
        <v>20427.051817022464</v>
      </c>
      <c r="J27" s="692">
        <f t="shared" si="3"/>
        <v>0</v>
      </c>
      <c r="K27" s="692">
        <f t="shared" si="3"/>
        <v>2158.6332902457234</v>
      </c>
      <c r="L27" s="692">
        <f t="shared" si="3"/>
        <v>0</v>
      </c>
      <c r="M27" s="692">
        <f t="shared" ca="1" si="3"/>
        <v>0</v>
      </c>
      <c r="N27" s="692">
        <f t="shared" si="3"/>
        <v>6489.2852080937037</v>
      </c>
      <c r="O27" s="692">
        <f t="shared" ca="1" si="3"/>
        <v>15644.151924919597</v>
      </c>
      <c r="P27" s="692">
        <f t="shared" si="3"/>
        <v>51.589999999999996</v>
      </c>
      <c r="Q27" s="692">
        <f t="shared" si="3"/>
        <v>209.73333333333335</v>
      </c>
      <c r="R27" s="692">
        <f t="shared" ca="1" si="3"/>
        <v>312114.80568653386</v>
      </c>
      <c r="S27" s="68"/>
    </row>
    <row r="28" spans="1:19" ht="15.75" customHeight="1" thickBot="1">
      <c r="A28" s="693"/>
      <c r="B28" s="693"/>
      <c r="C28" s="694"/>
      <c r="D28" s="694"/>
      <c r="E28" s="694"/>
      <c r="F28" s="694"/>
      <c r="G28" s="694"/>
      <c r="H28" s="694"/>
      <c r="I28" s="694"/>
      <c r="J28" s="694"/>
      <c r="K28" s="694"/>
      <c r="L28" s="694"/>
      <c r="M28" s="694"/>
      <c r="N28" s="694"/>
      <c r="O28" s="694"/>
      <c r="P28" s="694"/>
      <c r="Q28" s="694"/>
      <c r="R28" s="694"/>
    </row>
    <row r="29" spans="1:19" ht="41.25" customHeight="1" thickTop="1" thickBot="1">
      <c r="A29" s="695" t="s">
        <v>344</v>
      </c>
      <c r="B29" s="695"/>
      <c r="C29" s="696">
        <f>'EF ele_warmte'!B5</f>
        <v>0</v>
      </c>
      <c r="D29" s="697"/>
      <c r="E29" s="698"/>
      <c r="F29" s="697"/>
      <c r="G29" s="697"/>
      <c r="H29" s="697"/>
      <c r="I29" s="697"/>
      <c r="J29" s="697"/>
      <c r="K29" s="697"/>
      <c r="L29" s="697"/>
      <c r="M29" s="697"/>
      <c r="N29" s="697"/>
      <c r="O29" s="697"/>
      <c r="P29" s="697"/>
      <c r="Q29" s="697"/>
      <c r="R29" s="697"/>
    </row>
    <row r="30" spans="1:19" ht="31.5" thickTop="1" thickBot="1">
      <c r="A30" s="699" t="s">
        <v>345</v>
      </c>
      <c r="B30" s="699"/>
      <c r="C30" s="700" t="s">
        <v>210</v>
      </c>
      <c r="D30" s="701"/>
      <c r="E30" s="701"/>
      <c r="F30" s="701"/>
      <c r="G30" s="701"/>
      <c r="H30" s="702"/>
      <c r="I30" s="703"/>
      <c r="J30" s="703"/>
      <c r="K30" s="703"/>
      <c r="L30" s="703"/>
      <c r="M30" s="703"/>
      <c r="N30" s="703"/>
      <c r="O30" s="703"/>
      <c r="P30" s="703"/>
      <c r="Q30" s="703"/>
      <c r="R30" s="703"/>
    </row>
    <row r="31" spans="1:19" ht="15" thickTop="1">
      <c r="A31" s="1134"/>
      <c r="B31" s="1134"/>
      <c r="C31" s="1134"/>
      <c r="D31" s="704"/>
      <c r="E31" s="703"/>
      <c r="F31" s="703"/>
      <c r="G31" s="703"/>
      <c r="H31" s="703"/>
      <c r="I31" s="703"/>
      <c r="J31" s="703"/>
      <c r="K31" s="703"/>
      <c r="L31" s="703"/>
      <c r="M31" s="703"/>
      <c r="N31" s="703"/>
      <c r="O31" s="703"/>
      <c r="P31" s="703"/>
      <c r="Q31" s="703"/>
      <c r="R31" s="703"/>
    </row>
    <row r="32" spans="1:19" ht="15.75">
      <c r="A32" s="705" t="s">
        <v>230</v>
      </c>
      <c r="B32" s="705"/>
      <c r="C32" s="704"/>
      <c r="D32" s="704"/>
      <c r="E32" s="703"/>
      <c r="F32" s="703"/>
      <c r="G32" s="703"/>
      <c r="H32" s="703"/>
      <c r="I32" s="703"/>
      <c r="J32" s="703"/>
      <c r="K32" s="703"/>
      <c r="L32" s="703"/>
      <c r="M32" s="703"/>
      <c r="N32" s="703"/>
      <c r="O32" s="703"/>
      <c r="P32" s="703"/>
      <c r="Q32" s="703"/>
      <c r="R32" s="703"/>
    </row>
    <row r="33" spans="1:18">
      <c r="A33" s="1097"/>
      <c r="B33" s="1097"/>
      <c r="C33" s="1097"/>
      <c r="D33" s="1097"/>
      <c r="E33" s="1097"/>
      <c r="F33" s="1097"/>
      <c r="G33" s="1097"/>
      <c r="H33" s="1097"/>
      <c r="I33" s="1097"/>
      <c r="J33" s="1097"/>
      <c r="K33" s="1097"/>
      <c r="L33" s="1097"/>
      <c r="M33" s="1097"/>
      <c r="N33" s="1097"/>
      <c r="O33" s="1097"/>
      <c r="P33" s="1097"/>
      <c r="Q33" s="1097"/>
      <c r="R33" s="1097"/>
    </row>
    <row r="34" spans="1:18" ht="15.75" thickBot="1">
      <c r="A34" s="706"/>
      <c r="B34" s="706"/>
      <c r="C34" s="707"/>
      <c r="D34" s="707"/>
      <c r="E34" s="707"/>
      <c r="F34" s="707"/>
      <c r="G34" s="707"/>
      <c r="H34" s="707"/>
      <c r="I34" s="707"/>
      <c r="J34" s="707"/>
      <c r="K34" s="707"/>
      <c r="L34" s="707"/>
      <c r="M34" s="707"/>
      <c r="N34" s="707"/>
      <c r="O34" s="707"/>
      <c r="P34" s="707"/>
      <c r="Q34" s="707"/>
      <c r="R34" s="707"/>
    </row>
    <row r="35" spans="1:18" ht="17.25" thickTop="1" thickBot="1">
      <c r="A35" s="1135"/>
      <c r="B35" s="809"/>
      <c r="C35" s="1137" t="s">
        <v>346</v>
      </c>
      <c r="D35" s="1138"/>
      <c r="E35" s="1138"/>
      <c r="F35" s="1138"/>
      <c r="G35" s="1138"/>
      <c r="H35" s="1138"/>
      <c r="I35" s="1138"/>
      <c r="J35" s="1138"/>
      <c r="K35" s="1138"/>
      <c r="L35" s="1138"/>
      <c r="M35" s="1138"/>
      <c r="N35" s="1138"/>
      <c r="O35" s="1138"/>
      <c r="P35" s="1138"/>
      <c r="Q35" s="1138"/>
      <c r="R35" s="1139"/>
    </row>
    <row r="36" spans="1:18" ht="16.5" thickTop="1">
      <c r="A36" s="1136"/>
      <c r="B36" s="810"/>
      <c r="C36" s="1140" t="s">
        <v>20</v>
      </c>
      <c r="D36" s="1083" t="s">
        <v>231</v>
      </c>
      <c r="E36" s="1142" t="s">
        <v>196</v>
      </c>
      <c r="F36" s="1143"/>
      <c r="G36" s="1143"/>
      <c r="H36" s="1143"/>
      <c r="I36" s="1143"/>
      <c r="J36" s="1143"/>
      <c r="K36" s="1143"/>
      <c r="L36" s="1144"/>
      <c r="M36" s="1142" t="s">
        <v>197</v>
      </c>
      <c r="N36" s="1143"/>
      <c r="O36" s="1143"/>
      <c r="P36" s="1143"/>
      <c r="Q36" s="1143"/>
      <c r="R36" s="1098" t="s">
        <v>115</v>
      </c>
    </row>
    <row r="37" spans="1:18" ht="45.75" thickBot="1">
      <c r="A37" s="1136"/>
      <c r="B37" s="810"/>
      <c r="C37" s="1141"/>
      <c r="D37" s="1086"/>
      <c r="E37" s="708" t="s">
        <v>198</v>
      </c>
      <c r="F37" s="708" t="s">
        <v>199</v>
      </c>
      <c r="G37" s="708" t="s">
        <v>200</v>
      </c>
      <c r="H37" s="708" t="s">
        <v>201</v>
      </c>
      <c r="I37" s="708" t="s">
        <v>119</v>
      </c>
      <c r="J37" s="708" t="s">
        <v>202</v>
      </c>
      <c r="K37" s="709" t="s">
        <v>232</v>
      </c>
      <c r="L37" s="709" t="s">
        <v>204</v>
      </c>
      <c r="M37" s="65" t="s">
        <v>205</v>
      </c>
      <c r="N37" s="66" t="s">
        <v>206</v>
      </c>
      <c r="O37" s="708" t="s">
        <v>233</v>
      </c>
      <c r="P37" s="708" t="s">
        <v>234</v>
      </c>
      <c r="Q37" s="709" t="s">
        <v>209</v>
      </c>
      <c r="R37" s="1100"/>
    </row>
    <row r="38" spans="1:18" ht="17.25" thickTop="1" thickBot="1">
      <c r="A38" s="822" t="s">
        <v>343</v>
      </c>
      <c r="B38" s="823"/>
      <c r="C38" s="710" t="s">
        <v>235</v>
      </c>
      <c r="D38" s="711"/>
      <c r="E38" s="712"/>
      <c r="F38" s="712"/>
      <c r="G38" s="712"/>
      <c r="H38" s="712"/>
      <c r="I38" s="712"/>
      <c r="J38" s="712"/>
      <c r="K38" s="712"/>
      <c r="L38" s="712"/>
      <c r="M38" s="993"/>
      <c r="N38" s="993"/>
      <c r="O38" s="712"/>
      <c r="P38" s="993"/>
      <c r="Q38" s="713"/>
      <c r="R38" s="714"/>
    </row>
    <row r="39" spans="1:18" ht="15" thickTop="1">
      <c r="A39" s="795" t="s">
        <v>222</v>
      </c>
      <c r="B39" s="819"/>
      <c r="C39" s="684">
        <f ca="1">'Eigen gebouwen'!B19</f>
        <v>0</v>
      </c>
      <c r="D39" s="684">
        <f ca="1">'Eigen gebouwen'!C19</f>
        <v>0</v>
      </c>
      <c r="E39" s="684">
        <f>'Eigen gebouwen'!D19</f>
        <v>0</v>
      </c>
      <c r="F39" s="684">
        <f>'Eigen gebouwen'!E19</f>
        <v>0</v>
      </c>
      <c r="G39" s="684">
        <f>'Eigen gebouwen'!F19</f>
        <v>0</v>
      </c>
      <c r="H39" s="684">
        <f>'Eigen gebouwen'!G19</f>
        <v>0</v>
      </c>
      <c r="I39" s="684">
        <f>'Eigen gebouwen'!H19</f>
        <v>0</v>
      </c>
      <c r="J39" s="684">
        <f>'Eigen gebouwen'!I19</f>
        <v>0</v>
      </c>
      <c r="K39" s="684">
        <f>'Eigen gebouwen'!J19</f>
        <v>0</v>
      </c>
      <c r="L39" s="684">
        <f>'Eigen gebouwen'!K19</f>
        <v>0</v>
      </c>
      <c r="M39" s="684">
        <f>'Eigen gebouwen'!L19</f>
        <v>0</v>
      </c>
      <c r="N39" s="684">
        <f>'Eigen gebouwen'!M19</f>
        <v>0</v>
      </c>
      <c r="O39" s="684">
        <f>'Eigen gebouwen'!N19</f>
        <v>0</v>
      </c>
      <c r="P39" s="684">
        <f>'Eigen gebouwen'!O19</f>
        <v>0</v>
      </c>
      <c r="Q39" s="759">
        <f>'Eigen gebouwen'!P19</f>
        <v>0</v>
      </c>
      <c r="R39" s="994">
        <f t="shared" ref="R39:R44" ca="1" si="4">SUM(C39:Q39)</f>
        <v>0</v>
      </c>
    </row>
    <row r="40" spans="1:18">
      <c r="A40" s="800" t="s">
        <v>223</v>
      </c>
      <c r="B40" s="820"/>
      <c r="C40" s="684">
        <f ca="1">tertiair!B20+'openbare verlichting'!B12</f>
        <v>2736.3175244533691</v>
      </c>
      <c r="D40" s="684">
        <f ca="1">tertiair!C20</f>
        <v>0</v>
      </c>
      <c r="E40" s="684">
        <f ca="1">tertiair!D20</f>
        <v>3120.595561508233</v>
      </c>
      <c r="F40" s="684">
        <f>tertiair!E20</f>
        <v>41.734067440936627</v>
      </c>
      <c r="G40" s="684">
        <f ca="1">tertiair!F20</f>
        <v>641.34226154594205</v>
      </c>
      <c r="H40" s="684">
        <f>tertiair!G20</f>
        <v>0</v>
      </c>
      <c r="I40" s="684">
        <f>tertiair!H20</f>
        <v>0</v>
      </c>
      <c r="J40" s="684">
        <f>tertiair!I20</f>
        <v>0</v>
      </c>
      <c r="K40" s="684">
        <f>tertiair!J20</f>
        <v>0</v>
      </c>
      <c r="L40" s="684">
        <f>tertiair!K20</f>
        <v>0</v>
      </c>
      <c r="M40" s="684">
        <f ca="1">tertiair!L20</f>
        <v>0</v>
      </c>
      <c r="N40" s="684">
        <f>tertiair!M20</f>
        <v>0</v>
      </c>
      <c r="O40" s="684">
        <f ca="1">tertiair!N20</f>
        <v>0</v>
      </c>
      <c r="P40" s="684">
        <f>tertiair!O20</f>
        <v>0</v>
      </c>
      <c r="Q40" s="759">
        <f>tertiair!P20</f>
        <v>0</v>
      </c>
      <c r="R40" s="840">
        <f t="shared" ca="1" si="4"/>
        <v>6539.9894149484808</v>
      </c>
    </row>
    <row r="41" spans="1:18">
      <c r="A41" s="812" t="s">
        <v>224</v>
      </c>
      <c r="B41" s="819"/>
      <c r="C41" s="684">
        <f ca="1">huishoudens!B12</f>
        <v>4674.8403705602059</v>
      </c>
      <c r="D41" s="684">
        <f ca="1">huishoudens!C12</f>
        <v>0</v>
      </c>
      <c r="E41" s="684">
        <f>huishoudens!D12</f>
        <v>8525.9623006720667</v>
      </c>
      <c r="F41" s="684">
        <f>huishoudens!E12</f>
        <v>1586.6820053810472</v>
      </c>
      <c r="G41" s="684">
        <f>huishoudens!F12</f>
        <v>3706.8628009880258</v>
      </c>
      <c r="H41" s="684">
        <f>huishoudens!G12</f>
        <v>0</v>
      </c>
      <c r="I41" s="684">
        <f>huishoudens!H12</f>
        <v>0</v>
      </c>
      <c r="J41" s="684">
        <f>huishoudens!I12</f>
        <v>0</v>
      </c>
      <c r="K41" s="684">
        <f>huishoudens!J12</f>
        <v>609.78401289267015</v>
      </c>
      <c r="L41" s="684">
        <f>huishoudens!K12</f>
        <v>0</v>
      </c>
      <c r="M41" s="684">
        <f>huishoudens!L12</f>
        <v>0</v>
      </c>
      <c r="N41" s="684">
        <f>huishoudens!M12</f>
        <v>0</v>
      </c>
      <c r="O41" s="684">
        <f>huishoudens!N12</f>
        <v>0</v>
      </c>
      <c r="P41" s="684">
        <f>huishoudens!O12</f>
        <v>0</v>
      </c>
      <c r="Q41" s="759">
        <f>huishoudens!P12</f>
        <v>0</v>
      </c>
      <c r="R41" s="840">
        <f t="shared" ca="1" si="4"/>
        <v>19104.131490494015</v>
      </c>
    </row>
    <row r="42" spans="1:18">
      <c r="A42" s="812" t="s">
        <v>514</v>
      </c>
      <c r="B42" s="819"/>
      <c r="C42" s="684">
        <f ca="1">'Eigen openbare verlichting'!B19</f>
        <v>0</v>
      </c>
      <c r="D42" s="684"/>
      <c r="E42" s="684"/>
      <c r="F42" s="684"/>
      <c r="G42" s="684"/>
      <c r="H42" s="684"/>
      <c r="I42" s="684"/>
      <c r="J42" s="684"/>
      <c r="K42" s="684"/>
      <c r="L42" s="684"/>
      <c r="M42" s="684"/>
      <c r="N42" s="684"/>
      <c r="O42" s="684"/>
      <c r="P42" s="684"/>
      <c r="Q42" s="759"/>
      <c r="R42" s="840">
        <f t="shared" ca="1" si="4"/>
        <v>0</v>
      </c>
    </row>
    <row r="43" spans="1:18">
      <c r="A43" s="812" t="s">
        <v>687</v>
      </c>
      <c r="B43" s="827" t="s">
        <v>684</v>
      </c>
      <c r="C43" s="684">
        <f ca="1">industrie!B22</f>
        <v>621.53073007460807</v>
      </c>
      <c r="D43" s="684">
        <f ca="1">industrie!C22</f>
        <v>0</v>
      </c>
      <c r="E43" s="684">
        <f>industrie!D22</f>
        <v>357.6207350008778</v>
      </c>
      <c r="F43" s="684">
        <f>industrie!E22</f>
        <v>5.3242753121232793</v>
      </c>
      <c r="G43" s="684">
        <f>industrie!F22</f>
        <v>331.66387898113834</v>
      </c>
      <c r="H43" s="684">
        <f>industrie!G22</f>
        <v>0</v>
      </c>
      <c r="I43" s="684">
        <f>industrie!H22</f>
        <v>0</v>
      </c>
      <c r="J43" s="684">
        <f>industrie!I22</f>
        <v>0</v>
      </c>
      <c r="K43" s="684">
        <f>industrie!J22</f>
        <v>3.2377198882540212</v>
      </c>
      <c r="L43" s="684">
        <f>industrie!K22</f>
        <v>0</v>
      </c>
      <c r="M43" s="684">
        <f>industrie!L22</f>
        <v>0</v>
      </c>
      <c r="N43" s="684">
        <f>industrie!M22</f>
        <v>0</v>
      </c>
      <c r="O43" s="684">
        <f>industrie!N22</f>
        <v>0</v>
      </c>
      <c r="P43" s="684">
        <f>industrie!O22</f>
        <v>0</v>
      </c>
      <c r="Q43" s="759">
        <f>industrie!P22</f>
        <v>0</v>
      </c>
      <c r="R43" s="839">
        <f t="shared" ca="1" si="4"/>
        <v>1319.3773392570017</v>
      </c>
    </row>
    <row r="44" spans="1:18">
      <c r="A44" s="812"/>
      <c r="B44" s="819" t="s">
        <v>685</v>
      </c>
      <c r="C44" s="684"/>
      <c r="D44" s="684"/>
      <c r="E44" s="684"/>
      <c r="F44" s="684"/>
      <c r="G44" s="684"/>
      <c r="H44" s="684"/>
      <c r="I44" s="684"/>
      <c r="J44" s="684"/>
      <c r="K44" s="684"/>
      <c r="L44" s="684"/>
      <c r="M44" s="684"/>
      <c r="N44" s="684"/>
      <c r="O44" s="684"/>
      <c r="P44" s="684"/>
      <c r="Q44" s="759"/>
      <c r="R44" s="840">
        <f t="shared" si="4"/>
        <v>0</v>
      </c>
    </row>
    <row r="45" spans="1:18" ht="15" thickBot="1">
      <c r="A45" s="989" t="s">
        <v>894</v>
      </c>
      <c r="B45" s="995"/>
      <c r="C45" s="991"/>
      <c r="D45" s="991"/>
      <c r="E45" s="991"/>
      <c r="F45" s="991"/>
      <c r="G45" s="991"/>
      <c r="H45" s="991"/>
      <c r="I45" s="991"/>
      <c r="J45" s="991"/>
      <c r="K45" s="991"/>
      <c r="L45" s="991"/>
      <c r="M45" s="991"/>
      <c r="N45" s="991"/>
      <c r="O45" s="991"/>
      <c r="P45" s="991"/>
      <c r="Q45" s="992"/>
      <c r="R45" s="996"/>
    </row>
    <row r="46" spans="1:18" ht="15.75" thickBot="1">
      <c r="A46" s="813" t="s">
        <v>225</v>
      </c>
      <c r="B46" s="826"/>
      <c r="C46" s="717">
        <f ca="1">SUM(C39:C45)</f>
        <v>8032.6886250881835</v>
      </c>
      <c r="D46" s="717">
        <f t="shared" ref="D46:Q46" ca="1" si="5">SUM(D39:D45)</f>
        <v>0</v>
      </c>
      <c r="E46" s="717">
        <f t="shared" ca="1" si="5"/>
        <v>12004.178597181177</v>
      </c>
      <c r="F46" s="717">
        <f t="shared" si="5"/>
        <v>1633.7403481341071</v>
      </c>
      <c r="G46" s="717">
        <f t="shared" ca="1" si="5"/>
        <v>4679.8689415151066</v>
      </c>
      <c r="H46" s="717">
        <f t="shared" si="5"/>
        <v>0</v>
      </c>
      <c r="I46" s="717">
        <f t="shared" si="5"/>
        <v>0</v>
      </c>
      <c r="J46" s="717">
        <f t="shared" si="5"/>
        <v>0</v>
      </c>
      <c r="K46" s="717">
        <f t="shared" si="5"/>
        <v>613.02173278092414</v>
      </c>
      <c r="L46" s="717">
        <f t="shared" si="5"/>
        <v>0</v>
      </c>
      <c r="M46" s="717">
        <f t="shared" ca="1" si="5"/>
        <v>0</v>
      </c>
      <c r="N46" s="717">
        <f t="shared" si="5"/>
        <v>0</v>
      </c>
      <c r="O46" s="717">
        <f t="shared" ca="1" si="5"/>
        <v>0</v>
      </c>
      <c r="P46" s="717">
        <f t="shared" si="5"/>
        <v>0</v>
      </c>
      <c r="Q46" s="717">
        <f t="shared" si="5"/>
        <v>0</v>
      </c>
      <c r="R46" s="717">
        <f ca="1">SUM(R39:R45)</f>
        <v>26963.498244699498</v>
      </c>
    </row>
    <row r="47" spans="1:18" ht="15.75">
      <c r="A47" s="814" t="s">
        <v>226</v>
      </c>
      <c r="B47" s="824"/>
      <c r="C47" s="710"/>
      <c r="D47" s="711"/>
      <c r="E47" s="711"/>
      <c r="F47" s="711"/>
      <c r="G47" s="711"/>
      <c r="H47" s="711"/>
      <c r="I47" s="711"/>
      <c r="J47" s="711"/>
      <c r="K47" s="711"/>
      <c r="L47" s="711"/>
      <c r="M47" s="720"/>
      <c r="N47" s="720"/>
      <c r="O47" s="711"/>
      <c r="P47" s="720"/>
      <c r="Q47" s="720"/>
      <c r="R47" s="714"/>
    </row>
    <row r="48" spans="1:18">
      <c r="A48" s="812" t="s">
        <v>227</v>
      </c>
      <c r="B48" s="819"/>
      <c r="C48" s="684">
        <f ca="1">'Eigen vloot'!B31</f>
        <v>0</v>
      </c>
      <c r="D48" s="684">
        <f>'Eigen vloot'!C31</f>
        <v>0</v>
      </c>
      <c r="E48" s="684">
        <f>'Eigen vloot'!D31</f>
        <v>0</v>
      </c>
      <c r="F48" s="684">
        <f>'Eigen vloot'!E31</f>
        <v>0</v>
      </c>
      <c r="G48" s="684">
        <f>'Eigen vloot'!F31</f>
        <v>0</v>
      </c>
      <c r="H48" s="684">
        <f>'Eigen vloot'!G31</f>
        <v>0</v>
      </c>
      <c r="I48" s="684">
        <f>'Eigen vloot'!H31</f>
        <v>0</v>
      </c>
      <c r="J48" s="684">
        <f>'Eigen vloot'!I31</f>
        <v>0</v>
      </c>
      <c r="K48" s="684">
        <f>'Eigen vloot'!J31</f>
        <v>0</v>
      </c>
      <c r="L48" s="684">
        <f>'Eigen vloot'!K31</f>
        <v>0</v>
      </c>
      <c r="M48" s="684">
        <f>'Eigen vloot'!L31</f>
        <v>0</v>
      </c>
      <c r="N48" s="684">
        <f>'Eigen vloot'!M31</f>
        <v>0</v>
      </c>
      <c r="O48" s="684">
        <f>'Eigen vloot'!N31</f>
        <v>0</v>
      </c>
      <c r="P48" s="684">
        <f>'Eigen vloot'!O31</f>
        <v>0</v>
      </c>
      <c r="Q48" s="684">
        <f>'Eigen vloot'!P31</f>
        <v>0</v>
      </c>
      <c r="R48" s="715">
        <f ca="1">SUM(C48:Q48)</f>
        <v>0</v>
      </c>
    </row>
    <row r="49" spans="1:18">
      <c r="A49" s="812" t="s">
        <v>228</v>
      </c>
      <c r="B49" s="819"/>
      <c r="C49" s="684">
        <f ca="1">transport!B58</f>
        <v>0</v>
      </c>
      <c r="D49" s="684">
        <f ca="1">transport!C58</f>
        <v>0</v>
      </c>
      <c r="E49" s="684">
        <f>transport!D58</f>
        <v>0</v>
      </c>
      <c r="F49" s="684">
        <f>transport!E58</f>
        <v>0</v>
      </c>
      <c r="G49" s="684">
        <f>transport!F58</f>
        <v>0</v>
      </c>
      <c r="H49" s="684">
        <f>transport!G58</f>
        <v>401.72380597772678</v>
      </c>
      <c r="I49" s="684">
        <f>transport!H58</f>
        <v>0</v>
      </c>
      <c r="J49" s="684">
        <f>transport!I58</f>
        <v>0</v>
      </c>
      <c r="K49" s="684">
        <f>transport!J58</f>
        <v>0</v>
      </c>
      <c r="L49" s="684">
        <f>transport!K58</f>
        <v>0</v>
      </c>
      <c r="M49" s="684">
        <f>transport!L58</f>
        <v>0</v>
      </c>
      <c r="N49" s="684">
        <f>transport!M58</f>
        <v>0</v>
      </c>
      <c r="O49" s="684">
        <f>transport!N58</f>
        <v>0</v>
      </c>
      <c r="P49" s="684">
        <f>transport!O58</f>
        <v>0</v>
      </c>
      <c r="Q49" s="685">
        <f>transport!P58</f>
        <v>0</v>
      </c>
      <c r="R49" s="715">
        <f ca="1">SUM(C49:Q49)</f>
        <v>401.72380597772678</v>
      </c>
    </row>
    <row r="50" spans="1:18">
      <c r="A50" s="815" t="s">
        <v>306</v>
      </c>
      <c r="B50" s="825"/>
      <c r="C50" s="997">
        <f ca="1">transport!B18</f>
        <v>0.6970663614421766</v>
      </c>
      <c r="D50" s="997">
        <f>transport!C18</f>
        <v>0</v>
      </c>
      <c r="E50" s="997">
        <f>transport!D18</f>
        <v>1.6257509080669819</v>
      </c>
      <c r="F50" s="997">
        <f>transport!E18</f>
        <v>115.28852034012519</v>
      </c>
      <c r="G50" s="997">
        <f>transport!F18</f>
        <v>0</v>
      </c>
      <c r="H50" s="997">
        <f>transport!G18</f>
        <v>32928.814526965223</v>
      </c>
      <c r="I50" s="997">
        <f>transport!H18</f>
        <v>5086.3359024385936</v>
      </c>
      <c r="J50" s="997">
        <f>transport!I18</f>
        <v>0</v>
      </c>
      <c r="K50" s="997">
        <f>transport!J18</f>
        <v>0</v>
      </c>
      <c r="L50" s="997">
        <f>transport!K18</f>
        <v>0</v>
      </c>
      <c r="M50" s="997">
        <f>transport!L18</f>
        <v>0</v>
      </c>
      <c r="N50" s="997">
        <f>transport!M18</f>
        <v>0</v>
      </c>
      <c r="O50" s="997">
        <f>transport!N18</f>
        <v>0</v>
      </c>
      <c r="P50" s="997">
        <f>transport!O18</f>
        <v>0</v>
      </c>
      <c r="Q50" s="998">
        <f>transport!P18</f>
        <v>0</v>
      </c>
      <c r="R50" s="716">
        <f ca="1">SUM(C50:Q50)</f>
        <v>38132.76176701345</v>
      </c>
    </row>
    <row r="51" spans="1:18" ht="15" thickBot="1">
      <c r="A51" s="812" t="s">
        <v>895</v>
      </c>
      <c r="B51" s="819"/>
      <c r="C51" s="684"/>
      <c r="D51" s="684"/>
      <c r="E51" s="684"/>
      <c r="F51" s="684"/>
      <c r="G51" s="684"/>
      <c r="H51" s="684"/>
      <c r="I51" s="684"/>
      <c r="J51" s="684"/>
      <c r="K51" s="684"/>
      <c r="L51" s="684"/>
      <c r="M51" s="684"/>
      <c r="N51" s="684"/>
      <c r="O51" s="684"/>
      <c r="P51" s="684"/>
      <c r="Q51" s="685"/>
      <c r="R51" s="715"/>
    </row>
    <row r="52" spans="1:18" ht="15.75" thickBot="1">
      <c r="A52" s="813" t="s">
        <v>229</v>
      </c>
      <c r="B52" s="826"/>
      <c r="C52" s="717">
        <f ca="1">SUM(C48:C51)</f>
        <v>0.6970663614421766</v>
      </c>
      <c r="D52" s="717">
        <f t="shared" ref="D52:Q52" ca="1" si="6">SUM(D48:D51)</f>
        <v>0</v>
      </c>
      <c r="E52" s="717">
        <f t="shared" si="6"/>
        <v>1.6257509080669819</v>
      </c>
      <c r="F52" s="717">
        <f t="shared" si="6"/>
        <v>115.28852034012519</v>
      </c>
      <c r="G52" s="717">
        <f t="shared" si="6"/>
        <v>0</v>
      </c>
      <c r="H52" s="717">
        <f t="shared" si="6"/>
        <v>33330.538332942953</v>
      </c>
      <c r="I52" s="717">
        <f t="shared" si="6"/>
        <v>5086.3359024385936</v>
      </c>
      <c r="J52" s="717">
        <f t="shared" si="6"/>
        <v>0</v>
      </c>
      <c r="K52" s="717">
        <f t="shared" si="6"/>
        <v>0</v>
      </c>
      <c r="L52" s="717">
        <f t="shared" si="6"/>
        <v>0</v>
      </c>
      <c r="M52" s="717">
        <f t="shared" si="6"/>
        <v>0</v>
      </c>
      <c r="N52" s="717">
        <f t="shared" si="6"/>
        <v>0</v>
      </c>
      <c r="O52" s="717">
        <f t="shared" si="6"/>
        <v>0</v>
      </c>
      <c r="P52" s="717">
        <f t="shared" si="6"/>
        <v>0</v>
      </c>
      <c r="Q52" s="717">
        <f t="shared" si="6"/>
        <v>0</v>
      </c>
      <c r="R52" s="717">
        <f ca="1">SUM(R48:R51)</f>
        <v>38534.48557299118</v>
      </c>
    </row>
    <row r="53" spans="1:18" ht="15.75">
      <c r="A53" s="814" t="s">
        <v>236</v>
      </c>
      <c r="B53" s="793"/>
      <c r="C53" s="710"/>
      <c r="D53" s="711"/>
      <c r="E53" s="711"/>
      <c r="F53" s="711"/>
      <c r="G53" s="711"/>
      <c r="H53" s="711"/>
      <c r="I53" s="711"/>
      <c r="J53" s="711"/>
      <c r="K53" s="711"/>
      <c r="L53" s="711"/>
      <c r="M53" s="720"/>
      <c r="N53" s="720"/>
      <c r="O53" s="711"/>
      <c r="P53" s="720"/>
      <c r="Q53" s="720"/>
      <c r="R53" s="714"/>
    </row>
    <row r="54" spans="1:18">
      <c r="A54" s="815" t="s">
        <v>675</v>
      </c>
      <c r="B54" s="825"/>
      <c r="C54" s="997">
        <f ca="1">+landbouw!B12</f>
        <v>718.02617589217948</v>
      </c>
      <c r="D54" s="997">
        <f ca="1">+landbouw!C12</f>
        <v>0</v>
      </c>
      <c r="E54" s="997">
        <f>+landbouw!D12</f>
        <v>459.56908454049113</v>
      </c>
      <c r="F54" s="997">
        <f>+landbouw!E12</f>
        <v>7.3804201615821396</v>
      </c>
      <c r="G54" s="997">
        <f>+landbouw!F12</f>
        <v>3007.0866402242173</v>
      </c>
      <c r="H54" s="997">
        <f>+landbouw!G12</f>
        <v>0</v>
      </c>
      <c r="I54" s="997">
        <f>+landbouw!H12</f>
        <v>0</v>
      </c>
      <c r="J54" s="997">
        <f>+landbouw!I12</f>
        <v>0</v>
      </c>
      <c r="K54" s="997">
        <f>+landbouw!J12</f>
        <v>151.13445196606187</v>
      </c>
      <c r="L54" s="997">
        <f>+landbouw!K12</f>
        <v>0</v>
      </c>
      <c r="M54" s="997">
        <f>+landbouw!L12</f>
        <v>0</v>
      </c>
      <c r="N54" s="997">
        <f>+landbouw!M12</f>
        <v>0</v>
      </c>
      <c r="O54" s="997">
        <f>+landbouw!N12</f>
        <v>0</v>
      </c>
      <c r="P54" s="997">
        <f>+landbouw!O12</f>
        <v>0</v>
      </c>
      <c r="Q54" s="998">
        <f>+landbouw!P12</f>
        <v>0</v>
      </c>
      <c r="R54" s="716">
        <f ca="1">SUM(C54:Q54)</f>
        <v>4343.1967727845313</v>
      </c>
    </row>
    <row r="55" spans="1:18" ht="15" thickBot="1">
      <c r="A55" s="815" t="s">
        <v>896</v>
      </c>
      <c r="B55" s="825"/>
      <c r="C55" s="997">
        <f ca="1">C25*'EF ele_warmte'!B12</f>
        <v>151.23129451654827</v>
      </c>
      <c r="D55" s="997"/>
      <c r="E55" s="997">
        <f>E25*EF_CO2_aardgas</f>
        <v>257.05763184888878</v>
      </c>
      <c r="F55" s="997"/>
      <c r="G55" s="997"/>
      <c r="H55" s="997"/>
      <c r="I55" s="997"/>
      <c r="J55" s="997"/>
      <c r="K55" s="997"/>
      <c r="L55" s="997"/>
      <c r="M55" s="997"/>
      <c r="N55" s="997"/>
      <c r="O55" s="997"/>
      <c r="P55" s="997"/>
      <c r="Q55" s="998"/>
      <c r="R55" s="716">
        <f ca="1">SUM(C55:Q55)</f>
        <v>408.28892636543708</v>
      </c>
    </row>
    <row r="56" spans="1:18" ht="15.75" thickBot="1">
      <c r="A56" s="813" t="s">
        <v>897</v>
      </c>
      <c r="B56" s="826"/>
      <c r="C56" s="717">
        <f ca="1">SUM(C54:C55)</f>
        <v>869.25747040872773</v>
      </c>
      <c r="D56" s="717">
        <f t="shared" ref="D56:Q56" ca="1" si="7">SUM(D54:D55)</f>
        <v>0</v>
      </c>
      <c r="E56" s="717">
        <f t="shared" si="7"/>
        <v>716.62671638937991</v>
      </c>
      <c r="F56" s="717">
        <f t="shared" si="7"/>
        <v>7.3804201615821396</v>
      </c>
      <c r="G56" s="717">
        <f t="shared" si="7"/>
        <v>3007.0866402242173</v>
      </c>
      <c r="H56" s="717">
        <f t="shared" si="7"/>
        <v>0</v>
      </c>
      <c r="I56" s="717">
        <f t="shared" si="7"/>
        <v>0</v>
      </c>
      <c r="J56" s="717">
        <f t="shared" si="7"/>
        <v>0</v>
      </c>
      <c r="K56" s="717">
        <f t="shared" si="7"/>
        <v>151.13445196606187</v>
      </c>
      <c r="L56" s="717">
        <f t="shared" si="7"/>
        <v>0</v>
      </c>
      <c r="M56" s="717">
        <f t="shared" si="7"/>
        <v>0</v>
      </c>
      <c r="N56" s="717">
        <f t="shared" si="7"/>
        <v>0</v>
      </c>
      <c r="O56" s="717">
        <f t="shared" si="7"/>
        <v>0</v>
      </c>
      <c r="P56" s="717">
        <f t="shared" si="7"/>
        <v>0</v>
      </c>
      <c r="Q56" s="718">
        <f t="shared" si="7"/>
        <v>0</v>
      </c>
      <c r="R56" s="719">
        <f ca="1">SUM(R54:R55)</f>
        <v>4751.4856991499682</v>
      </c>
    </row>
    <row r="57" spans="1:18" ht="15.75">
      <c r="A57" s="793" t="s">
        <v>676</v>
      </c>
      <c r="B57" s="793"/>
      <c r="C57" s="722"/>
      <c r="D57" s="711"/>
      <c r="E57" s="711"/>
      <c r="F57" s="711"/>
      <c r="G57" s="711"/>
      <c r="H57" s="711"/>
      <c r="I57" s="711"/>
      <c r="J57" s="711"/>
      <c r="K57" s="711"/>
      <c r="L57" s="711"/>
      <c r="M57" s="720"/>
      <c r="N57" s="720"/>
      <c r="O57" s="711"/>
      <c r="P57" s="720"/>
      <c r="Q57" s="720"/>
      <c r="R57" s="714"/>
    </row>
    <row r="58" spans="1:18" ht="15">
      <c r="A58" s="816" t="s">
        <v>237</v>
      </c>
      <c r="B58" s="830"/>
      <c r="C58" s="1128"/>
      <c r="D58" s="1129"/>
      <c r="E58" s="1129"/>
      <c r="F58" s="1129"/>
      <c r="G58" s="1129"/>
      <c r="H58" s="1129"/>
      <c r="I58" s="1129"/>
      <c r="J58" s="1129"/>
      <c r="K58" s="1129"/>
      <c r="L58" s="1129"/>
      <c r="M58" s="1129"/>
      <c r="N58" s="1129"/>
      <c r="O58" s="1129"/>
      <c r="P58" s="1129"/>
      <c r="Q58" s="1129"/>
      <c r="R58" s="723"/>
    </row>
    <row r="59" spans="1:18" ht="15">
      <c r="A59" s="817" t="s">
        <v>238</v>
      </c>
      <c r="B59" s="804"/>
      <c r="C59" s="1130"/>
      <c r="D59" s="1131"/>
      <c r="E59" s="1131"/>
      <c r="F59" s="1131"/>
      <c r="G59" s="1131"/>
      <c r="H59" s="1131"/>
      <c r="I59" s="1131"/>
      <c r="J59" s="1131"/>
      <c r="K59" s="1131"/>
      <c r="L59" s="1131"/>
      <c r="M59" s="1131"/>
      <c r="N59" s="1131"/>
      <c r="O59" s="1131"/>
      <c r="P59" s="1131"/>
      <c r="Q59" s="1131"/>
      <c r="R59" s="724"/>
    </row>
    <row r="60" spans="1:18" ht="15" thickBot="1">
      <c r="A60" s="828" t="s">
        <v>239</v>
      </c>
      <c r="B60" s="829"/>
      <c r="C60" s="1130"/>
      <c r="D60" s="1131"/>
      <c r="E60" s="1131"/>
      <c r="F60" s="1131"/>
      <c r="G60" s="1131"/>
      <c r="H60" s="1131"/>
      <c r="I60" s="1131"/>
      <c r="J60" s="1131"/>
      <c r="K60" s="1131"/>
      <c r="L60" s="1131"/>
      <c r="M60" s="1131"/>
      <c r="N60" s="1131"/>
      <c r="O60" s="1131"/>
      <c r="P60" s="1131"/>
      <c r="Q60" s="1131"/>
      <c r="R60" s="716"/>
    </row>
    <row r="61" spans="1:18" ht="16.5" thickBot="1">
      <c r="A61" s="831" t="s">
        <v>115</v>
      </c>
      <c r="B61" s="832"/>
      <c r="C61" s="725">
        <f ca="1">C46+C52+C56</f>
        <v>8902.6431618583538</v>
      </c>
      <c r="D61" s="725">
        <f t="shared" ref="D61:Q61" ca="1" si="8">D46+D52+D56</f>
        <v>0</v>
      </c>
      <c r="E61" s="725">
        <f t="shared" ca="1" si="8"/>
        <v>12722.431064478624</v>
      </c>
      <c r="F61" s="725">
        <f t="shared" si="8"/>
        <v>1756.4092886358144</v>
      </c>
      <c r="G61" s="725">
        <f t="shared" ca="1" si="8"/>
        <v>7686.9555817393239</v>
      </c>
      <c r="H61" s="725">
        <f t="shared" si="8"/>
        <v>33330.538332942953</v>
      </c>
      <c r="I61" s="725">
        <f t="shared" si="8"/>
        <v>5086.3359024385936</v>
      </c>
      <c r="J61" s="725">
        <f t="shared" si="8"/>
        <v>0</v>
      </c>
      <c r="K61" s="725">
        <f t="shared" si="8"/>
        <v>764.15618474698601</v>
      </c>
      <c r="L61" s="725">
        <f t="shared" si="8"/>
        <v>0</v>
      </c>
      <c r="M61" s="725">
        <f t="shared" ca="1" si="8"/>
        <v>0</v>
      </c>
      <c r="N61" s="725">
        <f t="shared" si="8"/>
        <v>0</v>
      </c>
      <c r="O61" s="725">
        <f t="shared" ca="1" si="8"/>
        <v>0</v>
      </c>
      <c r="P61" s="725">
        <f t="shared" si="8"/>
        <v>0</v>
      </c>
      <c r="Q61" s="725">
        <f t="shared" si="8"/>
        <v>0</v>
      </c>
      <c r="R61" s="725">
        <f ca="1">R46+R52+R56</f>
        <v>70249.469516840647</v>
      </c>
    </row>
    <row r="62" spans="1:18" ht="15.75" thickTop="1" thickBot="1">
      <c r="A62" s="974"/>
      <c r="B62" s="974"/>
      <c r="C62" s="726"/>
      <c r="D62" s="726"/>
      <c r="E62" s="727"/>
      <c r="F62" s="727"/>
      <c r="G62" s="727"/>
      <c r="H62" s="727"/>
      <c r="I62" s="727"/>
      <c r="J62" s="727"/>
      <c r="K62" s="727"/>
      <c r="L62" s="727"/>
      <c r="M62" s="727"/>
      <c r="N62" s="727"/>
      <c r="O62" s="727"/>
      <c r="P62" s="727"/>
      <c r="Q62" s="727"/>
      <c r="R62" s="727"/>
    </row>
    <row r="63" spans="1:18" ht="20.25" thickTop="1" thickBot="1">
      <c r="A63" s="728" t="s">
        <v>347</v>
      </c>
      <c r="B63" s="811"/>
      <c r="C63" s="769">
        <f t="shared" ref="C63:Q63" ca="1" si="9">IF(ISERROR(C61/C27),0,C61/C27)</f>
        <v>0.20804957814374317</v>
      </c>
      <c r="D63" s="769">
        <f t="shared" ca="1" si="9"/>
        <v>0</v>
      </c>
      <c r="E63" s="999">
        <f t="shared" ca="1" si="9"/>
        <v>0.20200000000000001</v>
      </c>
      <c r="F63" s="769">
        <f t="shared" si="9"/>
        <v>0.22699999999999998</v>
      </c>
      <c r="G63" s="769">
        <f t="shared" ca="1" si="9"/>
        <v>0.26700000000000002</v>
      </c>
      <c r="H63" s="769">
        <f t="shared" si="9"/>
        <v>0.26700000000000007</v>
      </c>
      <c r="I63" s="769">
        <f t="shared" si="9"/>
        <v>0.249</v>
      </c>
      <c r="J63" s="769">
        <f t="shared" si="9"/>
        <v>0</v>
      </c>
      <c r="K63" s="769">
        <f t="shared" si="9"/>
        <v>0.35399999999999998</v>
      </c>
      <c r="L63" s="769">
        <f t="shared" si="9"/>
        <v>0</v>
      </c>
      <c r="M63" s="769">
        <f t="shared" ca="1" si="9"/>
        <v>0</v>
      </c>
      <c r="N63" s="769">
        <f t="shared" si="9"/>
        <v>0</v>
      </c>
      <c r="O63" s="769">
        <f t="shared" ca="1" si="9"/>
        <v>0</v>
      </c>
      <c r="P63" s="769">
        <f t="shared" si="9"/>
        <v>0</v>
      </c>
      <c r="Q63" s="769">
        <f t="shared" si="9"/>
        <v>0</v>
      </c>
      <c r="R63" s="727"/>
    </row>
    <row r="64" spans="1:18" ht="33" thickTop="1" thickBot="1">
      <c r="A64" s="818" t="s">
        <v>348</v>
      </c>
      <c r="B64" s="796"/>
      <c r="C64" s="770">
        <f>'EF ele_warmte'!B6</f>
        <v>0.221</v>
      </c>
      <c r="D64" s="771"/>
      <c r="E64" s="772"/>
      <c r="F64" s="773"/>
      <c r="G64" s="773"/>
      <c r="H64" s="773"/>
      <c r="I64" s="773"/>
      <c r="J64" s="773"/>
      <c r="K64" s="773"/>
      <c r="L64" s="773"/>
      <c r="M64" s="773"/>
      <c r="N64" s="773"/>
      <c r="O64" s="773"/>
      <c r="P64" s="773"/>
      <c r="Q64" s="773"/>
      <c r="R64" s="727"/>
    </row>
    <row r="65" spans="1:18" ht="15" thickTop="1">
      <c r="A65" s="729"/>
      <c r="B65" s="729"/>
      <c r="C65" s="727"/>
      <c r="D65" s="727"/>
      <c r="E65" s="727"/>
      <c r="F65" s="727"/>
      <c r="G65" s="727"/>
      <c r="H65" s="727"/>
      <c r="I65" s="727"/>
      <c r="J65" s="727"/>
      <c r="K65" s="727"/>
      <c r="L65" s="727"/>
      <c r="M65" s="727"/>
      <c r="N65" s="727"/>
      <c r="O65" s="727"/>
      <c r="P65" s="727"/>
      <c r="Q65" s="727"/>
      <c r="R65" s="727"/>
    </row>
    <row r="66" spans="1:18" ht="18.75">
      <c r="A66" s="730" t="s">
        <v>349</v>
      </c>
      <c r="B66" s="730"/>
      <c r="C66" s="703"/>
      <c r="D66" s="731"/>
      <c r="E66" s="703"/>
      <c r="F66" s="703"/>
      <c r="G66" s="703"/>
      <c r="H66" s="703"/>
      <c r="I66" s="703"/>
      <c r="J66" s="703"/>
      <c r="K66" s="703"/>
      <c r="L66" s="703"/>
      <c r="M66" s="703"/>
      <c r="N66" s="703"/>
      <c r="O66" s="703"/>
      <c r="P66" s="732"/>
      <c r="Q66" s="732"/>
      <c r="R66" s="732"/>
    </row>
    <row r="67" spans="1:18">
      <c r="A67" s="1097"/>
      <c r="B67" s="1097"/>
      <c r="C67" s="1097"/>
      <c r="D67" s="1097"/>
      <c r="E67" s="1097"/>
      <c r="F67" s="1097"/>
      <c r="G67" s="1097"/>
      <c r="H67" s="1097"/>
      <c r="I67" s="1097"/>
      <c r="J67" s="1097"/>
      <c r="K67" s="1097"/>
      <c r="L67" s="1097"/>
      <c r="M67" s="1097"/>
      <c r="N67" s="1097"/>
      <c r="O67" s="1097"/>
      <c r="P67" s="1097"/>
      <c r="Q67" s="1097"/>
      <c r="R67" s="733"/>
    </row>
    <row r="68" spans="1:18" ht="16.5" customHeight="1" thickBot="1">
      <c r="A68" s="706"/>
      <c r="B68" s="706"/>
      <c r="C68" s="707"/>
      <c r="D68" s="707"/>
      <c r="E68" s="707"/>
      <c r="F68" s="707"/>
      <c r="G68" s="707"/>
      <c r="H68" s="707"/>
      <c r="I68" s="707"/>
      <c r="J68" s="707"/>
      <c r="K68" s="707"/>
      <c r="L68" s="707"/>
      <c r="M68" s="707"/>
      <c r="N68" s="707"/>
      <c r="O68" s="707"/>
      <c r="P68" s="707"/>
      <c r="Q68" s="707"/>
      <c r="R68" s="707"/>
    </row>
    <row r="69" spans="1:18" ht="48.75" customHeight="1" thickTop="1" thickBot="1">
      <c r="A69" s="1098" t="s">
        <v>240</v>
      </c>
      <c r="B69" s="1076" t="s">
        <v>350</v>
      </c>
      <c r="C69" s="1077"/>
      <c r="D69" s="1120" t="s">
        <v>351</v>
      </c>
      <c r="E69" s="1121"/>
      <c r="F69" s="1121"/>
      <c r="G69" s="1121"/>
      <c r="H69" s="1121"/>
      <c r="I69" s="1121"/>
      <c r="J69" s="1121"/>
      <c r="K69" s="1121"/>
      <c r="L69" s="1121"/>
      <c r="M69" s="1121"/>
      <c r="N69" s="1121"/>
      <c r="O69" s="1122"/>
      <c r="P69" s="1000" t="s">
        <v>690</v>
      </c>
      <c r="Q69" s="1123" t="s">
        <v>689</v>
      </c>
      <c r="R69" s="1124"/>
    </row>
    <row r="70" spans="1:18" ht="61.5" thickTop="1" thickBot="1">
      <c r="A70" s="1099"/>
      <c r="B70" s="1118"/>
      <c r="C70" s="1119"/>
      <c r="D70" s="1125" t="s">
        <v>196</v>
      </c>
      <c r="E70" s="1126"/>
      <c r="F70" s="1126"/>
      <c r="G70" s="1126"/>
      <c r="H70" s="1127"/>
      <c r="I70" s="967" t="s">
        <v>245</v>
      </c>
      <c r="J70" s="967" t="s">
        <v>233</v>
      </c>
      <c r="K70" s="967" t="s">
        <v>208</v>
      </c>
      <c r="L70" s="967" t="s">
        <v>209</v>
      </c>
      <c r="M70" s="734" t="s">
        <v>244</v>
      </c>
      <c r="N70" s="967" t="s">
        <v>246</v>
      </c>
      <c r="O70" s="969" t="s">
        <v>126</v>
      </c>
      <c r="P70" s="1001"/>
      <c r="Q70" s="846"/>
      <c r="R70" s="847"/>
    </row>
    <row r="71" spans="1:18" ht="95.25" customHeight="1" thickTop="1" thickBot="1">
      <c r="A71" s="1100"/>
      <c r="B71" s="972" t="s">
        <v>688</v>
      </c>
      <c r="C71" s="972" t="s">
        <v>898</v>
      </c>
      <c r="D71" s="1002" t="s">
        <v>198</v>
      </c>
      <c r="E71" s="1003" t="s">
        <v>199</v>
      </c>
      <c r="F71" s="967" t="s">
        <v>200</v>
      </c>
      <c r="G71" s="964" t="s">
        <v>202</v>
      </c>
      <c r="H71" s="1004" t="s">
        <v>203</v>
      </c>
      <c r="I71" s="968"/>
      <c r="J71" s="968"/>
      <c r="K71" s="968"/>
      <c r="L71" s="968"/>
      <c r="M71" s="965"/>
      <c r="N71" s="968"/>
      <c r="O71" s="973"/>
      <c r="P71" s="1005"/>
      <c r="Q71" s="975" t="s">
        <v>691</v>
      </c>
      <c r="R71" s="973" t="s">
        <v>692</v>
      </c>
    </row>
    <row r="72" spans="1:18" ht="15.75" thickTop="1">
      <c r="A72" s="735" t="s">
        <v>248</v>
      </c>
      <c r="B72" s="833">
        <f>'lokale energieproductie'!B4</f>
        <v>0</v>
      </c>
      <c r="C72" s="1116"/>
      <c r="D72" s="1116"/>
      <c r="E72" s="1117"/>
      <c r="F72" s="1117"/>
      <c r="G72" s="1107"/>
      <c r="H72" s="1110"/>
      <c r="I72" s="1113"/>
      <c r="J72" s="970"/>
      <c r="K72" s="1091"/>
      <c r="L72" s="1091"/>
      <c r="M72" s="1091"/>
      <c r="N72" s="1091"/>
      <c r="O72" s="1094"/>
      <c r="P72" s="841">
        <v>0</v>
      </c>
      <c r="Q72" s="1006"/>
      <c r="R72" s="841">
        <v>0</v>
      </c>
    </row>
    <row r="73" spans="1:18" ht="15">
      <c r="A73" s="736" t="s">
        <v>249</v>
      </c>
      <c r="B73" s="735">
        <f>'lokale energieproductie'!B5</f>
        <v>0</v>
      </c>
      <c r="C73" s="1114"/>
      <c r="D73" s="1114"/>
      <c r="E73" s="1092"/>
      <c r="F73" s="1092"/>
      <c r="G73" s="1108"/>
      <c r="H73" s="1111"/>
      <c r="I73" s="1114"/>
      <c r="J73" s="971"/>
      <c r="K73" s="1092"/>
      <c r="L73" s="1092"/>
      <c r="M73" s="1092"/>
      <c r="N73" s="1092"/>
      <c r="O73" s="1095"/>
      <c r="P73" s="842">
        <v>0</v>
      </c>
      <c r="Q73" s="848"/>
      <c r="R73" s="842">
        <v>0</v>
      </c>
    </row>
    <row r="74" spans="1:18" ht="15">
      <c r="A74" s="736" t="s">
        <v>250</v>
      </c>
      <c r="B74" s="735">
        <f>'lokale energieproductie'!B6</f>
        <v>2507.5163222840888</v>
      </c>
      <c r="C74" s="1114"/>
      <c r="D74" s="1114"/>
      <c r="E74" s="1092"/>
      <c r="F74" s="1092"/>
      <c r="G74" s="1108"/>
      <c r="H74" s="1111"/>
      <c r="I74" s="1114"/>
      <c r="J74" s="971"/>
      <c r="K74" s="1092"/>
      <c r="L74" s="1092"/>
      <c r="M74" s="1092"/>
      <c r="N74" s="1092"/>
      <c r="O74" s="1095"/>
      <c r="P74" s="842">
        <v>0</v>
      </c>
      <c r="Q74" s="848"/>
      <c r="R74" s="842">
        <v>0</v>
      </c>
    </row>
    <row r="75" spans="1:18" ht="15.75" thickBot="1">
      <c r="A75" s="736" t="s">
        <v>893</v>
      </c>
      <c r="B75" s="735">
        <f>'lokale energieproductie'!B7</f>
        <v>0</v>
      </c>
      <c r="C75" s="1115"/>
      <c r="D75" s="1115"/>
      <c r="E75" s="1093"/>
      <c r="F75" s="1093"/>
      <c r="G75" s="1109"/>
      <c r="H75" s="1112"/>
      <c r="I75" s="1115"/>
      <c r="J75" s="1007"/>
      <c r="K75" s="1093"/>
      <c r="L75" s="1093"/>
      <c r="M75" s="1093"/>
      <c r="N75" s="1093"/>
      <c r="O75" s="1096"/>
      <c r="P75" s="842">
        <v>0</v>
      </c>
      <c r="Q75" s="1008"/>
      <c r="R75" s="842">
        <v>0</v>
      </c>
    </row>
    <row r="76" spans="1:18" ht="15">
      <c r="A76" s="737" t="s">
        <v>251</v>
      </c>
      <c r="B76" s="735">
        <f>'lokale energieproductie'!B8*IFERROR(SUM(I76:O76)/SUM(D76:O76),0)</f>
        <v>0</v>
      </c>
      <c r="C76" s="735">
        <f>'lokale energieproductie'!B8*IFERROR(SUM(D76:H76)/SUM(D76:O76),0)</f>
        <v>0</v>
      </c>
      <c r="D76" s="1009">
        <f>'lokale energieproductie'!C8</f>
        <v>0</v>
      </c>
      <c r="E76" s="1010">
        <f>'lokale energieproductie'!D8</f>
        <v>0</v>
      </c>
      <c r="F76" s="1010">
        <f>'lokale energieproductie'!E8</f>
        <v>0</v>
      </c>
      <c r="G76" s="1010">
        <f>'lokale energieproductie'!F8</f>
        <v>0</v>
      </c>
      <c r="H76" s="1010">
        <f>'lokale energieproductie'!G8</f>
        <v>0</v>
      </c>
      <c r="I76" s="1010">
        <f>'lokale energieproductie'!I8</f>
        <v>0</v>
      </c>
      <c r="J76" s="1010">
        <f>'lokale energieproductie'!J8</f>
        <v>0</v>
      </c>
      <c r="K76" s="1010">
        <f>'lokale energieproductie'!M8</f>
        <v>0</v>
      </c>
      <c r="L76" s="1010">
        <f>'lokale energieproductie'!N8</f>
        <v>0</v>
      </c>
      <c r="M76" s="1010">
        <f>'lokale energieproductie'!H8</f>
        <v>0</v>
      </c>
      <c r="N76" s="1010">
        <f>'lokale energieproductie'!K8</f>
        <v>0</v>
      </c>
      <c r="O76" s="1011">
        <f>'lokale energieproductie'!L8</f>
        <v>0</v>
      </c>
      <c r="P76" s="1012"/>
      <c r="Q76" s="843">
        <f>D76*EF_CO2_aardgas+E76*EF_VLgas_CO2+'SEAP template'!F76*EF_stookolie_CO2+EF_bruinkool_CO2*'SEAP template'!G76+'SEAP template'!H76*EF_steenkool_CO2+'EF brandstof'!M4*'SEAP template'!M76+'SEAP template'!O76*EF_anderfossiel_CO2</f>
        <v>0</v>
      </c>
      <c r="R76" s="842">
        <v>0</v>
      </c>
    </row>
    <row r="77" spans="1:18" ht="30.75" thickBot="1">
      <c r="A77" s="738" t="s">
        <v>352</v>
      </c>
      <c r="B77" s="735">
        <f>'lokale energieproductie'!B9*IFERROR(SUM(I77:O77)/SUM(D77:O77),0)</f>
        <v>0</v>
      </c>
      <c r="C77" s="735">
        <f>'lokale energieproductie'!B9*IFERROR(SUM(D77:H77)/SUM(D77:O77),0)</f>
        <v>0</v>
      </c>
      <c r="D77" s="760">
        <f>'lokale energieproductie'!C9</f>
        <v>0</v>
      </c>
      <c r="E77" s="761">
        <f>'lokale energieproductie'!D9</f>
        <v>0</v>
      </c>
      <c r="F77" s="761">
        <f>'lokale energieproductie'!E9</f>
        <v>0</v>
      </c>
      <c r="G77" s="761">
        <f>'lokale energieproductie'!F9</f>
        <v>0</v>
      </c>
      <c r="H77" s="761">
        <f>'lokale energieproductie'!G9</f>
        <v>0</v>
      </c>
      <c r="I77" s="1010">
        <f>'lokale energieproductie'!I9</f>
        <v>0</v>
      </c>
      <c r="J77" s="1010">
        <f>'lokale energieproductie'!J9</f>
        <v>0</v>
      </c>
      <c r="K77" s="1010">
        <f>'lokale energieproductie'!M9</f>
        <v>0</v>
      </c>
      <c r="L77" s="1010">
        <f>'lokale energieproductie'!N9</f>
        <v>0</v>
      </c>
      <c r="M77" s="1010">
        <f>'lokale energieproductie'!H9</f>
        <v>0</v>
      </c>
      <c r="N77" s="1010">
        <f>'lokale energieproductie'!K9</f>
        <v>0</v>
      </c>
      <c r="O77" s="1011">
        <f>'lokale energieproductie'!L9</f>
        <v>0</v>
      </c>
      <c r="P77" s="835"/>
      <c r="Q77" s="843">
        <f>D77*EF_CO2_aardgas+E77*EF_VLgas_CO2+'SEAP template'!F77*EF_stookolie_CO2+EF_bruinkool_CO2*'SEAP template'!G77+'SEAP template'!H77*EF_steenkool_CO2+'EF brandstof'!M4*'SEAP template'!M77+'SEAP template'!O77*EF_anderfossiel_CO2</f>
        <v>0</v>
      </c>
      <c r="R77" s="845">
        <v>0</v>
      </c>
    </row>
    <row r="78" spans="1:18" ht="16.5" thickTop="1" thickBot="1">
      <c r="A78" s="739" t="s">
        <v>115</v>
      </c>
      <c r="B78" s="740">
        <f>SUM(B72:B77)</f>
        <v>2507.5163222840888</v>
      </c>
      <c r="C78" s="740">
        <f>SUM(C72:C77)</f>
        <v>0</v>
      </c>
      <c r="D78" s="741">
        <f t="shared" ref="D78:H78" si="10">SUM(D76:D77)</f>
        <v>0</v>
      </c>
      <c r="E78" s="741">
        <f t="shared" si="10"/>
        <v>0</v>
      </c>
      <c r="F78" s="741">
        <f t="shared" si="10"/>
        <v>0</v>
      </c>
      <c r="G78" s="741">
        <f t="shared" si="10"/>
        <v>0</v>
      </c>
      <c r="H78" s="741">
        <f t="shared" si="10"/>
        <v>0</v>
      </c>
      <c r="I78" s="741">
        <f>SUM(I76:I77)</f>
        <v>0</v>
      </c>
      <c r="J78" s="741">
        <f>SUM(J76:J77)</f>
        <v>0</v>
      </c>
      <c r="K78" s="741">
        <f t="shared" ref="K78:L78" si="11">SUM(K76:K77)</f>
        <v>0</v>
      </c>
      <c r="L78" s="741">
        <f t="shared" si="11"/>
        <v>0</v>
      </c>
      <c r="M78" s="741">
        <f>SUM(M76:M77)</f>
        <v>0</v>
      </c>
      <c r="N78" s="741">
        <f>SUM(N76:N77)</f>
        <v>0</v>
      </c>
      <c r="O78" s="850">
        <f>SUM(O76:O77)</f>
        <v>0</v>
      </c>
      <c r="P78" s="742">
        <v>0</v>
      </c>
      <c r="Q78" s="742">
        <f>SUM(Q76:Q77)</f>
        <v>0</v>
      </c>
      <c r="R78" s="742">
        <f>SUM(R72:R77)</f>
        <v>0</v>
      </c>
    </row>
    <row r="79" spans="1:18" ht="15.75" thickTop="1">
      <c r="A79" s="743"/>
      <c r="B79" s="797"/>
      <c r="C79" s="744"/>
      <c r="D79" s="744"/>
      <c r="E79" s="704"/>
      <c r="F79" s="703"/>
      <c r="G79" s="703"/>
      <c r="H79" s="703"/>
      <c r="I79" s="745"/>
      <c r="J79" s="703"/>
      <c r="K79" s="703"/>
      <c r="L79" s="703"/>
      <c r="M79" s="703"/>
      <c r="N79" s="746"/>
      <c r="O79" s="703"/>
      <c r="P79" s="703"/>
      <c r="Q79" s="703"/>
      <c r="R79" s="703"/>
    </row>
    <row r="80" spans="1:18" ht="15">
      <c r="A80" s="974"/>
      <c r="B80" s="974"/>
      <c r="C80" s="744"/>
      <c r="D80" s="744"/>
      <c r="E80" s="703"/>
      <c r="F80" s="703"/>
      <c r="G80" s="703"/>
      <c r="H80" s="703"/>
      <c r="I80" s="703"/>
      <c r="J80" s="703"/>
      <c r="K80" s="703"/>
      <c r="L80" s="703"/>
      <c r="M80" s="703"/>
      <c r="N80" s="703"/>
      <c r="O80" s="703"/>
      <c r="P80" s="703"/>
      <c r="Q80" s="703"/>
      <c r="R80" s="703"/>
    </row>
    <row r="81" spans="1:19" ht="18.75">
      <c r="A81" s="747" t="s">
        <v>353</v>
      </c>
      <c r="B81" s="747"/>
      <c r="C81" s="748"/>
      <c r="D81" s="731"/>
      <c r="E81" s="703"/>
      <c r="F81" s="703"/>
      <c r="G81" s="703"/>
      <c r="H81" s="703"/>
      <c r="I81" s="703"/>
      <c r="J81" s="703"/>
      <c r="K81" s="703"/>
      <c r="L81" s="703"/>
      <c r="M81" s="703"/>
      <c r="N81" s="703"/>
      <c r="O81" s="703"/>
      <c r="P81" s="703"/>
      <c r="Q81" s="703"/>
      <c r="R81" s="703"/>
    </row>
    <row r="82" spans="1:19">
      <c r="A82" s="1097"/>
      <c r="B82" s="1097"/>
      <c r="C82" s="1097"/>
      <c r="D82" s="1097"/>
      <c r="E82" s="1097"/>
      <c r="F82" s="1097"/>
      <c r="G82" s="1097"/>
      <c r="H82" s="1097"/>
      <c r="I82" s="1097"/>
      <c r="J82" s="1097"/>
      <c r="K82" s="1097"/>
      <c r="L82" s="1097"/>
      <c r="M82" s="1097"/>
      <c r="N82" s="1097"/>
      <c r="O82" s="1097"/>
      <c r="P82" s="1097"/>
      <c r="Q82" s="733"/>
      <c r="R82" s="733"/>
    </row>
    <row r="83" spans="1:19" ht="15.75" thickBot="1">
      <c r="A83" s="706"/>
      <c r="B83" s="706"/>
      <c r="C83" s="707"/>
      <c r="D83" s="707"/>
      <c r="E83" s="707"/>
      <c r="F83" s="707"/>
      <c r="G83" s="707"/>
      <c r="H83" s="707"/>
      <c r="I83" s="707"/>
      <c r="J83" s="707"/>
      <c r="K83" s="707"/>
      <c r="L83" s="707"/>
      <c r="M83" s="707"/>
      <c r="N83" s="707"/>
      <c r="O83" s="707"/>
      <c r="P83" s="707"/>
      <c r="Q83" s="707"/>
      <c r="R83" s="707"/>
    </row>
    <row r="84" spans="1:19" ht="48.2" customHeight="1" thickTop="1" thickBot="1">
      <c r="A84" s="1098" t="s">
        <v>252</v>
      </c>
      <c r="B84" s="1076" t="s">
        <v>354</v>
      </c>
      <c r="C84" s="1101"/>
      <c r="D84" s="1104" t="s">
        <v>355</v>
      </c>
      <c r="E84" s="1105"/>
      <c r="F84" s="1105"/>
      <c r="G84" s="1105"/>
      <c r="H84" s="1105"/>
      <c r="I84" s="1105"/>
      <c r="J84" s="1105"/>
      <c r="K84" s="1105"/>
      <c r="L84" s="1105"/>
      <c r="M84" s="1105"/>
      <c r="N84" s="1105"/>
      <c r="O84" s="1106"/>
      <c r="P84" s="1000" t="s">
        <v>690</v>
      </c>
      <c r="Q84" s="1076" t="s">
        <v>689</v>
      </c>
      <c r="R84" s="1077"/>
    </row>
    <row r="85" spans="1:19" ht="16.5" customHeight="1" thickTop="1" thickBot="1">
      <c r="A85" s="1099"/>
      <c r="B85" s="1102"/>
      <c r="C85" s="1103"/>
      <c r="D85" s="1078" t="s">
        <v>196</v>
      </c>
      <c r="E85" s="1079"/>
      <c r="F85" s="1079"/>
      <c r="G85" s="1079"/>
      <c r="H85" s="1080"/>
      <c r="I85" s="1081" t="s">
        <v>245</v>
      </c>
      <c r="J85" s="1083" t="s">
        <v>233</v>
      </c>
      <c r="K85" s="1085" t="s">
        <v>208</v>
      </c>
      <c r="L85" s="1085" t="s">
        <v>209</v>
      </c>
      <c r="M85" s="1087" t="s">
        <v>244</v>
      </c>
      <c r="N85" s="1085" t="s">
        <v>256</v>
      </c>
      <c r="O85" s="1089" t="s">
        <v>126</v>
      </c>
      <c r="P85" s="1001"/>
      <c r="Q85" s="846"/>
      <c r="R85" s="847"/>
    </row>
    <row r="86" spans="1:19" ht="110.25" customHeight="1" thickTop="1" thickBot="1">
      <c r="A86" s="1100"/>
      <c r="B86" s="834" t="s">
        <v>688</v>
      </c>
      <c r="C86" s="834" t="s">
        <v>898</v>
      </c>
      <c r="D86" s="975" t="s">
        <v>198</v>
      </c>
      <c r="E86" s="968" t="s">
        <v>199</v>
      </c>
      <c r="F86" s="966" t="s">
        <v>200</v>
      </c>
      <c r="G86" s="968" t="s">
        <v>202</v>
      </c>
      <c r="H86" s="749" t="s">
        <v>203</v>
      </c>
      <c r="I86" s="1082"/>
      <c r="J86" s="1084"/>
      <c r="K86" s="1086"/>
      <c r="L86" s="1086"/>
      <c r="M86" s="1088"/>
      <c r="N86" s="1086"/>
      <c r="O86" s="1090"/>
      <c r="P86" s="1005"/>
      <c r="Q86" s="975" t="s">
        <v>691</v>
      </c>
      <c r="R86" s="973" t="s">
        <v>692</v>
      </c>
    </row>
    <row r="87" spans="1:19" ht="15.75" thickTop="1">
      <c r="A87" s="750" t="s">
        <v>251</v>
      </c>
      <c r="B87" s="751">
        <f>'lokale energieproductie'!B17*IFERROR(SUM(I87:O87)/SUM(D87:O87),0)</f>
        <v>0</v>
      </c>
      <c r="C87" s="751">
        <f>'lokale energieproductie'!B17*IFERROR(SUM(D87:H87)/SUM(D87:O87),0)</f>
        <v>0</v>
      </c>
      <c r="D87" s="762">
        <f>'lokale energieproductie'!C17</f>
        <v>0</v>
      </c>
      <c r="E87" s="762">
        <f>'lokale energieproductie'!D17</f>
        <v>0</v>
      </c>
      <c r="F87" s="762">
        <f>'lokale energieproductie'!E17</f>
        <v>0</v>
      </c>
      <c r="G87" s="762">
        <f>'lokale energieproductie'!F17</f>
        <v>0</v>
      </c>
      <c r="H87" s="762">
        <f>'lokale energieproductie'!G17</f>
        <v>0</v>
      </c>
      <c r="I87" s="762">
        <f>'lokale energieproductie'!I17</f>
        <v>0</v>
      </c>
      <c r="J87" s="762">
        <f>'lokale energieproductie'!J17</f>
        <v>0</v>
      </c>
      <c r="K87" s="762">
        <f>'lokale energieproductie'!M17</f>
        <v>0</v>
      </c>
      <c r="L87" s="762">
        <f>'lokale energieproductie'!N17</f>
        <v>0</v>
      </c>
      <c r="M87" s="762">
        <f>'lokale energieproductie'!H17</f>
        <v>0</v>
      </c>
      <c r="N87" s="762">
        <f>'lokale energieproductie'!K17</f>
        <v>0</v>
      </c>
      <c r="O87" s="762">
        <f>'lokale energieproductie'!L17</f>
        <v>0</v>
      </c>
      <c r="P87" s="1073"/>
      <c r="Q87" s="849">
        <f>D87*EF_CO2_aardgas+E87*EF_VLgas_CO2+'SEAP template'!F87*EF_stookolie_CO2+EF_bruinkool_CO2*'SEAP template'!G87+'SEAP template'!H87*EF_steenkool_CO2+'EF brandstof'!M4*'SEAP template'!M87+'SEAP template'!O87*EF_anderfossiel_CO2</f>
        <v>0</v>
      </c>
      <c r="R87" s="836">
        <v>0</v>
      </c>
    </row>
    <row r="88" spans="1:19" ht="15">
      <c r="A88" s="752" t="s">
        <v>257</v>
      </c>
      <c r="B88" s="751">
        <f>'lokale energieproductie'!B18*IFERROR(SUM(I88:O88)/SUM(D88:O88),0)</f>
        <v>0</v>
      </c>
      <c r="C88" s="751">
        <f>'lokale energieproductie'!B18*IFERROR(SUM(D88:H88)/SUM(D88:O88),0)</f>
        <v>0</v>
      </c>
      <c r="D88" s="762">
        <f>'lokale energieproductie'!C18</f>
        <v>0</v>
      </c>
      <c r="E88" s="762">
        <f>'lokale energieproductie'!D18</f>
        <v>0</v>
      </c>
      <c r="F88" s="762">
        <f>'lokale energieproductie'!E18</f>
        <v>0</v>
      </c>
      <c r="G88" s="762">
        <f>'lokale energieproductie'!F18</f>
        <v>0</v>
      </c>
      <c r="H88" s="762">
        <f>'lokale energieproductie'!G18</f>
        <v>0</v>
      </c>
      <c r="I88" s="762">
        <f>'lokale energieproductie'!I18</f>
        <v>0</v>
      </c>
      <c r="J88" s="762">
        <f>'lokale energieproductie'!J18</f>
        <v>0</v>
      </c>
      <c r="K88" s="762">
        <f>'lokale energieproductie'!M18</f>
        <v>0</v>
      </c>
      <c r="L88" s="762">
        <f>'lokale energieproductie'!N18</f>
        <v>0</v>
      </c>
      <c r="M88" s="762">
        <f>'lokale energieproductie'!H18</f>
        <v>0</v>
      </c>
      <c r="N88" s="762">
        <f>'lokale energieproductie'!K18</f>
        <v>0</v>
      </c>
      <c r="O88" s="762">
        <f>'lokale energieproductie'!L18</f>
        <v>0</v>
      </c>
      <c r="P88" s="1074"/>
      <c r="Q88" s="843">
        <f>D88*EF_CO2_aardgas+E88*EF_VLgas_CO2+'SEAP template'!F88*EF_stookolie_CO2+EF_bruinkool_CO2*'SEAP template'!G88+'SEAP template'!H88*EF_steenkool_CO2+'EF brandstof'!M4*'SEAP template'!M88+'SEAP template'!O88*EF_anderfossiel_CO2</f>
        <v>0</v>
      </c>
      <c r="R88" s="837">
        <v>0</v>
      </c>
    </row>
    <row r="89" spans="1:19" ht="30" thickBot="1">
      <c r="A89" s="738" t="s">
        <v>352</v>
      </c>
      <c r="B89" s="751">
        <f>'lokale energieproductie'!B19*IFERROR(SUM(I89:O89)/SUM(D89:O89),0)</f>
        <v>0</v>
      </c>
      <c r="C89" s="751">
        <f>'lokale energieproductie'!B19*IFERROR(SUM(D89:H89)/SUM(D89:O89),0)</f>
        <v>0</v>
      </c>
      <c r="D89" s="762">
        <f>'lokale energieproductie'!C19</f>
        <v>0</v>
      </c>
      <c r="E89" s="762">
        <f>'lokale energieproductie'!D19</f>
        <v>0</v>
      </c>
      <c r="F89" s="762">
        <f>'lokale energieproductie'!E19</f>
        <v>0</v>
      </c>
      <c r="G89" s="762">
        <f>'lokale energieproductie'!F19</f>
        <v>0</v>
      </c>
      <c r="H89" s="762">
        <f>'lokale energieproductie'!G19</f>
        <v>0</v>
      </c>
      <c r="I89" s="762">
        <f>'lokale energieproductie'!I19</f>
        <v>0</v>
      </c>
      <c r="J89" s="762">
        <f>'lokale energieproductie'!J19</f>
        <v>0</v>
      </c>
      <c r="K89" s="762">
        <f>'lokale energieproductie'!M19</f>
        <v>0</v>
      </c>
      <c r="L89" s="762">
        <f>'lokale energieproductie'!N19</f>
        <v>0</v>
      </c>
      <c r="M89" s="762">
        <f>'lokale energieproductie'!H19</f>
        <v>0</v>
      </c>
      <c r="N89" s="762">
        <f>'lokale energieproductie'!K19</f>
        <v>0</v>
      </c>
      <c r="O89" s="762">
        <f>'lokale energieproductie'!L19</f>
        <v>0</v>
      </c>
      <c r="P89" s="1075"/>
      <c r="Q89" s="844">
        <f>D89*EF_CO2_aardgas+E89*EF_VLgas_CO2+'SEAP template'!F89*EF_stookolie_CO2+EF_bruinkool_CO2*'SEAP template'!G89+'SEAP template'!H89*EF_steenkool_CO2+'EF brandstof'!M4*'SEAP template'!M89+'SEAP template'!O89*EF_anderfossiel_CO2</f>
        <v>0</v>
      </c>
      <c r="R89" s="838">
        <v>0</v>
      </c>
    </row>
    <row r="90" spans="1:19" ht="16.5" thickTop="1" thickBot="1">
      <c r="A90" s="753" t="s">
        <v>115</v>
      </c>
      <c r="B90" s="740">
        <f>SUM(B87:B89)</f>
        <v>0</v>
      </c>
      <c r="C90" s="740">
        <f>SUM(C87:C89)</f>
        <v>0</v>
      </c>
      <c r="D90" s="740">
        <f t="shared" ref="D90:H90" si="12">SUM(D87:D89)</f>
        <v>0</v>
      </c>
      <c r="E90" s="740">
        <f t="shared" si="12"/>
        <v>0</v>
      </c>
      <c r="F90" s="740">
        <f t="shared" si="12"/>
        <v>0</v>
      </c>
      <c r="G90" s="740">
        <f t="shared" si="12"/>
        <v>0</v>
      </c>
      <c r="H90" s="740">
        <f t="shared" si="12"/>
        <v>0</v>
      </c>
      <c r="I90" s="740">
        <f>SUM(I87:I89)</f>
        <v>0</v>
      </c>
      <c r="J90" s="740">
        <f>SUM(J87:J89)</f>
        <v>0</v>
      </c>
      <c r="K90" s="740">
        <f t="shared" ref="K90:L90" si="13">SUM(K87:K89)</f>
        <v>0</v>
      </c>
      <c r="L90" s="740">
        <f t="shared" si="13"/>
        <v>0</v>
      </c>
      <c r="M90" s="740">
        <f>SUM(M87:M89)</f>
        <v>0</v>
      </c>
      <c r="N90" s="740">
        <f>SUM(N87:N89)</f>
        <v>0</v>
      </c>
      <c r="O90" s="740">
        <f>SUM(O87:O89)</f>
        <v>0</v>
      </c>
      <c r="P90" s="740">
        <v>0</v>
      </c>
      <c r="Q90" s="740">
        <f>SUM(Q87:Q89)</f>
        <v>0</v>
      </c>
      <c r="R90" s="850">
        <f>SUM(R87:R89)</f>
        <v>0</v>
      </c>
    </row>
    <row r="91" spans="1:19" ht="15.75" thickTop="1">
      <c r="A91" s="754"/>
      <c r="B91" s="754"/>
      <c r="C91" s="755"/>
      <c r="D91" s="756"/>
      <c r="E91" s="757"/>
      <c r="F91" s="745"/>
      <c r="G91" s="745"/>
      <c r="H91" s="745"/>
      <c r="I91" s="745"/>
      <c r="J91" s="745"/>
      <c r="K91" s="745"/>
      <c r="L91" s="745"/>
      <c r="M91" s="703"/>
      <c r="Q91" s="745"/>
      <c r="R91" s="703"/>
      <c r="S91" s="732"/>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B297" zoomScale="65" zoomScaleNormal="65" workbookViewId="0">
      <selection activeCell="M339" sqref="M339"/>
    </sheetView>
  </sheetViews>
  <sheetFormatPr defaultColWidth="9.140625" defaultRowHeight="15"/>
  <cols>
    <col min="1" max="1" width="38" style="613" customWidth="1"/>
    <col min="2" max="2" width="27" style="613" customWidth="1"/>
    <col min="3" max="3" width="25.42578125" style="613" customWidth="1"/>
    <col min="4" max="4" width="41.28515625" style="613" customWidth="1"/>
    <col min="5" max="5" width="27.5703125" style="613" customWidth="1"/>
    <col min="6" max="7" width="18" style="613" customWidth="1"/>
    <col min="8" max="8" width="23.42578125" style="613" customWidth="1"/>
    <col min="9" max="9" width="28.5703125" style="613" customWidth="1"/>
    <col min="10" max="10" width="35.28515625" style="613" customWidth="1"/>
    <col min="11" max="11" width="32.7109375" style="613" customWidth="1"/>
    <col min="12" max="14" width="23.85546875" style="613" customWidth="1"/>
    <col min="15" max="15" width="21.140625" style="613" customWidth="1"/>
    <col min="16" max="16" width="17.5703125" style="613" customWidth="1"/>
    <col min="17" max="17" width="22.85546875" style="613" customWidth="1"/>
    <col min="18" max="18" width="19.140625" style="613" customWidth="1"/>
    <col min="19" max="19" width="24.7109375" style="613" customWidth="1"/>
    <col min="20" max="20" width="9.140625" style="613"/>
    <col min="21" max="21" width="21.140625" style="613" customWidth="1"/>
    <col min="22" max="22" width="14.85546875" style="613" customWidth="1"/>
    <col min="23" max="23" width="16.140625" style="613" customWidth="1"/>
    <col min="24" max="24" width="14.7109375" style="613" customWidth="1"/>
    <col min="25" max="26" width="16.140625" style="613" customWidth="1"/>
    <col min="27" max="27" width="17.28515625" style="613" customWidth="1"/>
    <col min="28" max="28" width="16.85546875" style="613" customWidth="1"/>
    <col min="29" max="16384" width="9.140625" style="613"/>
  </cols>
  <sheetData>
    <row r="1" spans="1:21" s="542" customFormat="1" ht="17.45" customHeight="1" thickTop="1" thickBot="1">
      <c r="A1" s="1236" t="s">
        <v>240</v>
      </c>
      <c r="B1" s="1245" t="s">
        <v>241</v>
      </c>
      <c r="C1" s="1283" t="s">
        <v>242</v>
      </c>
      <c r="D1" s="1284"/>
      <c r="E1" s="1284"/>
      <c r="F1" s="1284"/>
      <c r="G1" s="1284"/>
      <c r="H1" s="1284"/>
      <c r="I1" s="1284"/>
      <c r="J1" s="1284"/>
      <c r="K1" s="1284"/>
      <c r="L1" s="1284"/>
      <c r="M1" s="1284"/>
      <c r="N1" s="1285"/>
      <c r="O1" s="1242" t="s">
        <v>243</v>
      </c>
      <c r="P1" s="1245" t="s">
        <v>564</v>
      </c>
      <c r="Q1" s="1242"/>
      <c r="S1" s="1248"/>
      <c r="T1" s="1248"/>
      <c r="U1" s="1248"/>
    </row>
    <row r="2" spans="1:21" s="542" customFormat="1" ht="15.75" thickBot="1">
      <c r="A2" s="1237"/>
      <c r="B2" s="1237"/>
      <c r="C2" s="1279" t="s">
        <v>196</v>
      </c>
      <c r="D2" s="1280"/>
      <c r="E2" s="1280"/>
      <c r="F2" s="1280"/>
      <c r="G2" s="1281"/>
      <c r="H2" s="1282" t="s">
        <v>244</v>
      </c>
      <c r="I2" s="1258" t="s">
        <v>245</v>
      </c>
      <c r="J2" s="1258" t="s">
        <v>233</v>
      </c>
      <c r="K2" s="1258" t="s">
        <v>246</v>
      </c>
      <c r="L2" s="1258" t="s">
        <v>126</v>
      </c>
      <c r="M2" s="1258" t="s">
        <v>891</v>
      </c>
      <c r="N2" s="1254" t="s">
        <v>892</v>
      </c>
      <c r="O2" s="1243"/>
      <c r="P2" s="1246"/>
      <c r="Q2" s="1243"/>
      <c r="S2" s="1248"/>
      <c r="T2" s="1248"/>
      <c r="U2" s="1248"/>
    </row>
    <row r="3" spans="1:21" s="542" customFormat="1" ht="53.45" customHeight="1" thickBot="1">
      <c r="A3" s="1238"/>
      <c r="B3" s="1247"/>
      <c r="C3" s="543" t="s">
        <v>198</v>
      </c>
      <c r="D3" s="1020" t="s">
        <v>199</v>
      </c>
      <c r="E3" s="544" t="s">
        <v>200</v>
      </c>
      <c r="F3" s="545" t="s">
        <v>202</v>
      </c>
      <c r="G3" s="546" t="s">
        <v>203</v>
      </c>
      <c r="H3" s="1253"/>
      <c r="I3" s="1259"/>
      <c r="J3" s="1259"/>
      <c r="K3" s="1259"/>
      <c r="L3" s="1259"/>
      <c r="M3" s="1259"/>
      <c r="N3" s="1255"/>
      <c r="O3" s="1244"/>
      <c r="P3" s="1247"/>
      <c r="Q3" s="1244"/>
      <c r="S3" s="1248"/>
      <c r="T3" s="1248"/>
      <c r="U3" s="1248"/>
    </row>
    <row r="4" spans="1:21" s="542" customFormat="1" ht="15.75" thickTop="1">
      <c r="A4" s="547" t="s">
        <v>248</v>
      </c>
      <c r="B4" s="548">
        <f>IF(ISERROR(kWh_wind_land),0,kWh_wind_land)</f>
        <v>0</v>
      </c>
      <c r="C4" s="1260"/>
      <c r="D4" s="1263"/>
      <c r="E4" s="1263"/>
      <c r="F4" s="1266"/>
      <c r="G4" s="1269"/>
      <c r="H4" s="1272"/>
      <c r="I4" s="1263"/>
      <c r="J4" s="1263"/>
      <c r="K4" s="1263"/>
      <c r="L4" s="1263"/>
      <c r="M4" s="1263"/>
      <c r="N4" s="978"/>
      <c r="O4" s="549"/>
      <c r="P4" s="1275"/>
      <c r="Q4" s="1276"/>
      <c r="S4" s="1017"/>
      <c r="T4" s="1231"/>
      <c r="U4" s="1231"/>
    </row>
    <row r="5" spans="1:21" s="542" customFormat="1">
      <c r="A5" s="550" t="s">
        <v>249</v>
      </c>
      <c r="B5" s="548">
        <f>IF(ISERROR(kWh_waterkracht),0,kWh_waterkracht)</f>
        <v>0</v>
      </c>
      <c r="C5" s="1261"/>
      <c r="D5" s="1264"/>
      <c r="E5" s="1264"/>
      <c r="F5" s="1267"/>
      <c r="G5" s="1270"/>
      <c r="H5" s="1273"/>
      <c r="I5" s="1264"/>
      <c r="J5" s="1264"/>
      <c r="K5" s="1264"/>
      <c r="L5" s="1264"/>
      <c r="M5" s="1264"/>
      <c r="N5" s="978"/>
      <c r="O5" s="551"/>
      <c r="P5" s="1256"/>
      <c r="Q5" s="1257"/>
      <c r="S5" s="1017"/>
      <c r="T5" s="1231"/>
      <c r="U5" s="1231"/>
    </row>
    <row r="6" spans="1:21" s="542" customFormat="1">
      <c r="A6" s="550" t="s">
        <v>250</v>
      </c>
      <c r="B6" s="548">
        <f>IF(ISERROR((kWh_PV_kleiner_dan_10kW+kWh_PV_groter_dan_10kW)),0,(kWh_PV_kleiner_dan_10kW+kWh_PV_groter_dan_10kW))</f>
        <v>2507.5163222840888</v>
      </c>
      <c r="C6" s="1261"/>
      <c r="D6" s="1264"/>
      <c r="E6" s="1264"/>
      <c r="F6" s="1267"/>
      <c r="G6" s="1270"/>
      <c r="H6" s="1273"/>
      <c r="I6" s="1264"/>
      <c r="J6" s="1264"/>
      <c r="K6" s="1264"/>
      <c r="L6" s="1264"/>
      <c r="M6" s="1264"/>
      <c r="N6" s="978"/>
      <c r="O6" s="551"/>
      <c r="P6" s="1256"/>
      <c r="Q6" s="1257"/>
      <c r="S6" s="1017"/>
      <c r="T6" s="1231"/>
      <c r="U6" s="1231"/>
    </row>
    <row r="7" spans="1:21" s="542" customFormat="1">
      <c r="A7" s="550" t="s">
        <v>893</v>
      </c>
      <c r="B7" s="548"/>
      <c r="C7" s="1262"/>
      <c r="D7" s="1265"/>
      <c r="E7" s="1265"/>
      <c r="F7" s="1268"/>
      <c r="G7" s="1271"/>
      <c r="H7" s="1274"/>
      <c r="I7" s="1265"/>
      <c r="J7" s="1265"/>
      <c r="K7" s="1265"/>
      <c r="L7" s="1265"/>
      <c r="M7" s="1265"/>
      <c r="N7" s="979"/>
      <c r="O7" s="551"/>
      <c r="P7" s="1018"/>
      <c r="Q7" s="1019"/>
      <c r="S7" s="1017"/>
      <c r="T7" s="1017"/>
      <c r="U7" s="1017"/>
    </row>
    <row r="8" spans="1:21" s="542" customFormat="1">
      <c r="A8" s="552" t="s">
        <v>251</v>
      </c>
      <c r="B8" s="553">
        <f>N29</f>
        <v>0</v>
      </c>
      <c r="C8" s="554">
        <f>B48</f>
        <v>0</v>
      </c>
      <c r="D8" s="980"/>
      <c r="E8" s="980">
        <f>E48</f>
        <v>0</v>
      </c>
      <c r="F8" s="981"/>
      <c r="G8" s="555"/>
      <c r="H8" s="980">
        <f>I48</f>
        <v>0</v>
      </c>
      <c r="I8" s="980">
        <f>G48+F48</f>
        <v>0</v>
      </c>
      <c r="J8" s="980">
        <f>H48+D48+C48</f>
        <v>0</v>
      </c>
      <c r="K8" s="980"/>
      <c r="L8" s="980"/>
      <c r="M8" s="980"/>
      <c r="N8" s="556"/>
      <c r="O8" s="557">
        <f>C8*$C$12+D8*$D$12+E8*$E$12+F8*$F$12+G8*$G$12+H8*$H$12+I8*$I$12+J8*$J$12</f>
        <v>0</v>
      </c>
      <c r="P8" s="1256"/>
      <c r="Q8" s="1257"/>
      <c r="S8" s="1017"/>
      <c r="T8" s="1231"/>
      <c r="U8" s="1231"/>
    </row>
    <row r="9" spans="1:21" s="542" customFormat="1" ht="17.45" customHeight="1" thickBot="1">
      <c r="A9" s="558" t="s">
        <v>247</v>
      </c>
      <c r="B9" s="982">
        <f>N36+'Eigen informatie GS &amp; warmtenet'!B12</f>
        <v>0</v>
      </c>
      <c r="C9" s="559">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0">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0">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0">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1">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0">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0">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0">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2">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2">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2"/>
      <c r="N9" s="983"/>
      <c r="O9" s="557">
        <f>C9*$C$12+D9*$D$12+E9*$E$12+F9*$F$12+G9*$G$12+H9*$H$12+I9*$I$12+J9*$J$12</f>
        <v>0</v>
      </c>
      <c r="P9" s="1277"/>
      <c r="Q9" s="1278"/>
      <c r="R9" s="563"/>
      <c r="S9" s="1017"/>
      <c r="T9" s="1231"/>
      <c r="U9" s="1231"/>
    </row>
    <row r="10" spans="1:21" s="542" customFormat="1" ht="16.5" thickTop="1" thickBot="1">
      <c r="A10" s="564" t="s">
        <v>115</v>
      </c>
      <c r="B10" s="565">
        <f>SUM(B4:B9)</f>
        <v>2507.5163222840888</v>
      </c>
      <c r="C10" s="566">
        <f t="shared" ref="C10:L10" si="0">SUM(C8:C9)</f>
        <v>0</v>
      </c>
      <c r="D10" s="566">
        <f t="shared" si="0"/>
        <v>0</v>
      </c>
      <c r="E10" s="566">
        <f t="shared" si="0"/>
        <v>0</v>
      </c>
      <c r="F10" s="566">
        <f t="shared" si="0"/>
        <v>0</v>
      </c>
      <c r="G10" s="566">
        <f t="shared" si="0"/>
        <v>0</v>
      </c>
      <c r="H10" s="566">
        <f t="shared" si="0"/>
        <v>0</v>
      </c>
      <c r="I10" s="566">
        <f t="shared" si="0"/>
        <v>0</v>
      </c>
      <c r="J10" s="566">
        <f t="shared" si="0"/>
        <v>0</v>
      </c>
      <c r="K10" s="566">
        <f t="shared" si="0"/>
        <v>0</v>
      </c>
      <c r="L10" s="566">
        <f t="shared" si="0"/>
        <v>0</v>
      </c>
      <c r="M10" s="984"/>
      <c r="N10" s="984"/>
      <c r="O10" s="567">
        <f>SUM(O4:O9)</f>
        <v>0</v>
      </c>
      <c r="P10" s="568"/>
      <c r="R10" s="1015"/>
      <c r="S10" s="1017"/>
      <c r="T10" s="1015"/>
      <c r="U10" s="1015"/>
    </row>
    <row r="11" spans="1:21" s="571" customFormat="1" ht="15.75" thickTop="1">
      <c r="A11" s="569"/>
      <c r="B11" s="570"/>
      <c r="C11" s="570"/>
      <c r="D11" s="570"/>
      <c r="E11" s="570"/>
      <c r="F11" s="570"/>
      <c r="G11" s="570"/>
      <c r="H11" s="570"/>
      <c r="I11" s="570"/>
      <c r="J11" s="570"/>
      <c r="K11" s="570"/>
      <c r="L11" s="570"/>
      <c r="M11" s="570"/>
      <c r="N11" s="570"/>
      <c r="P11" s="570"/>
      <c r="R11" s="570"/>
    </row>
    <row r="12" spans="1:21" s="571" customFormat="1">
      <c r="A12" s="985" t="s">
        <v>289</v>
      </c>
      <c r="B12" s="986"/>
      <c r="C12" s="986">
        <f>EF_CO2_aardgas</f>
        <v>0.20200000000000001</v>
      </c>
      <c r="D12" s="986">
        <f>EF_VLgas_CO2</f>
        <v>0.22700000000000001</v>
      </c>
      <c r="E12" s="986">
        <f>EF_stookolie_CO2</f>
        <v>0.26700000000000002</v>
      </c>
      <c r="F12" s="986">
        <f>EF_bruinkool_CO2</f>
        <v>0.35099999999999998</v>
      </c>
      <c r="G12" s="986">
        <f>EF_steenkool_CO2</f>
        <v>0.35399999999999998</v>
      </c>
      <c r="H12" s="986">
        <f>'EF brandstof'!M4</f>
        <v>0.33</v>
      </c>
      <c r="I12" s="986">
        <f>'EF brandstof'!J4</f>
        <v>0</v>
      </c>
      <c r="J12" s="986">
        <f>'EF brandstof'!L4</f>
        <v>0</v>
      </c>
      <c r="K12" s="986">
        <f>'EF brandstof'!L4</f>
        <v>0</v>
      </c>
      <c r="L12" s="986"/>
      <c r="M12" s="986"/>
      <c r="N12" s="986"/>
      <c r="P12" s="572"/>
      <c r="Q12" s="572"/>
      <c r="R12" s="572"/>
    </row>
    <row r="13" spans="1:21" s="542" customFormat="1" ht="15.75" thickBot="1">
      <c r="A13" s="573"/>
      <c r="B13" s="572"/>
      <c r="C13" s="572"/>
      <c r="D13" s="572"/>
      <c r="E13" s="572"/>
      <c r="F13" s="572"/>
      <c r="G13" s="572"/>
      <c r="H13" s="572"/>
      <c r="I13" s="572"/>
      <c r="J13" s="572"/>
      <c r="K13" s="572"/>
      <c r="L13" s="572"/>
      <c r="M13" s="572"/>
      <c r="N13" s="572"/>
      <c r="O13" s="572"/>
      <c r="P13" s="572"/>
      <c r="Q13" s="572"/>
      <c r="R13" s="572"/>
    </row>
    <row r="14" spans="1:21" s="542" customFormat="1" ht="17.25" thickTop="1" thickBot="1">
      <c r="A14" s="1236" t="s">
        <v>252</v>
      </c>
      <c r="B14" s="1236" t="s">
        <v>253</v>
      </c>
      <c r="C14" s="1239" t="s">
        <v>254</v>
      </c>
      <c r="D14" s="1240"/>
      <c r="E14" s="1240"/>
      <c r="F14" s="1240"/>
      <c r="G14" s="1240"/>
      <c r="H14" s="1240"/>
      <c r="I14" s="1240"/>
      <c r="J14" s="1240"/>
      <c r="K14" s="1240"/>
      <c r="L14" s="1240"/>
      <c r="M14" s="1240"/>
      <c r="N14" s="1241"/>
      <c r="O14" s="1242" t="s">
        <v>243</v>
      </c>
      <c r="P14" s="1245" t="s">
        <v>255</v>
      </c>
      <c r="Q14" s="1242"/>
      <c r="R14" s="1248"/>
      <c r="S14" s="1248"/>
      <c r="T14" s="1248"/>
    </row>
    <row r="15" spans="1:21" s="542" customFormat="1" ht="15.75" customHeight="1" thickBot="1">
      <c r="A15" s="1237"/>
      <c r="B15" s="1237"/>
      <c r="C15" s="1249" t="s">
        <v>196</v>
      </c>
      <c r="D15" s="1250"/>
      <c r="E15" s="1250"/>
      <c r="F15" s="1250"/>
      <c r="G15" s="1251"/>
      <c r="H15" s="1252" t="s">
        <v>244</v>
      </c>
      <c r="I15" s="1252" t="s">
        <v>245</v>
      </c>
      <c r="J15" s="1252" t="s">
        <v>233</v>
      </c>
      <c r="K15" s="1252" t="s">
        <v>256</v>
      </c>
      <c r="L15" s="1252" t="s">
        <v>126</v>
      </c>
      <c r="M15" s="1252" t="s">
        <v>891</v>
      </c>
      <c r="N15" s="1254" t="s">
        <v>892</v>
      </c>
      <c r="O15" s="1243"/>
      <c r="P15" s="1246"/>
      <c r="Q15" s="1243"/>
      <c r="R15" s="1248"/>
      <c r="S15" s="1248"/>
      <c r="T15" s="1248"/>
    </row>
    <row r="16" spans="1:21" s="542" customFormat="1" ht="40.700000000000003" customHeight="1" thickBot="1">
      <c r="A16" s="1238"/>
      <c r="B16" s="1238"/>
      <c r="C16" s="574" t="s">
        <v>198</v>
      </c>
      <c r="D16" s="1020" t="s">
        <v>199</v>
      </c>
      <c r="E16" s="977" t="s">
        <v>200</v>
      </c>
      <c r="F16" s="1020" t="s">
        <v>202</v>
      </c>
      <c r="G16" s="575" t="s">
        <v>203</v>
      </c>
      <c r="H16" s="1253"/>
      <c r="I16" s="1253"/>
      <c r="J16" s="1253"/>
      <c r="K16" s="1253"/>
      <c r="L16" s="1253"/>
      <c r="M16" s="1253"/>
      <c r="N16" s="1255"/>
      <c r="O16" s="1244"/>
      <c r="P16" s="1247"/>
      <c r="Q16" s="1244"/>
      <c r="R16" s="1248"/>
      <c r="S16" s="1248"/>
      <c r="T16" s="1248"/>
    </row>
    <row r="17" spans="1:26" s="542" customFormat="1" ht="15.75" thickTop="1">
      <c r="A17" s="576" t="s">
        <v>251</v>
      </c>
      <c r="B17" s="577">
        <f>O29</f>
        <v>0</v>
      </c>
      <c r="C17" s="578">
        <f>B49</f>
        <v>0</v>
      </c>
      <c r="D17" s="579"/>
      <c r="E17" s="579">
        <f>E49</f>
        <v>0</v>
      </c>
      <c r="F17" s="580"/>
      <c r="G17" s="581"/>
      <c r="H17" s="578">
        <f>I49</f>
        <v>0</v>
      </c>
      <c r="I17" s="579">
        <f>G49+F49</f>
        <v>0</v>
      </c>
      <c r="J17" s="579">
        <f>H49+D49+C49</f>
        <v>0</v>
      </c>
      <c r="K17" s="579"/>
      <c r="L17" s="579"/>
      <c r="M17" s="579"/>
      <c r="N17" s="987"/>
      <c r="O17" s="582">
        <f>C17*$C$22+E17*$E$22+H17*$H$22+I17*$I$22+J17*$J$22+D17*$D$22+F17*$F$22+G17*$G$22+K17*$K$22+L17*$L$22</f>
        <v>0</v>
      </c>
      <c r="P17" s="1234"/>
      <c r="Q17" s="1235"/>
      <c r="R17" s="1016"/>
      <c r="S17" s="1228"/>
      <c r="T17" s="1228"/>
    </row>
    <row r="18" spans="1:26" s="542" customFormat="1">
      <c r="A18" s="583" t="s">
        <v>257</v>
      </c>
      <c r="B18" s="584">
        <f>'Eigen informatie GS &amp; warmtenet'!B32</f>
        <v>0</v>
      </c>
      <c r="C18" s="980">
        <f>'Eigen informatie GS &amp; warmtenet'!B35</f>
        <v>0</v>
      </c>
      <c r="D18" s="980">
        <f>'Eigen informatie GS &amp; warmtenet'!B36</f>
        <v>0</v>
      </c>
      <c r="E18" s="980">
        <f>'Eigen informatie GS &amp; warmtenet'!B37</f>
        <v>0</v>
      </c>
      <c r="F18" s="980">
        <f>'Eigen informatie GS &amp; warmtenet'!B38</f>
        <v>0</v>
      </c>
      <c r="G18" s="980">
        <f>'Eigen informatie GS &amp; warmtenet'!B39</f>
        <v>0</v>
      </c>
      <c r="H18" s="980">
        <f>'Eigen informatie GS &amp; warmtenet'!B40</f>
        <v>0</v>
      </c>
      <c r="I18" s="980">
        <f>'Eigen informatie GS &amp; warmtenet'!B41</f>
        <v>0</v>
      </c>
      <c r="J18" s="980">
        <f>'Eigen informatie GS &amp; warmtenet'!B42</f>
        <v>0</v>
      </c>
      <c r="K18" s="980">
        <f>'Eigen informatie GS &amp; warmtenet'!B43</f>
        <v>0</v>
      </c>
      <c r="L18" s="980">
        <f>'Eigen informatie GS &amp; warmtenet'!B44</f>
        <v>0</v>
      </c>
      <c r="M18" s="980">
        <f>'Eigen informatie GS &amp; warmtenet'!B45</f>
        <v>0</v>
      </c>
      <c r="N18" s="980">
        <f>'Eigen informatie GS &amp; warmtenet'!B46</f>
        <v>0</v>
      </c>
      <c r="O18" s="582">
        <f>C18*$C$22+E18*$E$22+H18*$H$22+I18*$I$22+J18*$J$22+D18*$D$22+F18*$F$22+G18*$G$22+K18*$K$22+L18*$L$22</f>
        <v>0</v>
      </c>
      <c r="P18" s="1229"/>
      <c r="Q18" s="1230"/>
      <c r="R18" s="1017"/>
      <c r="S18" s="1231"/>
      <c r="T18" s="1231"/>
    </row>
    <row r="19" spans="1:26" s="542" customFormat="1" ht="15.75" thickBot="1">
      <c r="A19" s="558" t="s">
        <v>247</v>
      </c>
      <c r="B19" s="584">
        <f>'Eigen informatie GS &amp; warmtenet'!B11</f>
        <v>0</v>
      </c>
      <c r="C19" s="58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0"/>
      <c r="N19" s="988"/>
      <c r="O19" s="582">
        <f>C19*$C$22+E19*$E$22+H19*$H$22+I19*$I$22+J19*$J$22+D19*$D$22+F19*$F$22+G19*$G$22+K19*$K$22+L19*$L$22</f>
        <v>0</v>
      </c>
      <c r="P19" s="1232"/>
      <c r="Q19" s="1233"/>
      <c r="R19" s="1017"/>
      <c r="S19" s="1231"/>
      <c r="T19" s="1231"/>
    </row>
    <row r="20" spans="1:26" s="542" customFormat="1" ht="16.5" thickTop="1" thickBot="1">
      <c r="A20" s="564" t="s">
        <v>115</v>
      </c>
      <c r="B20" s="565">
        <f>SUM(B17:B19)</f>
        <v>0</v>
      </c>
      <c r="C20" s="565">
        <f>SUM(C17:C19)</f>
        <v>0</v>
      </c>
      <c r="D20" s="565">
        <f t="shared" ref="D20:L20" si="1">SUM(D17:D19)</f>
        <v>0</v>
      </c>
      <c r="E20" s="565">
        <f t="shared" si="1"/>
        <v>0</v>
      </c>
      <c r="F20" s="565">
        <f t="shared" si="1"/>
        <v>0</v>
      </c>
      <c r="G20" s="565">
        <f t="shared" si="1"/>
        <v>0</v>
      </c>
      <c r="H20" s="565">
        <f t="shared" si="1"/>
        <v>0</v>
      </c>
      <c r="I20" s="565">
        <f t="shared" si="1"/>
        <v>0</v>
      </c>
      <c r="J20" s="565">
        <f t="shared" si="1"/>
        <v>0</v>
      </c>
      <c r="K20" s="565">
        <f t="shared" si="1"/>
        <v>0</v>
      </c>
      <c r="L20" s="565">
        <f t="shared" si="1"/>
        <v>0</v>
      </c>
      <c r="M20" s="565"/>
      <c r="N20" s="565"/>
      <c r="O20" s="586">
        <f>SUM(O17:O19)</f>
        <v>0</v>
      </c>
      <c r="P20" s="1225"/>
      <c r="Q20" s="1226"/>
      <c r="R20" s="1017"/>
      <c r="S20" s="1227"/>
      <c r="T20" s="1227"/>
    </row>
    <row r="21" spans="1:26" s="542" customFormat="1" ht="15.75" thickTop="1">
      <c r="A21" s="1016"/>
      <c r="B21" s="1017"/>
      <c r="C21" s="1017"/>
      <c r="D21" s="1017"/>
      <c r="E21" s="1017"/>
      <c r="F21" s="1017"/>
      <c r="G21" s="1017"/>
      <c r="H21" s="1017"/>
      <c r="I21" s="1017"/>
      <c r="J21" s="1017"/>
      <c r="K21" s="1017"/>
      <c r="L21" s="1017"/>
      <c r="M21" s="1017"/>
      <c r="N21" s="1017"/>
      <c r="O21" s="1017"/>
      <c r="P21" s="1015"/>
      <c r="Q21" s="1015"/>
      <c r="R21" s="1017"/>
      <c r="S21" s="1015"/>
      <c r="T21" s="1015"/>
    </row>
    <row r="22" spans="1:26" s="571" customFormat="1">
      <c r="A22" s="985" t="s">
        <v>289</v>
      </c>
      <c r="B22" s="986"/>
      <c r="C22" s="986">
        <f>EF_CO2_aardgas</f>
        <v>0.20200000000000001</v>
      </c>
      <c r="D22" s="986">
        <f>EF_VLgas_CO2</f>
        <v>0.22700000000000001</v>
      </c>
      <c r="E22" s="986">
        <f>EF_stookolie_CO2</f>
        <v>0.26700000000000002</v>
      </c>
      <c r="F22" s="986">
        <f>EF_bruinkool_CO2</f>
        <v>0.35099999999999998</v>
      </c>
      <c r="G22" s="986">
        <f>EF_steenkool_CO2</f>
        <v>0.35399999999999998</v>
      </c>
      <c r="H22" s="986">
        <f>'EF brandstof'!M4</f>
        <v>0.33</v>
      </c>
      <c r="I22" s="986">
        <f>'EF brandstof'!J4</f>
        <v>0</v>
      </c>
      <c r="J22" s="986">
        <f>'EF brandstof'!L4</f>
        <v>0</v>
      </c>
      <c r="K22" s="986">
        <f>'EF brandstof'!L4</f>
        <v>0</v>
      </c>
      <c r="L22" s="986"/>
      <c r="M22" s="986"/>
      <c r="N22" s="986"/>
      <c r="O22" s="572"/>
      <c r="P22" s="572"/>
      <c r="Q22" s="572"/>
      <c r="R22" s="572"/>
      <c r="S22" s="542"/>
    </row>
    <row r="23" spans="1:26" s="571" customFormat="1">
      <c r="A23" s="573"/>
      <c r="B23" s="572"/>
      <c r="C23" s="572"/>
      <c r="D23" s="572"/>
      <c r="E23" s="572"/>
      <c r="F23" s="572"/>
      <c r="G23" s="572"/>
      <c r="H23" s="572"/>
      <c r="I23" s="572"/>
      <c r="J23" s="572"/>
      <c r="K23" s="572"/>
      <c r="L23" s="572"/>
      <c r="M23" s="572"/>
      <c r="N23" s="572"/>
      <c r="O23" s="572"/>
      <c r="P23" s="572"/>
      <c r="Q23" s="572"/>
      <c r="R23" s="572"/>
      <c r="S23" s="542"/>
    </row>
    <row r="24" spans="1:26" s="571" customFormat="1">
      <c r="A24" s="573"/>
      <c r="B24" s="572"/>
      <c r="C24" s="572"/>
      <c r="D24" s="587"/>
      <c r="E24" s="587"/>
      <c r="F24" s="587"/>
      <c r="G24" s="572"/>
      <c r="H24" s="572"/>
      <c r="I24" s="572"/>
      <c r="J24" s="572"/>
      <c r="K24" s="572"/>
      <c r="L24" s="572"/>
      <c r="M24" s="572"/>
      <c r="N24" s="572"/>
      <c r="O24" s="572"/>
      <c r="P24" s="572"/>
      <c r="Q24" s="572"/>
      <c r="R24" s="572"/>
    </row>
    <row r="25" spans="1:26" s="571" customFormat="1">
      <c r="A25" s="573"/>
      <c r="B25" s="572"/>
      <c r="C25" s="572"/>
      <c r="D25" s="587"/>
      <c r="E25" s="587"/>
      <c r="F25" s="587"/>
      <c r="G25" s="572"/>
      <c r="H25" s="572"/>
      <c r="I25" s="572"/>
      <c r="J25" s="572"/>
      <c r="K25" s="572"/>
      <c r="L25" s="572"/>
      <c r="M25" s="572"/>
      <c r="N25" s="572"/>
      <c r="O25" s="572"/>
      <c r="P25" s="572"/>
      <c r="Q25" s="572"/>
      <c r="R25" s="572"/>
    </row>
    <row r="26" spans="1:26" s="542" customFormat="1" ht="15.75" thickBot="1">
      <c r="B26" s="587"/>
      <c r="C26" s="587"/>
      <c r="D26" s="587"/>
      <c r="E26" s="587"/>
      <c r="F26" s="587"/>
      <c r="G26" s="587"/>
      <c r="H26" s="587"/>
      <c r="I26" s="587"/>
      <c r="J26" s="587"/>
      <c r="K26" s="587"/>
      <c r="L26" s="587"/>
      <c r="M26" s="587"/>
      <c r="N26" s="587"/>
      <c r="O26" s="587"/>
      <c r="P26" s="587"/>
      <c r="Q26" s="588"/>
      <c r="R26" s="588"/>
    </row>
    <row r="27" spans="1:26" s="542" customFormat="1" ht="45">
      <c r="A27" s="589" t="s">
        <v>278</v>
      </c>
      <c r="B27" s="634" t="s">
        <v>89</v>
      </c>
      <c r="C27" s="634" t="s">
        <v>90</v>
      </c>
      <c r="D27" s="634" t="s">
        <v>91</v>
      </c>
      <c r="E27" s="634" t="s">
        <v>92</v>
      </c>
      <c r="F27" s="634" t="s">
        <v>93</v>
      </c>
      <c r="G27" s="634" t="s">
        <v>94</v>
      </c>
      <c r="H27" s="634" t="s">
        <v>95</v>
      </c>
      <c r="I27" s="634" t="s">
        <v>96</v>
      </c>
      <c r="J27" s="634" t="s">
        <v>97</v>
      </c>
      <c r="K27" s="634" t="s">
        <v>98</v>
      </c>
      <c r="L27" s="634" t="s">
        <v>99</v>
      </c>
      <c r="M27" s="635" t="s">
        <v>297</v>
      </c>
      <c r="N27" s="635" t="s">
        <v>100</v>
      </c>
      <c r="O27" s="635" t="s">
        <v>101</v>
      </c>
      <c r="P27" s="635" t="s">
        <v>551</v>
      </c>
      <c r="Q27" s="635" t="s">
        <v>102</v>
      </c>
      <c r="R27" s="635" t="s">
        <v>103</v>
      </c>
      <c r="S27" s="635" t="s">
        <v>104</v>
      </c>
      <c r="T27" s="635" t="s">
        <v>105</v>
      </c>
      <c r="U27" s="635" t="s">
        <v>106</v>
      </c>
      <c r="V27" s="635" t="s">
        <v>107</v>
      </c>
      <c r="W27" s="634" t="s">
        <v>108</v>
      </c>
      <c r="X27" s="634" t="s">
        <v>298</v>
      </c>
      <c r="Y27" s="634" t="s">
        <v>109</v>
      </c>
      <c r="Z27" s="636" t="s">
        <v>299</v>
      </c>
    </row>
    <row r="28" spans="1:26" s="591" customFormat="1" ht="12.75">
      <c r="A28" s="590"/>
      <c r="B28" s="785"/>
      <c r="C28" s="785"/>
      <c r="D28" s="638"/>
      <c r="E28" s="637"/>
      <c r="F28" s="637"/>
      <c r="G28" s="637"/>
      <c r="H28" s="637"/>
      <c r="I28" s="637"/>
      <c r="J28" s="784"/>
      <c r="K28" s="784"/>
      <c r="L28" s="637"/>
      <c r="M28" s="637"/>
      <c r="N28" s="637"/>
      <c r="O28" s="637"/>
      <c r="P28" s="637"/>
      <c r="Q28" s="637"/>
      <c r="R28" s="637"/>
      <c r="S28" s="637"/>
      <c r="T28" s="637"/>
      <c r="U28" s="637"/>
      <c r="V28" s="637"/>
      <c r="W28" s="637"/>
      <c r="X28" s="637"/>
      <c r="Y28" s="637"/>
      <c r="Z28" s="639"/>
    </row>
    <row r="29" spans="1:26" s="573" customFormat="1">
      <c r="A29" s="593" t="s">
        <v>279</v>
      </c>
      <c r="B29" s="594"/>
      <c r="C29" s="594"/>
      <c r="D29" s="594"/>
      <c r="E29" s="594"/>
      <c r="F29" s="594"/>
      <c r="G29" s="594"/>
      <c r="H29" s="594"/>
      <c r="I29" s="594"/>
      <c r="J29" s="594"/>
      <c r="K29" s="594"/>
      <c r="L29" s="595"/>
      <c r="M29" s="595">
        <f>SUM(M28:M28)</f>
        <v>0</v>
      </c>
      <c r="N29" s="595">
        <f>SUM(N28:N28)</f>
        <v>0</v>
      </c>
      <c r="O29" s="595">
        <f>SUM(O28:O28)</f>
        <v>0</v>
      </c>
      <c r="P29" s="595">
        <f>SUM(P28:P28)</f>
        <v>0</v>
      </c>
      <c r="Q29" s="595">
        <f>SUM(Q28:Q28)</f>
        <v>0</v>
      </c>
      <c r="R29" s="595">
        <f>SUM(R28:R28)</f>
        <v>0</v>
      </c>
      <c r="S29" s="595">
        <f>SUM(S28:S28)</f>
        <v>0</v>
      </c>
      <c r="T29" s="595">
        <f>SUM(T28:T28)</f>
        <v>0</v>
      </c>
      <c r="U29" s="595">
        <f>SUM(U28:U28)</f>
        <v>0</v>
      </c>
      <c r="V29" s="595">
        <f>SUM(V28:V28)</f>
        <v>0</v>
      </c>
      <c r="W29" s="595">
        <f>SUM(W28:W28)</f>
        <v>0</v>
      </c>
      <c r="X29" s="596"/>
      <c r="Y29" s="596"/>
      <c r="Z29" s="597"/>
    </row>
    <row r="30" spans="1:26" s="573" customFormat="1">
      <c r="A30" s="593" t="s">
        <v>286</v>
      </c>
      <c r="B30" s="594"/>
      <c r="C30" s="594"/>
      <c r="D30" s="594"/>
      <c r="E30" s="594"/>
      <c r="F30" s="594"/>
      <c r="G30" s="594"/>
      <c r="H30" s="594"/>
      <c r="I30" s="594"/>
      <c r="J30" s="594"/>
      <c r="K30" s="594"/>
      <c r="L30" s="595"/>
      <c r="M30" s="595">
        <f>SUMIF($Z$28:$Z$28,"industrie",M28:M28)</f>
        <v>0</v>
      </c>
      <c r="N30" s="595">
        <f>SUMIF($Z$28:$Z$28,"industrie",N28:N28)</f>
        <v>0</v>
      </c>
      <c r="O30" s="595">
        <f>SUMIF($Z$28:$Z$28,"industrie",O28:O28)</f>
        <v>0</v>
      </c>
      <c r="P30" s="595">
        <f>SUMIF($Z$28:$Z$28,"industrie",P28:P28)</f>
        <v>0</v>
      </c>
      <c r="Q30" s="595">
        <f>SUMIF($Z$28:$Z$28,"industrie",Q28:Q28)</f>
        <v>0</v>
      </c>
      <c r="R30" s="595">
        <f>SUMIF($Z$28:$Z$28,"industrie",R28:R28)</f>
        <v>0</v>
      </c>
      <c r="S30" s="595">
        <f>SUMIF($Z$28:$Z$28,"industrie",S28:S28)</f>
        <v>0</v>
      </c>
      <c r="T30" s="595">
        <f>SUMIF($Z$28:$Z$28,"industrie",T28:T28)</f>
        <v>0</v>
      </c>
      <c r="U30" s="595">
        <f>SUMIF($Z$28:$Z$28,"industrie",U28:U28)</f>
        <v>0</v>
      </c>
      <c r="V30" s="595">
        <f>SUMIF($Z$28:$Z$28,"industrie",V28:V28)</f>
        <v>0</v>
      </c>
      <c r="W30" s="595">
        <f>SUMIF($Z$28:$Z$28,"industrie",W28:W28)</f>
        <v>0</v>
      </c>
      <c r="X30" s="596"/>
      <c r="Y30" s="596"/>
      <c r="Z30" s="597"/>
    </row>
    <row r="31" spans="1:26" s="573" customFormat="1">
      <c r="A31" s="593" t="s">
        <v>287</v>
      </c>
      <c r="B31" s="594"/>
      <c r="C31" s="594"/>
      <c r="D31" s="594"/>
      <c r="E31" s="594"/>
      <c r="F31" s="594"/>
      <c r="G31" s="594"/>
      <c r="H31" s="594"/>
      <c r="I31" s="594"/>
      <c r="J31" s="594"/>
      <c r="K31" s="594"/>
      <c r="L31" s="595"/>
      <c r="M31" s="595">
        <f ca="1">SUMIF($Z$28:AC28,"tertiair",M28:M28)</f>
        <v>0</v>
      </c>
      <c r="N31" s="595">
        <f ca="1">SUMIF($Z$28:AD28,"tertiair",N28:N28)</f>
        <v>0</v>
      </c>
      <c r="O31" s="595">
        <f ca="1">SUMIF($Z$28:AE28,"tertiair",O28:O28)</f>
        <v>0</v>
      </c>
      <c r="P31" s="595">
        <f ca="1">SUMIF($Z$28:AF28,"tertiair",P28:P28)</f>
        <v>0</v>
      </c>
      <c r="Q31" s="595">
        <f ca="1">SUMIF($Z$28:AG28,"tertiair",Q28:Q28)</f>
        <v>0</v>
      </c>
      <c r="R31" s="595">
        <f ca="1">SUMIF($Z$28:AH28,"tertiair",R28:R28)</f>
        <v>0</v>
      </c>
      <c r="S31" s="595">
        <f ca="1">SUMIF($Z$28:AI28,"tertiair",S28:S28)</f>
        <v>0</v>
      </c>
      <c r="T31" s="595">
        <f ca="1">SUMIF($Z$28:AJ28,"tertiair",T28:T28)</f>
        <v>0</v>
      </c>
      <c r="U31" s="595">
        <f ca="1">SUMIF($Z$28:AK28,"tertiair",U28:U28)</f>
        <v>0</v>
      </c>
      <c r="V31" s="595">
        <f ca="1">SUMIF($Z$28:AL28,"tertiair",V28:V28)</f>
        <v>0</v>
      </c>
      <c r="W31" s="595">
        <f ca="1">SUMIF($Z$28:AM28,"tertiair",W28:W28)</f>
        <v>0</v>
      </c>
      <c r="X31" s="596"/>
      <c r="Y31" s="596"/>
      <c r="Z31" s="597"/>
    </row>
    <row r="32" spans="1:26" s="573" customFormat="1" ht="15.75" thickBot="1">
      <c r="A32" s="598" t="s">
        <v>288</v>
      </c>
      <c r="B32" s="599"/>
      <c r="C32" s="599"/>
      <c r="D32" s="599"/>
      <c r="E32" s="599"/>
      <c r="F32" s="599"/>
      <c r="G32" s="599"/>
      <c r="H32" s="599"/>
      <c r="I32" s="599"/>
      <c r="J32" s="599"/>
      <c r="K32" s="599"/>
      <c r="L32" s="600"/>
      <c r="M32" s="600">
        <f>SUMIF($Z$28:$Z$28,"landbouw",M28:M28)</f>
        <v>0</v>
      </c>
      <c r="N32" s="600">
        <f>SUMIF($Z$28:$Z$28,"landbouw",N28:N28)</f>
        <v>0</v>
      </c>
      <c r="O32" s="600">
        <f>SUMIF($Z$28:$Z$28,"landbouw",O28:O28)</f>
        <v>0</v>
      </c>
      <c r="P32" s="600">
        <f>SUMIF($Z$28:$Z$28,"landbouw",P28:P28)</f>
        <v>0</v>
      </c>
      <c r="Q32" s="600">
        <f>SUMIF($Z$28:$Z$28,"landbouw",Q28:Q28)</f>
        <v>0</v>
      </c>
      <c r="R32" s="600">
        <f>SUMIF($Z$28:$Z$28,"landbouw",R28:R28)</f>
        <v>0</v>
      </c>
      <c r="S32" s="600">
        <f>SUMIF($Z$28:$Z$28,"landbouw",S28:S28)</f>
        <v>0</v>
      </c>
      <c r="T32" s="600">
        <f>SUMIF($Z$28:$Z$28,"landbouw",T28:T28)</f>
        <v>0</v>
      </c>
      <c r="U32" s="600">
        <f>SUMIF($Z$28:$Z$28,"landbouw",U28:U28)</f>
        <v>0</v>
      </c>
      <c r="V32" s="600">
        <f>SUMIF($Z$28:$Z$28,"landbouw",V28:V28)</f>
        <v>0</v>
      </c>
      <c r="W32" s="600">
        <f>SUMIF($Z$28:$Z$28,"landbouw",W28:W28)</f>
        <v>0</v>
      </c>
      <c r="X32" s="601"/>
      <c r="Y32" s="601"/>
      <c r="Z32" s="602"/>
    </row>
    <row r="33" spans="1:27" s="542" customFormat="1" ht="15.75" thickBot="1">
      <c r="A33" s="603"/>
      <c r="B33" s="604"/>
      <c r="C33" s="604"/>
      <c r="D33" s="604"/>
      <c r="E33" s="604"/>
      <c r="F33" s="604"/>
      <c r="G33" s="604"/>
      <c r="H33" s="604"/>
      <c r="I33" s="604"/>
      <c r="J33" s="604"/>
      <c r="K33" s="604"/>
      <c r="L33" s="587"/>
      <c r="M33" s="587"/>
      <c r="N33" s="587"/>
      <c r="O33" s="588"/>
      <c r="P33" s="588"/>
    </row>
    <row r="34" spans="1:27" s="542" customFormat="1" ht="45">
      <c r="A34" s="605" t="s">
        <v>280</v>
      </c>
      <c r="B34" s="634" t="s">
        <v>89</v>
      </c>
      <c r="C34" s="634" t="s">
        <v>90</v>
      </c>
      <c r="D34" s="634" t="s">
        <v>91</v>
      </c>
      <c r="E34" s="634" t="s">
        <v>92</v>
      </c>
      <c r="F34" s="634" t="s">
        <v>93</v>
      </c>
      <c r="G34" s="634" t="s">
        <v>94</v>
      </c>
      <c r="H34" s="634" t="s">
        <v>95</v>
      </c>
      <c r="I34" s="634" t="s">
        <v>96</v>
      </c>
      <c r="J34" s="634" t="s">
        <v>97</v>
      </c>
      <c r="K34" s="634" t="s">
        <v>98</v>
      </c>
      <c r="L34" s="634" t="s">
        <v>99</v>
      </c>
      <c r="M34" s="635" t="s">
        <v>297</v>
      </c>
      <c r="N34" s="635" t="s">
        <v>100</v>
      </c>
      <c r="O34" s="635" t="s">
        <v>101</v>
      </c>
      <c r="P34" s="635" t="s">
        <v>551</v>
      </c>
      <c r="Q34" s="635" t="s">
        <v>102</v>
      </c>
      <c r="R34" s="635" t="s">
        <v>103</v>
      </c>
      <c r="S34" s="635" t="s">
        <v>104</v>
      </c>
      <c r="T34" s="635" t="s">
        <v>105</v>
      </c>
      <c r="U34" s="635" t="s">
        <v>106</v>
      </c>
      <c r="V34" s="635" t="s">
        <v>107</v>
      </c>
      <c r="W34" s="634" t="s">
        <v>108</v>
      </c>
      <c r="X34" s="634" t="s">
        <v>298</v>
      </c>
      <c r="Y34" s="634" t="s">
        <v>109</v>
      </c>
      <c r="Z34" s="636" t="s">
        <v>299</v>
      </c>
    </row>
    <row r="35" spans="1:27" s="606" customFormat="1" ht="12.75">
      <c r="A35" s="592"/>
      <c r="B35" s="785"/>
      <c r="C35" s="785"/>
      <c r="D35" s="640"/>
      <c r="E35" s="640"/>
      <c r="F35" s="640"/>
      <c r="G35" s="640"/>
      <c r="H35" s="640"/>
      <c r="I35" s="640"/>
      <c r="J35" s="784"/>
      <c r="K35" s="784"/>
      <c r="L35" s="640"/>
      <c r="M35" s="640"/>
      <c r="N35" s="640"/>
      <c r="O35" s="640"/>
      <c r="P35" s="640"/>
      <c r="Q35" s="640"/>
      <c r="R35" s="640"/>
      <c r="S35" s="640"/>
      <c r="T35" s="640"/>
      <c r="U35" s="640"/>
      <c r="V35" s="640"/>
      <c r="W35" s="640"/>
      <c r="X35" s="640"/>
      <c r="Y35" s="640"/>
      <c r="Z35" s="641"/>
    </row>
    <row r="36" spans="1:27" s="573" customFormat="1">
      <c r="A36" s="593" t="s">
        <v>279</v>
      </c>
      <c r="B36" s="594"/>
      <c r="C36" s="594"/>
      <c r="D36" s="594"/>
      <c r="E36" s="594"/>
      <c r="F36" s="594"/>
      <c r="G36" s="594"/>
      <c r="H36" s="594"/>
      <c r="I36" s="594"/>
      <c r="J36" s="594"/>
      <c r="K36" s="594"/>
      <c r="L36" s="595"/>
      <c r="M36" s="595">
        <f>SUM(M35:M35)</f>
        <v>0</v>
      </c>
      <c r="N36" s="595">
        <f>SUM(N35:N35)</f>
        <v>0</v>
      </c>
      <c r="O36" s="595">
        <f>SUM(O35:O35)</f>
        <v>0</v>
      </c>
      <c r="P36" s="595">
        <f>SUM(P35:P35)</f>
        <v>0</v>
      </c>
      <c r="Q36" s="595">
        <f>SUM(Q35:Q35)</f>
        <v>0</v>
      </c>
      <c r="R36" s="595">
        <f>SUM(R35:R35)</f>
        <v>0</v>
      </c>
      <c r="S36" s="595">
        <f>SUM(S35:S35)</f>
        <v>0</v>
      </c>
      <c r="T36" s="595">
        <f>SUM(T35:T35)</f>
        <v>0</v>
      </c>
      <c r="U36" s="595">
        <f>SUM(U35:U35)</f>
        <v>0</v>
      </c>
      <c r="V36" s="595">
        <f>SUM(V35:V35)</f>
        <v>0</v>
      </c>
      <c r="W36" s="595">
        <f>SUM(W35:W35)</f>
        <v>0</v>
      </c>
      <c r="X36" s="596"/>
      <c r="Y36" s="596"/>
      <c r="Z36" s="597"/>
    </row>
    <row r="37" spans="1:27" s="573" customFormat="1">
      <c r="A37" s="593" t="s">
        <v>286</v>
      </c>
      <c r="B37" s="594"/>
      <c r="C37" s="594"/>
      <c r="D37" s="594"/>
      <c r="E37" s="594"/>
      <c r="F37" s="594"/>
      <c r="G37" s="594"/>
      <c r="H37" s="594"/>
      <c r="I37" s="594"/>
      <c r="J37" s="594"/>
      <c r="K37" s="594"/>
      <c r="L37" s="595"/>
      <c r="M37" s="595">
        <f>SUMIF($Z$35:$Z$35,"industrie",M35:M35)</f>
        <v>0</v>
      </c>
      <c r="N37" s="595">
        <f>SUMIF($Z$35:$Z$35,"industrie",N35:N35)</f>
        <v>0</v>
      </c>
      <c r="O37" s="595">
        <f>SUMIF($Z$35:$Z$35,"industrie",O35:O35)</f>
        <v>0</v>
      </c>
      <c r="P37" s="595">
        <f>SUMIF($Z$35:$Z$35,"industrie",P35:P35)</f>
        <v>0</v>
      </c>
      <c r="Q37" s="595">
        <f>SUMIF($Z$35:$Z$35,"industrie",Q35:Q35)</f>
        <v>0</v>
      </c>
      <c r="R37" s="595">
        <f>SUMIF($Z$35:$Z$35,"industrie",R35:R35)</f>
        <v>0</v>
      </c>
      <c r="S37" s="595">
        <f>SUMIF($Z$35:$Z$35,"industrie",S35:S35)</f>
        <v>0</v>
      </c>
      <c r="T37" s="595">
        <f>SUMIF($Z$35:$Z$35,"industrie",T35:T35)</f>
        <v>0</v>
      </c>
      <c r="U37" s="595">
        <f>SUMIF($Z$35:$Z$35,"industrie",U35:U35)</f>
        <v>0</v>
      </c>
      <c r="V37" s="595">
        <f>SUMIF($Z$35:$Z$35,"industrie",V35:V35)</f>
        <v>0</v>
      </c>
      <c r="W37" s="595">
        <f>SUMIF($Z$35:$Z$35,"industrie",W35:W35)</f>
        <v>0</v>
      </c>
      <c r="X37" s="596"/>
      <c r="Y37" s="596"/>
      <c r="Z37" s="597"/>
    </row>
    <row r="38" spans="1:27" s="573" customFormat="1">
      <c r="A38" s="593" t="s">
        <v>287</v>
      </c>
      <c r="B38" s="594"/>
      <c r="C38" s="594"/>
      <c r="D38" s="594"/>
      <c r="E38" s="594"/>
      <c r="F38" s="594"/>
      <c r="G38" s="594"/>
      <c r="H38" s="594"/>
      <c r="I38" s="594"/>
      <c r="J38" s="594"/>
      <c r="K38" s="594"/>
      <c r="L38" s="595"/>
      <c r="M38" s="595">
        <f>SUMIF($Z$35:$Z$36,"tertiair",M35:M36)</f>
        <v>0</v>
      </c>
      <c r="N38" s="595">
        <f>SUMIF($Z$35:$Z$36,"tertiair",N35:N36)</f>
        <v>0</v>
      </c>
      <c r="O38" s="595">
        <f>SUMIF($Z$35:$Z$36,"tertiair",O35:O36)</f>
        <v>0</v>
      </c>
      <c r="P38" s="595">
        <f>SUMIF($Z$35:$Z$36,"tertiair",P35:P36)</f>
        <v>0</v>
      </c>
      <c r="Q38" s="595">
        <f>SUMIF($Z$35:$Z$36,"tertiair",Q35:Q36)</f>
        <v>0</v>
      </c>
      <c r="R38" s="595">
        <f>SUMIF($Z$35:$Z$36,"tertiair",R35:R36)</f>
        <v>0</v>
      </c>
      <c r="S38" s="595">
        <f>SUMIF($Z$35:$Z$36,"tertiair",S35:S36)</f>
        <v>0</v>
      </c>
      <c r="T38" s="595">
        <f>SUMIF($Z$35:$Z$36,"tertiair",T35:T36)</f>
        <v>0</v>
      </c>
      <c r="U38" s="595">
        <f>SUMIF($Z$35:$Z$36,"tertiair",U35:U36)</f>
        <v>0</v>
      </c>
      <c r="V38" s="595">
        <f>SUMIF($Z$35:$Z$36,"tertiair",V35:V36)</f>
        <v>0</v>
      </c>
      <c r="W38" s="595">
        <f>SUMIF($Z$35:$Z$36,"tertiair",W35:W36)</f>
        <v>0</v>
      </c>
      <c r="X38" s="596"/>
      <c r="Y38" s="596"/>
      <c r="Z38" s="597"/>
    </row>
    <row r="39" spans="1:27" s="573" customFormat="1" ht="15.75" thickBot="1">
      <c r="A39" s="598" t="s">
        <v>288</v>
      </c>
      <c r="B39" s="599"/>
      <c r="C39" s="599"/>
      <c r="D39" s="599"/>
      <c r="E39" s="599"/>
      <c r="F39" s="599"/>
      <c r="G39" s="599"/>
      <c r="H39" s="599"/>
      <c r="I39" s="599"/>
      <c r="J39" s="599"/>
      <c r="K39" s="599"/>
      <c r="L39" s="600"/>
      <c r="M39" s="600">
        <f>SUMIF($Z$35:$Z$37,"landbouw",M35:M37)</f>
        <v>0</v>
      </c>
      <c r="N39" s="600">
        <f>SUMIF($Z$35:$Z$37,"landbouw",N35:N37)</f>
        <v>0</v>
      </c>
      <c r="O39" s="600">
        <f>SUMIF($Z$35:$Z$37,"landbouw",O35:O37)</f>
        <v>0</v>
      </c>
      <c r="P39" s="600">
        <f>SUMIF($Z$35:$Z$37,"landbouw",P35:P37)</f>
        <v>0</v>
      </c>
      <c r="Q39" s="600">
        <f>SUMIF($Z$35:$Z$37,"landbouw",Q35:Q37)</f>
        <v>0</v>
      </c>
      <c r="R39" s="600">
        <f>SUMIF($Z$35:$Z$37,"landbouw",R35:R37)</f>
        <v>0</v>
      </c>
      <c r="S39" s="600">
        <f>SUMIF($Z$35:$Z$37,"landbouw",S35:S37)</f>
        <v>0</v>
      </c>
      <c r="T39" s="600">
        <f>SUMIF($Z$35:$Z$37,"landbouw",T35:T37)</f>
        <v>0</v>
      </c>
      <c r="U39" s="600">
        <f>SUMIF($Z$35:$Z$37,"landbouw",U35:U37)</f>
        <v>0</v>
      </c>
      <c r="V39" s="600">
        <f>SUMIF($Z$35:$Z$37,"landbouw",V35:V37)</f>
        <v>0</v>
      </c>
      <c r="W39" s="600">
        <f>SUMIF($Z$35:$Z$37,"landbouw",W35:W37)</f>
        <v>0</v>
      </c>
      <c r="X39" s="601"/>
      <c r="Y39" s="601"/>
      <c r="Z39" s="602"/>
    </row>
    <row r="40" spans="1:27" s="607" customFormat="1">
      <c r="A40" s="603"/>
      <c r="B40" s="587"/>
      <c r="C40" s="587"/>
      <c r="D40" s="587"/>
      <c r="E40" s="587"/>
      <c r="F40" s="587"/>
      <c r="G40" s="587"/>
      <c r="H40" s="587"/>
      <c r="I40" s="587"/>
      <c r="J40" s="587"/>
      <c r="K40" s="587"/>
      <c r="L40" s="587"/>
      <c r="M40" s="587"/>
      <c r="N40" s="587"/>
      <c r="O40" s="587"/>
      <c r="P40" s="587"/>
      <c r="Q40" s="587"/>
      <c r="R40" s="587"/>
      <c r="S40" s="587"/>
      <c r="T40" s="587"/>
      <c r="U40" s="587"/>
      <c r="V40" s="587"/>
      <c r="W40" s="587"/>
      <c r="X40" s="587"/>
      <c r="Y40" s="587"/>
    </row>
    <row r="41" spans="1:27" s="607" customFormat="1" ht="15.75" thickBot="1">
      <c r="A41" s="603"/>
      <c r="B41" s="587"/>
      <c r="C41" s="587"/>
      <c r="D41" s="587"/>
      <c r="E41" s="587"/>
      <c r="F41" s="587"/>
      <c r="G41" s="587"/>
      <c r="H41" s="587"/>
      <c r="I41" s="587"/>
      <c r="J41" s="587"/>
      <c r="K41" s="587"/>
      <c r="L41" s="587"/>
      <c r="M41" s="587"/>
      <c r="N41" s="587"/>
      <c r="O41" s="587"/>
      <c r="P41" s="587"/>
      <c r="Q41" s="587"/>
      <c r="R41" s="587"/>
      <c r="S41" s="587"/>
      <c r="T41" s="587"/>
      <c r="U41" s="587"/>
      <c r="V41" s="587"/>
      <c r="W41" s="587"/>
      <c r="X41" s="587"/>
      <c r="Y41" s="587"/>
      <c r="Z41" s="587"/>
      <c r="AA41" s="587"/>
    </row>
    <row r="42" spans="1:27">
      <c r="A42" s="608" t="s">
        <v>281</v>
      </c>
      <c r="B42" s="609"/>
      <c r="C42" s="609"/>
      <c r="D42" s="609"/>
      <c r="E42" s="609"/>
      <c r="F42" s="609"/>
      <c r="G42" s="609"/>
      <c r="H42" s="609"/>
      <c r="I42" s="610"/>
      <c r="J42" s="611"/>
      <c r="K42" s="611"/>
      <c r="L42" s="612"/>
      <c r="M42" s="612"/>
      <c r="N42" s="612"/>
      <c r="O42" s="612"/>
      <c r="P42" s="612"/>
    </row>
    <row r="43" spans="1:27">
      <c r="A43" s="614"/>
      <c r="B43" s="604"/>
      <c r="C43" s="604"/>
      <c r="D43" s="604"/>
      <c r="E43" s="604"/>
      <c r="F43" s="604"/>
      <c r="G43" s="604"/>
      <c r="H43" s="604"/>
      <c r="I43" s="615"/>
      <c r="J43" s="604"/>
      <c r="K43" s="604"/>
      <c r="L43" s="612"/>
      <c r="M43" s="612"/>
      <c r="N43" s="612"/>
      <c r="O43" s="612"/>
      <c r="P43" s="612"/>
    </row>
    <row r="44" spans="1:27">
      <c r="A44" s="616"/>
      <c r="B44" s="617" t="s">
        <v>282</v>
      </c>
      <c r="C44" s="617" t="s">
        <v>283</v>
      </c>
      <c r="D44" s="617"/>
      <c r="E44" s="617"/>
      <c r="F44" s="617"/>
      <c r="G44" s="617"/>
      <c r="H44" s="617"/>
      <c r="I44" s="618"/>
      <c r="J44" s="617"/>
      <c r="K44" s="617"/>
      <c r="L44" s="617"/>
      <c r="M44" s="617"/>
      <c r="N44" s="617"/>
      <c r="O44" s="617"/>
      <c r="P44" s="612"/>
    </row>
    <row r="45" spans="1:27">
      <c r="A45" s="614" t="s">
        <v>279</v>
      </c>
      <c r="B45" s="619">
        <f>IF(ISERROR(O29/(O29+N29)),0,O29/(O29+N29))</f>
        <v>0</v>
      </c>
      <c r="C45" s="620">
        <f>IF(ISERROR(N29/(O29+N29)),0,N29/(N29+O29))</f>
        <v>0</v>
      </c>
      <c r="D45" s="587"/>
      <c r="E45" s="587"/>
      <c r="F45" s="587"/>
      <c r="G45" s="587"/>
      <c r="H45" s="587"/>
      <c r="I45" s="621"/>
      <c r="J45" s="587"/>
      <c r="K45" s="587"/>
      <c r="L45" s="622"/>
      <c r="M45" s="622"/>
      <c r="N45" s="622"/>
      <c r="O45" s="622"/>
      <c r="P45" s="612"/>
    </row>
    <row r="46" spans="1:27">
      <c r="A46" s="614"/>
      <c r="B46" s="623"/>
      <c r="C46" s="623"/>
      <c r="D46" s="623"/>
      <c r="E46" s="623"/>
      <c r="F46" s="623"/>
      <c r="G46" s="623"/>
      <c r="H46" s="623"/>
      <c r="I46" s="624"/>
      <c r="J46" s="623"/>
      <c r="K46" s="623"/>
      <c r="L46" s="625"/>
      <c r="M46" s="625"/>
      <c r="N46" s="625"/>
      <c r="O46" s="625"/>
      <c r="P46" s="612"/>
    </row>
    <row r="47" spans="1:27" ht="30">
      <c r="A47" s="626"/>
      <c r="B47" s="627" t="s">
        <v>551</v>
      </c>
      <c r="C47" s="627" t="s">
        <v>102</v>
      </c>
      <c r="D47" s="627" t="s">
        <v>103</v>
      </c>
      <c r="E47" s="627" t="s">
        <v>104</v>
      </c>
      <c r="F47" s="627" t="s">
        <v>105</v>
      </c>
      <c r="G47" s="627" t="s">
        <v>106</v>
      </c>
      <c r="H47" s="627" t="s">
        <v>107</v>
      </c>
      <c r="I47" s="628" t="s">
        <v>108</v>
      </c>
      <c r="J47" s="617"/>
      <c r="K47" s="617"/>
      <c r="L47" s="625"/>
      <c r="M47" s="625"/>
      <c r="N47" s="625"/>
      <c r="O47" s="612"/>
      <c r="P47" s="612"/>
    </row>
    <row r="48" spans="1:27">
      <c r="A48" s="616" t="s">
        <v>284</v>
      </c>
      <c r="B48" s="629">
        <f t="shared" ref="B48:I48" si="2">$C$45*P29</f>
        <v>0</v>
      </c>
      <c r="C48" s="629">
        <f t="shared" si="2"/>
        <v>0</v>
      </c>
      <c r="D48" s="629">
        <f t="shared" si="2"/>
        <v>0</v>
      </c>
      <c r="E48" s="629">
        <f t="shared" si="2"/>
        <v>0</v>
      </c>
      <c r="F48" s="629">
        <f t="shared" si="2"/>
        <v>0</v>
      </c>
      <c r="G48" s="629">
        <f t="shared" si="2"/>
        <v>0</v>
      </c>
      <c r="H48" s="629">
        <f t="shared" si="2"/>
        <v>0</v>
      </c>
      <c r="I48" s="630">
        <f t="shared" si="2"/>
        <v>0</v>
      </c>
      <c r="J48" s="587"/>
      <c r="K48" s="587"/>
      <c r="L48" s="625"/>
      <c r="M48" s="625"/>
      <c r="N48" s="625"/>
      <c r="O48" s="612"/>
      <c r="P48" s="612"/>
    </row>
    <row r="49" spans="1:16" ht="15.75" thickBot="1">
      <c r="A49" s="631" t="s">
        <v>285</v>
      </c>
      <c r="B49" s="632">
        <f t="shared" ref="B49:I49" si="3">$B$45*P29</f>
        <v>0</v>
      </c>
      <c r="C49" s="632">
        <f t="shared" si="3"/>
        <v>0</v>
      </c>
      <c r="D49" s="632">
        <f t="shared" si="3"/>
        <v>0</v>
      </c>
      <c r="E49" s="632">
        <f t="shared" si="3"/>
        <v>0</v>
      </c>
      <c r="F49" s="632">
        <f t="shared" si="3"/>
        <v>0</v>
      </c>
      <c r="G49" s="632">
        <f t="shared" si="3"/>
        <v>0</v>
      </c>
      <c r="H49" s="632">
        <f t="shared" si="3"/>
        <v>0</v>
      </c>
      <c r="I49" s="633">
        <f t="shared" si="3"/>
        <v>0</v>
      </c>
      <c r="J49" s="587"/>
      <c r="K49" s="587"/>
      <c r="L49" s="625"/>
      <c r="M49" s="625"/>
      <c r="N49" s="625"/>
      <c r="O49" s="612"/>
      <c r="P49" s="612"/>
    </row>
    <row r="50" spans="1:16">
      <c r="J50" s="571"/>
      <c r="K50" s="571"/>
      <c r="L50" s="571"/>
      <c r="M50" s="571"/>
      <c r="N50" s="571"/>
    </row>
    <row r="51" spans="1:16">
      <c r="J51" s="571"/>
      <c r="K51" s="571"/>
      <c r="L51" s="571"/>
      <c r="M51" s="571"/>
      <c r="N51" s="571"/>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I26"/>
  <sheetViews>
    <sheetView showGridLines="0" workbookViewId="0">
      <selection activeCell="A22" sqref="A22:XFD22"/>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9" s="8" customFormat="1">
      <c r="A1" s="357" t="s">
        <v>423</v>
      </c>
      <c r="B1" s="357" t="s">
        <v>430</v>
      </c>
      <c r="C1" s="357" t="s">
        <v>429</v>
      </c>
      <c r="D1" s="357" t="s">
        <v>428</v>
      </c>
      <c r="E1" s="358" t="s">
        <v>424</v>
      </c>
      <c r="F1" s="359" t="s">
        <v>425</v>
      </c>
      <c r="G1" s="359" t="s">
        <v>426</v>
      </c>
      <c r="H1" s="359" t="s">
        <v>427</v>
      </c>
    </row>
    <row r="2" spans="1:9" s="12" customFormat="1">
      <c r="A2" s="1055" t="s">
        <v>932</v>
      </c>
      <c r="B2" s="1056" t="s">
        <v>933</v>
      </c>
      <c r="C2" s="1055" t="s">
        <v>737</v>
      </c>
      <c r="D2" s="1055" t="s">
        <v>810</v>
      </c>
      <c r="E2" s="908"/>
      <c r="F2" s="912" t="s">
        <v>792</v>
      </c>
      <c r="G2" s="912" t="s">
        <v>793</v>
      </c>
      <c r="H2" s="351" t="s">
        <v>794</v>
      </c>
    </row>
    <row r="3" spans="1:9" s="12" customFormat="1">
      <c r="A3" s="907" t="s">
        <v>930</v>
      </c>
      <c r="B3" s="910" t="s">
        <v>929</v>
      </c>
      <c r="C3" s="907" t="s">
        <v>192</v>
      </c>
      <c r="D3" s="911" t="s">
        <v>931</v>
      </c>
      <c r="E3" s="908"/>
      <c r="F3" s="909" t="s">
        <v>786</v>
      </c>
      <c r="G3" s="909" t="s">
        <v>787</v>
      </c>
      <c r="H3" s="909" t="s">
        <v>788</v>
      </c>
    </row>
    <row r="4" spans="1:9" s="886" customFormat="1">
      <c r="A4" s="907" t="s">
        <v>416</v>
      </c>
      <c r="B4" s="917">
        <v>2013</v>
      </c>
      <c r="C4" s="907" t="s">
        <v>416</v>
      </c>
      <c r="D4" s="907" t="s">
        <v>809</v>
      </c>
      <c r="E4" s="908"/>
      <c r="F4" s="909" t="s">
        <v>789</v>
      </c>
      <c r="G4" s="909" t="s">
        <v>790</v>
      </c>
      <c r="H4" s="909" t="s">
        <v>791</v>
      </c>
    </row>
    <row r="5" spans="1:9">
      <c r="A5" s="347" t="s">
        <v>404</v>
      </c>
      <c r="B5" s="348" t="s">
        <v>669</v>
      </c>
      <c r="C5" s="347" t="s">
        <v>404</v>
      </c>
      <c r="D5" s="347" t="s">
        <v>670</v>
      </c>
      <c r="E5" s="349"/>
      <c r="F5" s="350" t="s">
        <v>406</v>
      </c>
      <c r="G5" s="350" t="s">
        <v>407</v>
      </c>
      <c r="H5" s="351" t="s">
        <v>408</v>
      </c>
    </row>
    <row r="6" spans="1:9">
      <c r="A6" s="347" t="s">
        <v>409</v>
      </c>
      <c r="B6" s="348" t="s">
        <v>672</v>
      </c>
      <c r="C6" s="347" t="s">
        <v>409</v>
      </c>
      <c r="D6" s="347" t="s">
        <v>671</v>
      </c>
      <c r="E6" s="349"/>
      <c r="F6" s="350" t="s">
        <v>411</v>
      </c>
      <c r="G6" s="350" t="s">
        <v>412</v>
      </c>
      <c r="H6" s="351" t="s">
        <v>410</v>
      </c>
    </row>
    <row r="7" spans="1:9">
      <c r="A7" s="352" t="s">
        <v>442</v>
      </c>
      <c r="B7" s="355" t="s">
        <v>443</v>
      </c>
      <c r="C7" s="352" t="s">
        <v>445</v>
      </c>
      <c r="D7" s="352" t="s">
        <v>441</v>
      </c>
      <c r="E7" s="349" t="s">
        <v>444</v>
      </c>
      <c r="F7" s="350"/>
      <c r="G7" s="350"/>
      <c r="H7" s="351"/>
    </row>
    <row r="8" spans="1:9" s="886" customFormat="1">
      <c r="A8" s="352" t="s">
        <v>795</v>
      </c>
      <c r="B8" s="789">
        <v>2012</v>
      </c>
      <c r="C8" s="352" t="s">
        <v>416</v>
      </c>
      <c r="D8" s="352" t="s">
        <v>796</v>
      </c>
      <c r="E8" s="913" t="s">
        <v>797</v>
      </c>
      <c r="F8" s="350"/>
      <c r="G8" s="350"/>
      <c r="H8" s="351"/>
    </row>
    <row r="9" spans="1:9" s="12" customFormat="1">
      <c r="A9" s="907" t="s">
        <v>825</v>
      </c>
      <c r="B9" s="910" t="s">
        <v>828</v>
      </c>
      <c r="C9" s="907" t="s">
        <v>827</v>
      </c>
      <c r="D9" s="907" t="s">
        <v>826</v>
      </c>
      <c r="E9" s="908" t="s">
        <v>824</v>
      </c>
      <c r="F9" s="912"/>
      <c r="G9" s="912"/>
      <c r="H9" s="351"/>
    </row>
    <row r="10" spans="1:9">
      <c r="A10" s="352" t="s">
        <v>645</v>
      </c>
      <c r="B10" s="348" t="s">
        <v>646</v>
      </c>
      <c r="C10" s="352" t="s">
        <v>650</v>
      </c>
      <c r="D10" s="352" t="s">
        <v>651</v>
      </c>
      <c r="E10" s="349"/>
      <c r="F10" s="350" t="s">
        <v>647</v>
      </c>
      <c r="G10" s="350" t="s">
        <v>648</v>
      </c>
      <c r="H10" s="351" t="s">
        <v>649</v>
      </c>
    </row>
    <row r="11" spans="1:9" s="886" customFormat="1">
      <c r="A11" s="907" t="s">
        <v>811</v>
      </c>
      <c r="B11" s="917">
        <v>2017</v>
      </c>
      <c r="C11" s="907" t="s">
        <v>435</v>
      </c>
      <c r="D11" s="907" t="s">
        <v>812</v>
      </c>
      <c r="E11" s="913"/>
      <c r="F11" s="912" t="s">
        <v>792</v>
      </c>
      <c r="G11" s="912" t="s">
        <v>793</v>
      </c>
      <c r="H11" s="351" t="s">
        <v>794</v>
      </c>
    </row>
    <row r="12" spans="1:9" s="11" customFormat="1">
      <c r="A12" s="352" t="s">
        <v>418</v>
      </c>
      <c r="B12" s="348" t="s">
        <v>434</v>
      </c>
      <c r="C12" s="347"/>
      <c r="D12" s="356" t="s">
        <v>433</v>
      </c>
      <c r="E12" s="349"/>
      <c r="F12" s="350"/>
      <c r="G12" s="350"/>
      <c r="H12" s="351"/>
    </row>
    <row r="13" spans="1:9">
      <c r="A13" s="347" t="s">
        <v>396</v>
      </c>
      <c r="B13" s="348" t="s">
        <v>402</v>
      </c>
      <c r="C13" s="347" t="s">
        <v>401</v>
      </c>
      <c r="D13" s="347" t="s">
        <v>403</v>
      </c>
      <c r="E13" s="354" t="s">
        <v>397</v>
      </c>
      <c r="F13" s="350" t="s">
        <v>398</v>
      </c>
      <c r="G13" s="350" t="s">
        <v>399</v>
      </c>
      <c r="H13" s="350" t="s">
        <v>400</v>
      </c>
    </row>
    <row r="14" spans="1:9">
      <c r="A14" s="347" t="s">
        <v>417</v>
      </c>
      <c r="B14" s="348" t="s">
        <v>405</v>
      </c>
      <c r="C14" s="347" t="s">
        <v>417</v>
      </c>
      <c r="D14" s="347" t="s">
        <v>431</v>
      </c>
      <c r="E14" s="349"/>
      <c r="F14" s="350" t="s">
        <v>841</v>
      </c>
      <c r="G14" s="350" t="s">
        <v>842</v>
      </c>
      <c r="H14" s="351" t="s">
        <v>843</v>
      </c>
    </row>
    <row r="15" spans="1:9" s="886" customFormat="1">
      <c r="A15" s="915" t="s">
        <v>802</v>
      </c>
      <c r="B15" s="916" t="s">
        <v>803</v>
      </c>
      <c r="C15" s="915" t="s">
        <v>804</v>
      </c>
      <c r="D15" s="915" t="s">
        <v>805</v>
      </c>
      <c r="E15" s="683"/>
      <c r="F15" s="912" t="s">
        <v>806</v>
      </c>
      <c r="G15" s="912" t="s">
        <v>807</v>
      </c>
      <c r="H15" s="351" t="s">
        <v>808</v>
      </c>
    </row>
    <row r="16" spans="1:9">
      <c r="A16" s="347" t="s">
        <v>523</v>
      </c>
      <c r="B16" s="348" t="s">
        <v>381</v>
      </c>
      <c r="C16" s="347" t="s">
        <v>379</v>
      </c>
      <c r="D16" s="356" t="s">
        <v>380</v>
      </c>
      <c r="E16" s="349" t="s">
        <v>382</v>
      </c>
      <c r="F16" s="914" t="s">
        <v>798</v>
      </c>
      <c r="G16" s="914" t="s">
        <v>799</v>
      </c>
      <c r="H16" s="351" t="s">
        <v>800</v>
      </c>
      <c r="I16" s="886"/>
    </row>
    <row r="17" spans="1:9" s="886" customFormat="1">
      <c r="A17" s="347" t="s">
        <v>523</v>
      </c>
      <c r="B17" s="348" t="s">
        <v>833</v>
      </c>
      <c r="C17" s="347" t="s">
        <v>837</v>
      </c>
      <c r="D17" s="356" t="s">
        <v>838</v>
      </c>
      <c r="E17" s="349"/>
      <c r="F17" s="914" t="s">
        <v>798</v>
      </c>
      <c r="G17" s="914" t="s">
        <v>799</v>
      </c>
      <c r="H17" s="351" t="s">
        <v>800</v>
      </c>
    </row>
    <row r="18" spans="1:9">
      <c r="A18" s="352" t="s">
        <v>522</v>
      </c>
      <c r="B18" s="355" t="s">
        <v>405</v>
      </c>
      <c r="C18" s="352" t="s">
        <v>435</v>
      </c>
      <c r="D18" s="352" t="s">
        <v>377</v>
      </c>
      <c r="E18" s="349"/>
      <c r="F18" s="909" t="s">
        <v>798</v>
      </c>
      <c r="G18" s="914" t="s">
        <v>799</v>
      </c>
      <c r="H18" s="351" t="s">
        <v>800</v>
      </c>
      <c r="I18" s="886"/>
    </row>
    <row r="19" spans="1:9">
      <c r="A19" s="352" t="s">
        <v>522</v>
      </c>
      <c r="B19" s="851" t="s">
        <v>669</v>
      </c>
      <c r="C19" s="352" t="s">
        <v>435</v>
      </c>
      <c r="D19" s="352" t="s">
        <v>702</v>
      </c>
      <c r="E19" s="349"/>
      <c r="F19" s="909" t="s">
        <v>798</v>
      </c>
      <c r="G19" s="914" t="s">
        <v>801</v>
      </c>
      <c r="H19" s="351" t="s">
        <v>800</v>
      </c>
    </row>
    <row r="20" spans="1:9" s="11" customFormat="1">
      <c r="A20" s="352" t="s">
        <v>521</v>
      </c>
      <c r="B20" s="355" t="s">
        <v>520</v>
      </c>
      <c r="C20" s="352" t="s">
        <v>519</v>
      </c>
      <c r="D20" s="352" t="s">
        <v>518</v>
      </c>
      <c r="E20" s="345"/>
      <c r="F20" s="346"/>
      <c r="G20" s="346"/>
      <c r="H20" s="353"/>
    </row>
    <row r="21" spans="1:9">
      <c r="A21" s="352" t="s">
        <v>192</v>
      </c>
      <c r="B21" s="789" t="s">
        <v>745</v>
      </c>
      <c r="C21" s="352" t="s">
        <v>436</v>
      </c>
      <c r="D21" s="352" t="s">
        <v>437</v>
      </c>
      <c r="E21" s="349"/>
      <c r="F21" s="350" t="s">
        <v>438</v>
      </c>
      <c r="G21" s="350" t="s">
        <v>439</v>
      </c>
      <c r="H21" s="351" t="s">
        <v>440</v>
      </c>
    </row>
    <row r="22" spans="1:9" s="12" customFormat="1">
      <c r="A22" s="1058" t="s">
        <v>934</v>
      </c>
      <c r="B22" s="1059" t="s">
        <v>929</v>
      </c>
      <c r="C22" s="1058" t="s">
        <v>192</v>
      </c>
      <c r="D22" s="1058" t="s">
        <v>935</v>
      </c>
      <c r="E22" s="908"/>
      <c r="F22" s="909" t="s">
        <v>786</v>
      </c>
      <c r="G22" s="909" t="s">
        <v>787</v>
      </c>
      <c r="H22" s="909" t="s">
        <v>788</v>
      </c>
    </row>
    <row r="23" spans="1:9">
      <c r="A23" s="352" t="s">
        <v>417</v>
      </c>
      <c r="B23" s="348" t="s">
        <v>833</v>
      </c>
      <c r="C23" s="352" t="s">
        <v>417</v>
      </c>
      <c r="D23" s="352" t="s">
        <v>834</v>
      </c>
      <c r="E23" s="349" t="s">
        <v>432</v>
      </c>
      <c r="F23" s="350" t="s">
        <v>844</v>
      </c>
      <c r="G23" s="350" t="s">
        <v>845</v>
      </c>
      <c r="H23" s="351" t="s">
        <v>846</v>
      </c>
    </row>
    <row r="24" spans="1:9" s="886" customFormat="1">
      <c r="A24" s="352" t="s">
        <v>417</v>
      </c>
      <c r="B24" s="348" t="s">
        <v>835</v>
      </c>
      <c r="C24" s="352" t="s">
        <v>417</v>
      </c>
      <c r="D24" s="352" t="s">
        <v>836</v>
      </c>
      <c r="E24" s="349"/>
      <c r="F24" s="350" t="s">
        <v>847</v>
      </c>
      <c r="G24" s="350" t="s">
        <v>848</v>
      </c>
      <c r="H24" s="351" t="s">
        <v>849</v>
      </c>
    </row>
    <row r="25" spans="1:9">
      <c r="A25" s="347" t="s">
        <v>415</v>
      </c>
      <c r="B25" s="348" t="s">
        <v>673</v>
      </c>
      <c r="C25" s="347" t="s">
        <v>415</v>
      </c>
      <c r="D25" s="356" t="s">
        <v>674</v>
      </c>
      <c r="E25" s="349" t="s">
        <v>432</v>
      </c>
      <c r="F25" s="350" t="s">
        <v>850</v>
      </c>
      <c r="G25" s="350" t="s">
        <v>851</v>
      </c>
      <c r="H25" s="351" t="s">
        <v>852</v>
      </c>
    </row>
    <row r="26" spans="1:9" s="886" customFormat="1">
      <c r="A26" s="352" t="s">
        <v>415</v>
      </c>
      <c r="B26" s="348" t="s">
        <v>673</v>
      </c>
      <c r="C26" s="352" t="s">
        <v>415</v>
      </c>
      <c r="D26" s="352" t="s">
        <v>839</v>
      </c>
      <c r="E26" s="349" t="s">
        <v>840</v>
      </c>
      <c r="F26" s="350" t="s">
        <v>850</v>
      </c>
      <c r="G26" s="350" t="s">
        <v>851</v>
      </c>
      <c r="H26" s="351" t="s">
        <v>852</v>
      </c>
    </row>
  </sheetData>
  <hyperlinks>
    <hyperlink ref="H5" r:id="rId1"/>
    <hyperlink ref="H6" r:id="rId2" display="mailto:toon.lenaerts@infrax.be"/>
    <hyperlink ref="H14" r:id="rId3" display="tine.tanghe@vea.be"/>
    <hyperlink ref="E13" r:id="rId4"/>
    <hyperlink ref="H2" r:id="rId5"/>
    <hyperlink ref="H16" r:id="rId6"/>
    <hyperlink ref="H18" r:id="rId7"/>
    <hyperlink ref="H19" r:id="rId8"/>
    <hyperlink ref="H11" r:id="rId9"/>
  </hyperlinks>
  <pageMargins left="0.7" right="0.7" top="0.75" bottom="0.75" header="0.3" footer="0.3"/>
  <pageSetup paperSize="9" orientation="portrait" r:id="rId10"/>
  <ignoredErrors>
    <ignoredError sqref="B7 B12 B9"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51"/>
  <sheetViews>
    <sheetView topLeftCell="A46" workbookViewId="0">
      <selection activeCell="C58" sqref="C58"/>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66" t="s">
        <v>634</v>
      </c>
      <c r="B1" s="766" t="s">
        <v>635</v>
      </c>
      <c r="C1" s="766" t="s">
        <v>637</v>
      </c>
      <c r="D1" s="766" t="s">
        <v>636</v>
      </c>
    </row>
    <row r="2" spans="1:4">
      <c r="A2" t="s">
        <v>654</v>
      </c>
      <c r="B2" s="764">
        <v>41877</v>
      </c>
      <c r="C2" t="s">
        <v>659</v>
      </c>
      <c r="D2" s="779" t="s">
        <v>655</v>
      </c>
    </row>
    <row r="3" spans="1:4">
      <c r="A3" t="s">
        <v>654</v>
      </c>
      <c r="B3" s="764">
        <v>41877</v>
      </c>
      <c r="C3" t="s">
        <v>657</v>
      </c>
      <c r="D3" s="765" t="s">
        <v>656</v>
      </c>
    </row>
    <row r="4" spans="1:4">
      <c r="A4" t="s">
        <v>654</v>
      </c>
      <c r="B4" s="764">
        <v>41877</v>
      </c>
      <c r="C4" t="s">
        <v>658</v>
      </c>
      <c r="D4" s="779" t="s">
        <v>660</v>
      </c>
    </row>
    <row r="5" spans="1:4">
      <c r="A5" t="s">
        <v>654</v>
      </c>
      <c r="B5" s="764">
        <v>41877</v>
      </c>
      <c r="C5" t="s">
        <v>661</v>
      </c>
      <c r="D5" s="765" t="s">
        <v>662</v>
      </c>
    </row>
    <row r="6" spans="1:4">
      <c r="A6" t="s">
        <v>654</v>
      </c>
      <c r="B6" s="764">
        <v>41883</v>
      </c>
      <c r="C6" t="s">
        <v>677</v>
      </c>
      <c r="D6" s="765" t="s">
        <v>678</v>
      </c>
    </row>
    <row r="7" spans="1:4">
      <c r="A7" t="s">
        <v>654</v>
      </c>
      <c r="B7" s="764">
        <v>41885</v>
      </c>
      <c r="C7" t="s">
        <v>694</v>
      </c>
      <c r="D7" s="765" t="s">
        <v>693</v>
      </c>
    </row>
    <row r="8" spans="1:4">
      <c r="A8" t="s">
        <v>654</v>
      </c>
      <c r="B8" s="764">
        <v>41885</v>
      </c>
      <c r="C8" t="s">
        <v>694</v>
      </c>
      <c r="D8" s="765" t="s">
        <v>695</v>
      </c>
    </row>
    <row r="9" spans="1:4">
      <c r="A9" t="s">
        <v>654</v>
      </c>
      <c r="B9" s="764">
        <v>41892</v>
      </c>
      <c r="C9" t="s">
        <v>696</v>
      </c>
      <c r="D9" s="765" t="s">
        <v>697</v>
      </c>
    </row>
    <row r="10" spans="1:4">
      <c r="A10" t="s">
        <v>654</v>
      </c>
      <c r="B10" s="764">
        <v>41892</v>
      </c>
      <c r="C10" t="s">
        <v>698</v>
      </c>
      <c r="D10" s="765" t="s">
        <v>699</v>
      </c>
    </row>
    <row r="11" spans="1:4">
      <c r="A11" t="s">
        <v>654</v>
      </c>
      <c r="B11" s="764">
        <v>41892</v>
      </c>
      <c r="C11" t="s">
        <v>708</v>
      </c>
      <c r="D11" s="765" t="s">
        <v>707</v>
      </c>
    </row>
    <row r="12" spans="1:4">
      <c r="A12" t="s">
        <v>654</v>
      </c>
      <c r="B12" s="879">
        <v>41914</v>
      </c>
      <c r="C12" s="881" t="s">
        <v>715</v>
      </c>
      <c r="D12" s="880" t="s">
        <v>709</v>
      </c>
    </row>
    <row r="13" spans="1:4">
      <c r="A13" t="s">
        <v>654</v>
      </c>
      <c r="B13" s="879">
        <v>41914</v>
      </c>
      <c r="C13" s="881" t="s">
        <v>716</v>
      </c>
      <c r="D13" s="880" t="s">
        <v>710</v>
      </c>
    </row>
    <row r="14" spans="1:4">
      <c r="A14" t="s">
        <v>654</v>
      </c>
      <c r="B14" s="879">
        <v>41914</v>
      </c>
      <c r="C14" s="878" t="s">
        <v>711</v>
      </c>
      <c r="D14" s="880" t="s">
        <v>712</v>
      </c>
    </row>
    <row r="15" spans="1:4">
      <c r="A15" t="s">
        <v>654</v>
      </c>
      <c r="B15" s="879">
        <v>41914</v>
      </c>
      <c r="C15" s="878" t="s">
        <v>713</v>
      </c>
      <c r="D15" s="880" t="s">
        <v>714</v>
      </c>
    </row>
    <row r="16" spans="1:4">
      <c r="A16" t="s">
        <v>654</v>
      </c>
      <c r="B16" s="883">
        <v>41914</v>
      </c>
      <c r="C16" s="882" t="s">
        <v>717</v>
      </c>
      <c r="D16" s="779" t="s">
        <v>718</v>
      </c>
    </row>
    <row r="17" spans="1:4">
      <c r="A17" s="886" t="s">
        <v>654</v>
      </c>
      <c r="B17" s="883">
        <v>41914</v>
      </c>
      <c r="C17" t="s">
        <v>732</v>
      </c>
      <c r="D17" s="885" t="s">
        <v>719</v>
      </c>
    </row>
    <row r="18" spans="1:4">
      <c r="A18" s="886" t="s">
        <v>654</v>
      </c>
      <c r="B18" s="883">
        <v>41914</v>
      </c>
      <c r="C18" t="s">
        <v>720</v>
      </c>
      <c r="D18" s="892" t="s">
        <v>721</v>
      </c>
    </row>
    <row r="19" spans="1:4">
      <c r="A19" s="886" t="s">
        <v>654</v>
      </c>
      <c r="B19" s="883">
        <v>41914</v>
      </c>
      <c r="C19" t="s">
        <v>722</v>
      </c>
      <c r="D19" s="892" t="s">
        <v>723</v>
      </c>
    </row>
    <row r="20" spans="1:4">
      <c r="A20" s="886" t="s">
        <v>654</v>
      </c>
      <c r="B20" s="883">
        <v>41914</v>
      </c>
      <c r="C20" t="s">
        <v>733</v>
      </c>
      <c r="D20" s="892" t="s">
        <v>724</v>
      </c>
    </row>
    <row r="21" spans="1:4">
      <c r="A21" s="886" t="s">
        <v>654</v>
      </c>
      <c r="B21" s="883">
        <v>41914</v>
      </c>
      <c r="C21" t="s">
        <v>725</v>
      </c>
      <c r="D21" s="891" t="s">
        <v>730</v>
      </c>
    </row>
    <row r="22" spans="1:4">
      <c r="A22" s="886" t="s">
        <v>654</v>
      </c>
      <c r="B22" s="883">
        <v>41914</v>
      </c>
      <c r="C22" t="s">
        <v>726</v>
      </c>
      <c r="D22" s="892" t="s">
        <v>727</v>
      </c>
    </row>
    <row r="23" spans="1:4">
      <c r="A23" s="886" t="s">
        <v>654</v>
      </c>
      <c r="B23" s="883">
        <v>41914</v>
      </c>
      <c r="C23" t="s">
        <v>731</v>
      </c>
      <c r="D23" s="892" t="s">
        <v>728</v>
      </c>
    </row>
    <row r="24" spans="1:4">
      <c r="A24" s="886" t="s">
        <v>654</v>
      </c>
      <c r="B24" s="883">
        <v>41925</v>
      </c>
      <c r="C24" t="s">
        <v>734</v>
      </c>
      <c r="D24" s="892" t="s">
        <v>735</v>
      </c>
    </row>
    <row r="25" spans="1:4">
      <c r="A25" t="s">
        <v>654</v>
      </c>
      <c r="B25" s="883">
        <v>41967</v>
      </c>
      <c r="C25" t="s">
        <v>740</v>
      </c>
      <c r="D25" s="891" t="s">
        <v>739</v>
      </c>
    </row>
    <row r="26" spans="1:4">
      <c r="A26" t="s">
        <v>741</v>
      </c>
      <c r="B26" s="883">
        <v>42275</v>
      </c>
      <c r="C26" t="s">
        <v>742</v>
      </c>
      <c r="D26" s="891" t="s">
        <v>749</v>
      </c>
    </row>
    <row r="27" spans="1:4">
      <c r="A27" t="s">
        <v>741</v>
      </c>
      <c r="B27" s="883">
        <v>42275</v>
      </c>
      <c r="C27" t="s">
        <v>743</v>
      </c>
      <c r="D27" s="891" t="s">
        <v>750</v>
      </c>
    </row>
    <row r="28" spans="1:4">
      <c r="A28" t="s">
        <v>741</v>
      </c>
      <c r="B28" s="883">
        <v>42275</v>
      </c>
      <c r="C28" t="s">
        <v>744</v>
      </c>
      <c r="D28" s="891" t="s">
        <v>751</v>
      </c>
    </row>
    <row r="29" spans="1:4">
      <c r="A29" t="s">
        <v>741</v>
      </c>
      <c r="B29" s="883">
        <v>42283</v>
      </c>
      <c r="C29" t="s">
        <v>752</v>
      </c>
      <c r="D29" s="892" t="s">
        <v>753</v>
      </c>
    </row>
    <row r="30" spans="1:4">
      <c r="A30" s="886" t="s">
        <v>769</v>
      </c>
      <c r="B30" s="895">
        <v>42538</v>
      </c>
      <c r="C30" s="895" t="s">
        <v>754</v>
      </c>
      <c r="D30" s="895"/>
    </row>
    <row r="31" spans="1:4">
      <c r="A31" s="886" t="s">
        <v>769</v>
      </c>
      <c r="B31" s="895">
        <v>42538</v>
      </c>
      <c r="C31" s="895" t="s">
        <v>755</v>
      </c>
      <c r="D31" s="896" t="s">
        <v>756</v>
      </c>
    </row>
    <row r="32" spans="1:4">
      <c r="A32" s="886" t="s">
        <v>769</v>
      </c>
      <c r="B32" s="895">
        <v>42538</v>
      </c>
      <c r="C32" s="895" t="s">
        <v>757</v>
      </c>
      <c r="D32" s="897" t="s">
        <v>758</v>
      </c>
    </row>
    <row r="33" spans="1:4">
      <c r="A33" s="886" t="s">
        <v>769</v>
      </c>
      <c r="B33" s="895">
        <v>42538</v>
      </c>
      <c r="C33" s="895" t="s">
        <v>759</v>
      </c>
      <c r="D33" s="896" t="s">
        <v>718</v>
      </c>
    </row>
    <row r="34" spans="1:4">
      <c r="A34" t="s">
        <v>782</v>
      </c>
      <c r="B34" s="764">
        <v>42877</v>
      </c>
      <c r="C34" s="886" t="s">
        <v>830</v>
      </c>
      <c r="D34" s="891" t="s">
        <v>783</v>
      </c>
    </row>
    <row r="35" spans="1:4">
      <c r="A35" s="886" t="s">
        <v>782</v>
      </c>
      <c r="B35" s="764">
        <v>42877</v>
      </c>
      <c r="C35" s="886" t="s">
        <v>831</v>
      </c>
      <c r="D35" s="892" t="s">
        <v>784</v>
      </c>
    </row>
    <row r="36" spans="1:4">
      <c r="A36" s="886" t="s">
        <v>782</v>
      </c>
      <c r="B36" s="764">
        <v>42877</v>
      </c>
      <c r="C36" s="886" t="s">
        <v>832</v>
      </c>
      <c r="D36" s="892" t="s">
        <v>785</v>
      </c>
    </row>
    <row r="37" spans="1:4">
      <c r="A37" t="s">
        <v>814</v>
      </c>
      <c r="B37" s="764">
        <v>43166</v>
      </c>
      <c r="C37" s="895" t="s">
        <v>815</v>
      </c>
      <c r="D37" s="892" t="s">
        <v>816</v>
      </c>
    </row>
    <row r="38" spans="1:4">
      <c r="A38" t="s">
        <v>814</v>
      </c>
      <c r="B38" s="764">
        <v>43166</v>
      </c>
      <c r="C38" s="895" t="s">
        <v>817</v>
      </c>
      <c r="D38" s="891" t="s">
        <v>818</v>
      </c>
    </row>
    <row r="39" spans="1:4">
      <c r="A39" t="s">
        <v>814</v>
      </c>
      <c r="B39" s="764">
        <v>43166</v>
      </c>
      <c r="C39" s="895" t="s">
        <v>819</v>
      </c>
      <c r="D39" s="891" t="s">
        <v>820</v>
      </c>
    </row>
    <row r="40" spans="1:4">
      <c r="A40" t="s">
        <v>814</v>
      </c>
      <c r="B40" s="764">
        <v>43166</v>
      </c>
      <c r="C40" s="895" t="s">
        <v>821</v>
      </c>
      <c r="D40" s="891" t="s">
        <v>822</v>
      </c>
    </row>
    <row r="41" spans="1:4">
      <c r="A41" t="s">
        <v>814</v>
      </c>
      <c r="B41" s="764">
        <v>43278</v>
      </c>
      <c r="C41" s="895" t="s">
        <v>853</v>
      </c>
    </row>
    <row r="42" spans="1:4">
      <c r="A42" t="s">
        <v>855</v>
      </c>
      <c r="B42" s="764">
        <v>43424</v>
      </c>
      <c r="C42" s="895" t="s">
        <v>854</v>
      </c>
    </row>
    <row r="43" spans="1:4">
      <c r="A43" t="s">
        <v>900</v>
      </c>
      <c r="B43" s="764">
        <v>43573</v>
      </c>
      <c r="C43" s="895" t="s">
        <v>901</v>
      </c>
    </row>
    <row r="44" spans="1:4">
      <c r="A44" t="s">
        <v>923</v>
      </c>
      <c r="B44" s="764">
        <v>43678</v>
      </c>
      <c r="C44" s="895" t="s">
        <v>924</v>
      </c>
      <c r="D44" s="891" t="s">
        <v>739</v>
      </c>
    </row>
    <row r="45" spans="1:4">
      <c r="A45" t="s">
        <v>928</v>
      </c>
      <c r="B45" s="1048">
        <v>43930</v>
      </c>
      <c r="C45" s="1062" t="s">
        <v>925</v>
      </c>
      <c r="D45" s="1047" t="s">
        <v>926</v>
      </c>
    </row>
    <row r="46" spans="1:4">
      <c r="A46" s="1046" t="s">
        <v>928</v>
      </c>
      <c r="B46" s="1048">
        <v>43930</v>
      </c>
      <c r="C46" s="1062" t="s">
        <v>927</v>
      </c>
      <c r="D46" s="1047" t="s">
        <v>926</v>
      </c>
    </row>
    <row r="47" spans="1:4">
      <c r="A47" s="1052" t="s">
        <v>928</v>
      </c>
      <c r="B47" s="1053">
        <v>43943</v>
      </c>
      <c r="C47" t="s">
        <v>939</v>
      </c>
      <c r="D47" s="1063" t="s">
        <v>783</v>
      </c>
    </row>
    <row r="48" spans="1:4">
      <c r="A48" s="1062" t="s">
        <v>928</v>
      </c>
      <c r="B48" s="1064">
        <v>43943</v>
      </c>
      <c r="C48" t="s">
        <v>937</v>
      </c>
      <c r="D48" s="1065" t="s">
        <v>784</v>
      </c>
    </row>
    <row r="49" spans="1:4">
      <c r="A49" s="1062" t="s">
        <v>928</v>
      </c>
      <c r="B49" s="1064">
        <v>43943</v>
      </c>
      <c r="C49" t="s">
        <v>938</v>
      </c>
      <c r="D49" s="1065" t="s">
        <v>785</v>
      </c>
    </row>
    <row r="50" spans="1:4">
      <c r="A50" s="1062" t="s">
        <v>928</v>
      </c>
      <c r="B50" s="1064">
        <v>43943</v>
      </c>
      <c r="C50" t="s">
        <v>940</v>
      </c>
      <c r="D50" s="1065" t="s">
        <v>941</v>
      </c>
    </row>
    <row r="51" spans="1:4">
      <c r="A51" t="s">
        <v>928</v>
      </c>
      <c r="B51" s="1064">
        <v>43951</v>
      </c>
      <c r="C51" t="s">
        <v>944</v>
      </c>
      <c r="D51" s="1065" t="s">
        <v>945</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 ref="D44" location="'EF ele_warmte'!A1" display="'EF ele_warmte'!A1"/>
    <hyperlink ref="D45" location="data!A1" display="data!A1"/>
    <hyperlink ref="D46" location="data!A1" display="data!A1"/>
    <hyperlink ref="D47" location="'ECF transport '!A1" display="'ECF transport '!A1"/>
    <hyperlink ref="D48" location="transport!A21" display="transport!A21"/>
    <hyperlink ref="D49" location="transport!A28" display="transport!A28"/>
    <hyperlink ref="D50" location="Conversiefactoren!A1" display="Conversiefactoren!A24"/>
    <hyperlink ref="D51" location="huishoudens!A1" display="huishoudens!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A32" sqref="A32"/>
    </sheetView>
  </sheetViews>
  <sheetFormatPr defaultColWidth="9.140625" defaultRowHeight="15"/>
  <cols>
    <col min="1" max="1" width="35.7109375" style="455" bestFit="1" customWidth="1"/>
    <col min="2" max="2" width="11.28515625" style="455" bestFit="1" customWidth="1"/>
    <col min="3" max="3" width="15.42578125" style="455" bestFit="1" customWidth="1"/>
    <col min="4" max="4" width="9.140625" style="455"/>
    <col min="5" max="5" width="16.28515625" style="455" customWidth="1"/>
    <col min="6" max="8" width="9.140625" style="455"/>
    <col min="9" max="9" width="14.28515625" style="455" customWidth="1"/>
    <col min="10" max="10" width="18.5703125" style="455" customWidth="1"/>
    <col min="11" max="11" width="15.140625" style="455" customWidth="1"/>
    <col min="12" max="12" width="15.42578125" style="455" customWidth="1"/>
    <col min="13" max="13" width="17" style="455" customWidth="1"/>
    <col min="14" max="14" width="16.42578125" style="455" customWidth="1"/>
    <col min="15" max="15" width="13.42578125" style="455" customWidth="1"/>
    <col min="16" max="16" width="18.28515625" style="455" customWidth="1"/>
    <col min="17" max="17" width="10.5703125" style="455" bestFit="1" customWidth="1"/>
    <col min="18" max="18" width="9.5703125" style="455" bestFit="1" customWidth="1"/>
    <col min="19" max="16384" width="9.140625" style="455"/>
  </cols>
  <sheetData>
    <row r="1" spans="1:17" ht="15.75">
      <c r="A1" s="1162" t="s">
        <v>567</v>
      </c>
      <c r="B1" s="1163" t="s">
        <v>563</v>
      </c>
      <c r="C1" s="1163"/>
      <c r="D1" s="1163"/>
      <c r="E1" s="1163"/>
      <c r="F1" s="1163"/>
      <c r="G1" s="1163"/>
      <c r="H1" s="1163"/>
      <c r="I1" s="1163"/>
      <c r="J1" s="1163"/>
      <c r="K1" s="1163"/>
      <c r="L1" s="1163"/>
      <c r="M1" s="1163"/>
      <c r="N1" s="1163"/>
      <c r="O1" s="1163"/>
      <c r="P1" s="1164"/>
      <c r="Q1" s="1013"/>
    </row>
    <row r="2" spans="1:17">
      <c r="A2" s="1162"/>
      <c r="B2" s="1165" t="s">
        <v>20</v>
      </c>
      <c r="C2" s="1167" t="s">
        <v>195</v>
      </c>
      <c r="D2" s="1169" t="s">
        <v>196</v>
      </c>
      <c r="E2" s="1170"/>
      <c r="F2" s="1170"/>
      <c r="G2" s="1170"/>
      <c r="H2" s="1170"/>
      <c r="I2" s="1170"/>
      <c r="J2" s="1170"/>
      <c r="K2" s="1166"/>
      <c r="L2" s="1169" t="s">
        <v>197</v>
      </c>
      <c r="M2" s="1170"/>
      <c r="N2" s="1170"/>
      <c r="O2" s="1170"/>
      <c r="P2" s="1166"/>
      <c r="Q2" s="1013"/>
    </row>
    <row r="3" spans="1:17" ht="45">
      <c r="A3" s="1162"/>
      <c r="B3" s="1166"/>
      <c r="C3" s="1168"/>
      <c r="D3" s="1013" t="s">
        <v>198</v>
      </c>
      <c r="E3" s="1013" t="s">
        <v>199</v>
      </c>
      <c r="F3" s="1013" t="s">
        <v>200</v>
      </c>
      <c r="G3" s="1013" t="s">
        <v>201</v>
      </c>
      <c r="H3" s="1013" t="s">
        <v>119</v>
      </c>
      <c r="I3" s="1013" t="s">
        <v>202</v>
      </c>
      <c r="J3" s="1013" t="s">
        <v>203</v>
      </c>
      <c r="K3" s="1013" t="s">
        <v>204</v>
      </c>
      <c r="L3" s="1013" t="s">
        <v>205</v>
      </c>
      <c r="M3" s="1013" t="s">
        <v>206</v>
      </c>
      <c r="N3" s="1013" t="s">
        <v>207</v>
      </c>
      <c r="O3" s="1013" t="s">
        <v>208</v>
      </c>
      <c r="P3" s="1013" t="s">
        <v>209</v>
      </c>
      <c r="Q3" s="1013" t="s">
        <v>115</v>
      </c>
    </row>
    <row r="4" spans="1:17">
      <c r="A4" s="456" t="s">
        <v>154</v>
      </c>
      <c r="B4" s="457">
        <f>huishoudens!B8</f>
        <v>22469.838258120959</v>
      </c>
      <c r="C4" s="457">
        <f>huishoudens!C8</f>
        <v>0</v>
      </c>
      <c r="D4" s="457">
        <f>huishoudens!D8</f>
        <v>42207.734161742897</v>
      </c>
      <c r="E4" s="457">
        <f>huishoudens!E8</f>
        <v>6989.7885699605604</v>
      </c>
      <c r="F4" s="457">
        <f>huishoudens!F8</f>
        <v>13883.38127710871</v>
      </c>
      <c r="G4" s="457">
        <f>huishoudens!G8</f>
        <v>0</v>
      </c>
      <c r="H4" s="457">
        <f>huishoudens!H8</f>
        <v>0</v>
      </c>
      <c r="I4" s="457">
        <f>huishoudens!I8</f>
        <v>0</v>
      </c>
      <c r="J4" s="457">
        <f>huishoudens!J8</f>
        <v>1722.5537087363564</v>
      </c>
      <c r="K4" s="457">
        <f>huishoudens!K8</f>
        <v>0</v>
      </c>
      <c r="L4" s="457">
        <f>huishoudens!L8</f>
        <v>0</v>
      </c>
      <c r="M4" s="457">
        <f>huishoudens!M8</f>
        <v>0</v>
      </c>
      <c r="N4" s="457">
        <f>huishoudens!N8</f>
        <v>14820.545683410632</v>
      </c>
      <c r="O4" s="457">
        <f>huishoudens!O8</f>
        <v>51.589999999999996</v>
      </c>
      <c r="P4" s="458">
        <f>huishoudens!P8</f>
        <v>190.66666666666669</v>
      </c>
      <c r="Q4" s="459">
        <f>SUM(B4:P4)</f>
        <v>102336.09832574679</v>
      </c>
    </row>
    <row r="5" spans="1:17">
      <c r="A5" s="456" t="s">
        <v>155</v>
      </c>
      <c r="B5" s="457">
        <f ca="1">tertiair!B16</f>
        <v>12292.846792872737</v>
      </c>
      <c r="C5" s="457">
        <f ca="1">tertiair!C16</f>
        <v>0</v>
      </c>
      <c r="D5" s="457">
        <f ca="1">tertiair!D16</f>
        <v>15448.492878753628</v>
      </c>
      <c r="E5" s="457">
        <f>tertiair!E16</f>
        <v>183.85051736095431</v>
      </c>
      <c r="F5" s="457">
        <f ca="1">tertiair!F16</f>
        <v>2402.030942119633</v>
      </c>
      <c r="G5" s="457">
        <f>tertiair!G16</f>
        <v>0</v>
      </c>
      <c r="H5" s="457">
        <f>tertiair!H16</f>
        <v>0</v>
      </c>
      <c r="I5" s="457">
        <f>tertiair!I16</f>
        <v>0</v>
      </c>
      <c r="J5" s="457">
        <f>tertiair!J16</f>
        <v>0</v>
      </c>
      <c r="K5" s="457">
        <f>tertiair!K16</f>
        <v>0</v>
      </c>
      <c r="L5" s="457">
        <f ca="1">tertiair!L16</f>
        <v>0</v>
      </c>
      <c r="M5" s="457">
        <f>tertiair!M16</f>
        <v>0</v>
      </c>
      <c r="N5" s="457">
        <f ca="1">tertiair!N16</f>
        <v>689.80905737588023</v>
      </c>
      <c r="O5" s="457">
        <f>tertiair!O16</f>
        <v>0</v>
      </c>
      <c r="P5" s="458">
        <f>tertiair!P16</f>
        <v>19.066666666666666</v>
      </c>
      <c r="Q5" s="456">
        <f t="shared" ref="Q5:Q14" ca="1" si="0">SUM(B5:P5)</f>
        <v>31036.096855149503</v>
      </c>
    </row>
    <row r="6" spans="1:17">
      <c r="A6" s="456" t="s">
        <v>193</v>
      </c>
      <c r="B6" s="457">
        <f>'openbare verlichting'!B8</f>
        <v>859.39099999999996</v>
      </c>
      <c r="C6" s="457"/>
      <c r="D6" s="457"/>
      <c r="E6" s="457"/>
      <c r="F6" s="457"/>
      <c r="G6" s="457"/>
      <c r="H6" s="457"/>
      <c r="I6" s="457"/>
      <c r="J6" s="457"/>
      <c r="K6" s="457"/>
      <c r="L6" s="457"/>
      <c r="M6" s="457"/>
      <c r="N6" s="457"/>
      <c r="O6" s="457"/>
      <c r="P6" s="458"/>
      <c r="Q6" s="456">
        <f t="shared" si="0"/>
        <v>859.39099999999996</v>
      </c>
    </row>
    <row r="7" spans="1:17">
      <c r="A7" s="456" t="s">
        <v>111</v>
      </c>
      <c r="B7" s="457">
        <f>landbouw!B8</f>
        <v>3451.226300473867</v>
      </c>
      <c r="C7" s="457">
        <f>landbouw!C8</f>
        <v>0</v>
      </c>
      <c r="D7" s="457">
        <f>landbouw!D8</f>
        <v>2275.0944779232232</v>
      </c>
      <c r="E7" s="457">
        <f>landbouw!E8</f>
        <v>32.512864147938942</v>
      </c>
      <c r="F7" s="457">
        <f>landbouw!F8</f>
        <v>11262.496779865982</v>
      </c>
      <c r="G7" s="457">
        <f>landbouw!G8</f>
        <v>0</v>
      </c>
      <c r="H7" s="457">
        <f>landbouw!H8</f>
        <v>0</v>
      </c>
      <c r="I7" s="457">
        <f>landbouw!I8</f>
        <v>0</v>
      </c>
      <c r="J7" s="457">
        <f>landbouw!J8</f>
        <v>426.93348013011831</v>
      </c>
      <c r="K7" s="457">
        <f>landbouw!K8</f>
        <v>0</v>
      </c>
      <c r="L7" s="457">
        <f>landbouw!L8</f>
        <v>0</v>
      </c>
      <c r="M7" s="457">
        <f>landbouw!M8</f>
        <v>0</v>
      </c>
      <c r="N7" s="457">
        <f>landbouw!N8</f>
        <v>0</v>
      </c>
      <c r="O7" s="457">
        <f>landbouw!O8</f>
        <v>0</v>
      </c>
      <c r="P7" s="458">
        <f>landbouw!P8</f>
        <v>0</v>
      </c>
      <c r="Q7" s="456">
        <f t="shared" si="0"/>
        <v>17448.26390254113</v>
      </c>
    </row>
    <row r="8" spans="1:17">
      <c r="A8" s="456" t="s">
        <v>682</v>
      </c>
      <c r="B8" s="457">
        <f>industrie!B18</f>
        <v>2987.416439965994</v>
      </c>
      <c r="C8" s="457">
        <f>industrie!C18</f>
        <v>0</v>
      </c>
      <c r="D8" s="457">
        <f>industrie!D18</f>
        <v>1770.3996782221673</v>
      </c>
      <c r="E8" s="457">
        <f>industrie!E18</f>
        <v>23.454957322128983</v>
      </c>
      <c r="F8" s="457">
        <f>industrie!F18</f>
        <v>1242.1868126634395</v>
      </c>
      <c r="G8" s="457">
        <f>industrie!G18</f>
        <v>0</v>
      </c>
      <c r="H8" s="457">
        <f>industrie!H18</f>
        <v>0</v>
      </c>
      <c r="I8" s="457">
        <f>industrie!I18</f>
        <v>0</v>
      </c>
      <c r="J8" s="457">
        <f>industrie!J18</f>
        <v>9.1461013792486483</v>
      </c>
      <c r="K8" s="457">
        <f>industrie!K18</f>
        <v>0</v>
      </c>
      <c r="L8" s="457">
        <f>industrie!L18</f>
        <v>0</v>
      </c>
      <c r="M8" s="457">
        <f>industrie!M18</f>
        <v>0</v>
      </c>
      <c r="N8" s="457">
        <f>industrie!N18</f>
        <v>133.79718413308512</v>
      </c>
      <c r="O8" s="457">
        <f>industrie!O18</f>
        <v>0</v>
      </c>
      <c r="P8" s="458">
        <f>industrie!P18</f>
        <v>0</v>
      </c>
      <c r="Q8" s="456">
        <f t="shared" si="0"/>
        <v>6166.4011736860648</v>
      </c>
    </row>
    <row r="9" spans="1:17" s="462" customFormat="1">
      <c r="A9" s="460" t="s">
        <v>578</v>
      </c>
      <c r="B9" s="461">
        <f>transport!B14</f>
        <v>3.3504819748327859</v>
      </c>
      <c r="C9" s="461">
        <f>transport!C14</f>
        <v>0</v>
      </c>
      <c r="D9" s="461">
        <f>transport!D14</f>
        <v>8.0482718221137706</v>
      </c>
      <c r="E9" s="461">
        <f>transport!E14</f>
        <v>507.87894422962637</v>
      </c>
      <c r="F9" s="461">
        <f>transport!F14</f>
        <v>0</v>
      </c>
      <c r="G9" s="461">
        <f>transport!G14</f>
        <v>123328.8933594203</v>
      </c>
      <c r="H9" s="461">
        <f>transport!H14</f>
        <v>20427.051817022464</v>
      </c>
      <c r="I9" s="461">
        <f>transport!I14</f>
        <v>0</v>
      </c>
      <c r="J9" s="461">
        <f>transport!J14</f>
        <v>0</v>
      </c>
      <c r="K9" s="461">
        <f>transport!K14</f>
        <v>0</v>
      </c>
      <c r="L9" s="461">
        <f>transport!L14</f>
        <v>0</v>
      </c>
      <c r="M9" s="461">
        <f>transport!M14</f>
        <v>6423.2698478189786</v>
      </c>
      <c r="N9" s="461">
        <f>transport!N14</f>
        <v>0</v>
      </c>
      <c r="O9" s="461">
        <f>transport!O14</f>
        <v>0</v>
      </c>
      <c r="P9" s="461">
        <f>transport!P14</f>
        <v>0</v>
      </c>
      <c r="Q9" s="460">
        <f>SUM(B9:P9)</f>
        <v>150698.4927222883</v>
      </c>
    </row>
    <row r="10" spans="1:17">
      <c r="A10" s="456" t="s">
        <v>568</v>
      </c>
      <c r="B10" s="457">
        <f>transport!B54</f>
        <v>0</v>
      </c>
      <c r="C10" s="457">
        <f>transport!C54</f>
        <v>0</v>
      </c>
      <c r="D10" s="457">
        <f>transport!D54</f>
        <v>0</v>
      </c>
      <c r="E10" s="457">
        <f>transport!E54</f>
        <v>0</v>
      </c>
      <c r="F10" s="457">
        <f>transport!F54</f>
        <v>0</v>
      </c>
      <c r="G10" s="457">
        <f>transport!G54</f>
        <v>1504.5835429877407</v>
      </c>
      <c r="H10" s="457">
        <f>transport!H54</f>
        <v>0</v>
      </c>
      <c r="I10" s="457">
        <f>transport!I54</f>
        <v>0</v>
      </c>
      <c r="J10" s="457">
        <f>transport!J54</f>
        <v>0</v>
      </c>
      <c r="K10" s="457">
        <f>transport!K54</f>
        <v>0</v>
      </c>
      <c r="L10" s="457">
        <f>transport!L54</f>
        <v>0</v>
      </c>
      <c r="M10" s="457">
        <f>transport!M54</f>
        <v>66.015360274725253</v>
      </c>
      <c r="N10" s="457">
        <f>transport!N54</f>
        <v>0</v>
      </c>
      <c r="O10" s="457">
        <f>transport!O54</f>
        <v>0</v>
      </c>
      <c r="P10" s="458">
        <f>transport!P54</f>
        <v>0</v>
      </c>
      <c r="Q10" s="456">
        <f t="shared" si="0"/>
        <v>1570.5989032624659</v>
      </c>
    </row>
    <row r="11" spans="1:17">
      <c r="A11" s="456" t="s">
        <v>569</v>
      </c>
      <c r="B11" s="457">
        <f>'Eigen gebouwen'!B15</f>
        <v>0</v>
      </c>
      <c r="C11" s="457">
        <f>'Eigen gebouwen'!C15</f>
        <v>0</v>
      </c>
      <c r="D11" s="457">
        <f>'Eigen gebouwen'!D15</f>
        <v>0</v>
      </c>
      <c r="E11" s="457">
        <f>'Eigen gebouwen'!E15</f>
        <v>0</v>
      </c>
      <c r="F11" s="457">
        <f>'Eigen gebouwen'!F15</f>
        <v>0</v>
      </c>
      <c r="G11" s="457">
        <f>'Eigen gebouwen'!G15</f>
        <v>0</v>
      </c>
      <c r="H11" s="457">
        <f>'Eigen gebouwen'!H15</f>
        <v>0</v>
      </c>
      <c r="I11" s="457">
        <f>'Eigen gebouwen'!I15</f>
        <v>0</v>
      </c>
      <c r="J11" s="457">
        <f>'Eigen gebouwen'!J15</f>
        <v>0</v>
      </c>
      <c r="K11" s="457">
        <f>'Eigen gebouwen'!K15</f>
        <v>0</v>
      </c>
      <c r="L11" s="457">
        <f>'Eigen gebouwen'!L15</f>
        <v>0</v>
      </c>
      <c r="M11" s="457">
        <f>'Eigen gebouwen'!M15</f>
        <v>0</v>
      </c>
      <c r="N11" s="457">
        <f>'Eigen gebouwen'!N15</f>
        <v>0</v>
      </c>
      <c r="O11" s="457">
        <f>'Eigen gebouwen'!O15</f>
        <v>0</v>
      </c>
      <c r="P11" s="458">
        <f>'Eigen gebouwen'!P15</f>
        <v>0</v>
      </c>
      <c r="Q11" s="456">
        <f t="shared" si="0"/>
        <v>0</v>
      </c>
    </row>
    <row r="12" spans="1:17">
      <c r="A12" s="456" t="s">
        <v>570</v>
      </c>
      <c r="B12" s="457">
        <f>'Eigen openbare verlichting'!B15</f>
        <v>0</v>
      </c>
      <c r="C12" s="457"/>
      <c r="D12" s="457"/>
      <c r="E12" s="457"/>
      <c r="F12" s="457"/>
      <c r="G12" s="457"/>
      <c r="H12" s="457"/>
      <c r="I12" s="457"/>
      <c r="J12" s="457"/>
      <c r="K12" s="457"/>
      <c r="L12" s="457"/>
      <c r="M12" s="457"/>
      <c r="N12" s="457"/>
      <c r="O12" s="457"/>
      <c r="P12" s="458"/>
      <c r="Q12" s="456">
        <f t="shared" si="0"/>
        <v>0</v>
      </c>
    </row>
    <row r="13" spans="1:17">
      <c r="A13" s="456" t="s">
        <v>571</v>
      </c>
      <c r="B13" s="457">
        <f>'Eigen vloot'!B27</f>
        <v>0</v>
      </c>
      <c r="C13" s="457">
        <f>'Eigen vloot'!C27</f>
        <v>0</v>
      </c>
      <c r="D13" s="457">
        <f>'Eigen vloot'!D27</f>
        <v>0</v>
      </c>
      <c r="E13" s="457">
        <f>'Eigen vloot'!E27</f>
        <v>0</v>
      </c>
      <c r="F13" s="457">
        <f>'Eigen vloot'!F27</f>
        <v>0</v>
      </c>
      <c r="G13" s="457">
        <f>'Eigen vloot'!G27</f>
        <v>0</v>
      </c>
      <c r="H13" s="457">
        <f>'Eigen vloot'!H27</f>
        <v>0</v>
      </c>
      <c r="I13" s="457">
        <f>'Eigen vloot'!I27</f>
        <v>0</v>
      </c>
      <c r="J13" s="457">
        <f>'Eigen vloot'!J27</f>
        <v>0</v>
      </c>
      <c r="K13" s="457">
        <f>'Eigen vloot'!K27</f>
        <v>0</v>
      </c>
      <c r="L13" s="457">
        <f>'Eigen vloot'!L27</f>
        <v>0</v>
      </c>
      <c r="M13" s="457">
        <f>'Eigen vloot'!M27</f>
        <v>0</v>
      </c>
      <c r="N13" s="457">
        <f>'Eigen vloot'!N27</f>
        <v>0</v>
      </c>
      <c r="O13" s="457">
        <f>'Eigen vloot'!O27</f>
        <v>0</v>
      </c>
      <c r="P13" s="458">
        <f>'Eigen vloot'!P27</f>
        <v>0</v>
      </c>
      <c r="Q13" s="456">
        <f t="shared" si="0"/>
        <v>0</v>
      </c>
    </row>
    <row r="14" spans="1:17">
      <c r="A14" s="463" t="s">
        <v>899</v>
      </c>
      <c r="B14" s="464">
        <f>'SEAP template'!C25</f>
        <v>726.90026995421897</v>
      </c>
      <c r="C14" s="464"/>
      <c r="D14" s="464">
        <f>'SEAP template'!E25</f>
        <v>1272.56253390539</v>
      </c>
      <c r="E14" s="464"/>
      <c r="F14" s="464"/>
      <c r="G14" s="464"/>
      <c r="H14" s="464"/>
      <c r="I14" s="464"/>
      <c r="J14" s="464"/>
      <c r="K14" s="464"/>
      <c r="L14" s="464"/>
      <c r="M14" s="464"/>
      <c r="N14" s="464"/>
      <c r="O14" s="464"/>
      <c r="P14" s="465"/>
      <c r="Q14" s="456">
        <f t="shared" si="0"/>
        <v>1999.4628038596088</v>
      </c>
    </row>
    <row r="15" spans="1:17" s="469" customFormat="1">
      <c r="A15" s="466" t="s">
        <v>572</v>
      </c>
      <c r="B15" s="467">
        <f ca="1">SUM(B4:B14)</f>
        <v>42790.969543362604</v>
      </c>
      <c r="C15" s="467">
        <f t="shared" ref="C15:Q15" ca="1" si="1">SUM(C4:C14)</f>
        <v>0</v>
      </c>
      <c r="D15" s="467">
        <f t="shared" ca="1" si="1"/>
        <v>62982.332002369418</v>
      </c>
      <c r="E15" s="467">
        <f t="shared" si="1"/>
        <v>7737.4858530212096</v>
      </c>
      <c r="F15" s="467">
        <f t="shared" ca="1" si="1"/>
        <v>28790.095811757765</v>
      </c>
      <c r="G15" s="467">
        <f t="shared" si="1"/>
        <v>124833.47690240803</v>
      </c>
      <c r="H15" s="467">
        <f t="shared" si="1"/>
        <v>20427.051817022464</v>
      </c>
      <c r="I15" s="467">
        <f t="shared" si="1"/>
        <v>0</v>
      </c>
      <c r="J15" s="467">
        <f t="shared" si="1"/>
        <v>2158.6332902457234</v>
      </c>
      <c r="K15" s="467">
        <f t="shared" si="1"/>
        <v>0</v>
      </c>
      <c r="L15" s="467">
        <f t="shared" ca="1" si="1"/>
        <v>0</v>
      </c>
      <c r="M15" s="467">
        <f t="shared" si="1"/>
        <v>6489.2852080937037</v>
      </c>
      <c r="N15" s="467">
        <f t="shared" ca="1" si="1"/>
        <v>15644.151924919597</v>
      </c>
      <c r="O15" s="467">
        <f t="shared" si="1"/>
        <v>51.589999999999996</v>
      </c>
      <c r="P15" s="467">
        <f t="shared" si="1"/>
        <v>209.73333333333335</v>
      </c>
      <c r="Q15" s="467">
        <f t="shared" ca="1" si="1"/>
        <v>312114.80568653386</v>
      </c>
    </row>
    <row r="17" spans="1:17">
      <c r="A17" s="470" t="s">
        <v>573</v>
      </c>
      <c r="B17" s="774">
        <f ca="1">huishoudens!B10</f>
        <v>0.20804957814374317</v>
      </c>
      <c r="C17" s="774">
        <f ca="1">huishoudens!C10</f>
        <v>0</v>
      </c>
      <c r="D17" s="774">
        <f>huishoudens!D10</f>
        <v>0.20200000000000001</v>
      </c>
      <c r="E17" s="774">
        <f>huishoudens!E10</f>
        <v>0.22700000000000001</v>
      </c>
      <c r="F17" s="774">
        <f>huishoudens!F10</f>
        <v>0.26700000000000002</v>
      </c>
      <c r="G17" s="774">
        <f>huishoudens!G10</f>
        <v>0.26700000000000002</v>
      </c>
      <c r="H17" s="774">
        <f>huishoudens!H10</f>
        <v>0.249</v>
      </c>
      <c r="I17" s="774">
        <f>huishoudens!I10</f>
        <v>0.35099999999999998</v>
      </c>
      <c r="J17" s="774">
        <f>huishoudens!J10</f>
        <v>0.35399999999999998</v>
      </c>
      <c r="K17" s="774">
        <f>huishoudens!K10</f>
        <v>0.26400000000000001</v>
      </c>
      <c r="L17" s="774">
        <f>huishoudens!L10</f>
        <v>0</v>
      </c>
      <c r="M17" s="774">
        <f>huishoudens!M10</f>
        <v>0</v>
      </c>
      <c r="N17" s="774">
        <f>huishoudens!N10</f>
        <v>0</v>
      </c>
      <c r="O17" s="774">
        <f>huishoudens!O10</f>
        <v>0</v>
      </c>
      <c r="P17" s="774">
        <f>huishoudens!P10</f>
        <v>0</v>
      </c>
    </row>
    <row r="18" spans="1:17" ht="15.75" customHeight="1"/>
    <row r="19" spans="1:17" ht="15" customHeight="1">
      <c r="A19" s="1162" t="s">
        <v>575</v>
      </c>
      <c r="B19" s="1163" t="s">
        <v>574</v>
      </c>
      <c r="C19" s="1163"/>
      <c r="D19" s="1163"/>
      <c r="E19" s="1163"/>
      <c r="F19" s="1163"/>
      <c r="G19" s="1163"/>
      <c r="H19" s="1163"/>
      <c r="I19" s="1163"/>
      <c r="J19" s="1163"/>
      <c r="K19" s="1163"/>
      <c r="L19" s="1163"/>
      <c r="M19" s="1163"/>
      <c r="N19" s="1163"/>
      <c r="O19" s="1163"/>
      <c r="P19" s="1164"/>
      <c r="Q19" s="1013"/>
    </row>
    <row r="20" spans="1:17" ht="15" customHeight="1">
      <c r="A20" s="1162"/>
      <c r="B20" s="1165" t="s">
        <v>20</v>
      </c>
      <c r="C20" s="1167" t="s">
        <v>195</v>
      </c>
      <c r="D20" s="1169" t="s">
        <v>196</v>
      </c>
      <c r="E20" s="1170"/>
      <c r="F20" s="1170"/>
      <c r="G20" s="1170"/>
      <c r="H20" s="1170"/>
      <c r="I20" s="1170"/>
      <c r="J20" s="1170"/>
      <c r="K20" s="1166"/>
      <c r="L20" s="1169" t="s">
        <v>197</v>
      </c>
      <c r="M20" s="1170"/>
      <c r="N20" s="1170"/>
      <c r="O20" s="1170"/>
      <c r="P20" s="1166"/>
      <c r="Q20" s="1013"/>
    </row>
    <row r="21" spans="1:17" ht="45">
      <c r="A21" s="1162"/>
      <c r="B21" s="1166"/>
      <c r="C21" s="1168"/>
      <c r="D21" s="1013" t="s">
        <v>198</v>
      </c>
      <c r="E21" s="1013" t="s">
        <v>199</v>
      </c>
      <c r="F21" s="1013" t="s">
        <v>200</v>
      </c>
      <c r="G21" s="1013" t="s">
        <v>201</v>
      </c>
      <c r="H21" s="1013" t="s">
        <v>119</v>
      </c>
      <c r="I21" s="1013" t="s">
        <v>202</v>
      </c>
      <c r="J21" s="1013" t="s">
        <v>203</v>
      </c>
      <c r="K21" s="1013" t="s">
        <v>204</v>
      </c>
      <c r="L21" s="1013" t="s">
        <v>205</v>
      </c>
      <c r="M21" s="1013" t="s">
        <v>206</v>
      </c>
      <c r="N21" s="1013" t="s">
        <v>207</v>
      </c>
      <c r="O21" s="1013" t="s">
        <v>208</v>
      </c>
      <c r="P21" s="1013" t="s">
        <v>209</v>
      </c>
      <c r="Q21" s="1013" t="s">
        <v>115</v>
      </c>
    </row>
    <row r="22" spans="1:17">
      <c r="A22" s="456" t="s">
        <v>154</v>
      </c>
      <c r="B22" s="457">
        <f t="shared" ref="B22:B32" ca="1" si="2">B4*$B$17</f>
        <v>4674.8403705602059</v>
      </c>
      <c r="C22" s="457">
        <f t="shared" ref="C22:C32" ca="1" si="3">C4*$C$17</f>
        <v>0</v>
      </c>
      <c r="D22" s="457">
        <f t="shared" ref="D22:D32" si="4">D4*$D$17</f>
        <v>8525.9623006720667</v>
      </c>
      <c r="E22" s="457">
        <f t="shared" ref="E22:E32" si="5">E4*$E$17</f>
        <v>1586.6820053810472</v>
      </c>
      <c r="F22" s="457">
        <f t="shared" ref="F22:F32" si="6">F4*$F$17</f>
        <v>3706.8628009880258</v>
      </c>
      <c r="G22" s="457">
        <f t="shared" ref="G22:G32" si="7">G4*$G$17</f>
        <v>0</v>
      </c>
      <c r="H22" s="457">
        <f t="shared" ref="H22:H32" si="8">H4*$H$17</f>
        <v>0</v>
      </c>
      <c r="I22" s="457">
        <f t="shared" ref="I22:I32" si="9">I4*$I$17</f>
        <v>0</v>
      </c>
      <c r="J22" s="457">
        <f t="shared" ref="J22:J32" si="10">J4*$J$17</f>
        <v>609.78401289267015</v>
      </c>
      <c r="K22" s="457">
        <f t="shared" ref="K22:K32" si="11">K4*$K$17</f>
        <v>0</v>
      </c>
      <c r="L22" s="457">
        <f t="shared" ref="L22:L32" si="12">L4*$L$17</f>
        <v>0</v>
      </c>
      <c r="M22" s="457">
        <f t="shared" ref="M22:M32" si="13">M4*$M$17</f>
        <v>0</v>
      </c>
      <c r="N22" s="457">
        <f t="shared" ref="N22:N32" si="14">N4*$N$17</f>
        <v>0</v>
      </c>
      <c r="O22" s="457">
        <f t="shared" ref="O22:O32" si="15">O4*$O$17</f>
        <v>0</v>
      </c>
      <c r="P22" s="1014">
        <f t="shared" ref="P22:P32" si="16">P4*$P$17</f>
        <v>0</v>
      </c>
      <c r="Q22" s="459">
        <f ca="1">SUM(B22:P22)</f>
        <v>19104.131490494015</v>
      </c>
    </row>
    <row r="23" spans="1:17">
      <c r="A23" s="456" t="s">
        <v>155</v>
      </c>
      <c r="B23" s="457">
        <f t="shared" ca="1" si="2"/>
        <v>2557.5215894428393</v>
      </c>
      <c r="C23" s="457">
        <f t="shared" ca="1" si="3"/>
        <v>0</v>
      </c>
      <c r="D23" s="457">
        <f t="shared" ca="1" si="4"/>
        <v>3120.595561508233</v>
      </c>
      <c r="E23" s="457">
        <f t="shared" si="5"/>
        <v>41.734067440936627</v>
      </c>
      <c r="F23" s="457">
        <f t="shared" ca="1" si="6"/>
        <v>641.34226154594205</v>
      </c>
      <c r="G23" s="457">
        <f t="shared" si="7"/>
        <v>0</v>
      </c>
      <c r="H23" s="457">
        <f t="shared" si="8"/>
        <v>0</v>
      </c>
      <c r="I23" s="457">
        <f t="shared" si="9"/>
        <v>0</v>
      </c>
      <c r="J23" s="457">
        <f t="shared" si="10"/>
        <v>0</v>
      </c>
      <c r="K23" s="457">
        <f t="shared" si="11"/>
        <v>0</v>
      </c>
      <c r="L23" s="457">
        <f t="shared" ca="1" si="12"/>
        <v>0</v>
      </c>
      <c r="M23" s="457">
        <f t="shared" si="13"/>
        <v>0</v>
      </c>
      <c r="N23" s="457">
        <f t="shared" ca="1" si="14"/>
        <v>0</v>
      </c>
      <c r="O23" s="457">
        <f t="shared" si="15"/>
        <v>0</v>
      </c>
      <c r="P23" s="458">
        <f t="shared" si="16"/>
        <v>0</v>
      </c>
      <c r="Q23" s="456">
        <f t="shared" ref="Q23:Q32" ca="1" si="17">SUM(B23:P23)</f>
        <v>6361.1934799379515</v>
      </c>
    </row>
    <row r="24" spans="1:17">
      <c r="A24" s="456" t="s">
        <v>193</v>
      </c>
      <c r="B24" s="457">
        <f t="shared" ca="1" si="2"/>
        <v>178.79593501052958</v>
      </c>
      <c r="C24" s="457">
        <f t="shared" ca="1" si="3"/>
        <v>0</v>
      </c>
      <c r="D24" s="457">
        <f t="shared" si="4"/>
        <v>0</v>
      </c>
      <c r="E24" s="457">
        <f t="shared" si="5"/>
        <v>0</v>
      </c>
      <c r="F24" s="457">
        <f t="shared" si="6"/>
        <v>0</v>
      </c>
      <c r="G24" s="457">
        <f t="shared" si="7"/>
        <v>0</v>
      </c>
      <c r="H24" s="457">
        <f t="shared" si="8"/>
        <v>0</v>
      </c>
      <c r="I24" s="457">
        <f t="shared" si="9"/>
        <v>0</v>
      </c>
      <c r="J24" s="457">
        <f t="shared" si="10"/>
        <v>0</v>
      </c>
      <c r="K24" s="457">
        <f t="shared" si="11"/>
        <v>0</v>
      </c>
      <c r="L24" s="457">
        <f t="shared" si="12"/>
        <v>0</v>
      </c>
      <c r="M24" s="457">
        <f t="shared" si="13"/>
        <v>0</v>
      </c>
      <c r="N24" s="457">
        <f t="shared" si="14"/>
        <v>0</v>
      </c>
      <c r="O24" s="457">
        <f t="shared" si="15"/>
        <v>0</v>
      </c>
      <c r="P24" s="458">
        <f t="shared" si="16"/>
        <v>0</v>
      </c>
      <c r="Q24" s="456">
        <f t="shared" ca="1" si="17"/>
        <v>178.79593501052958</v>
      </c>
    </row>
    <row r="25" spans="1:17">
      <c r="A25" s="456" t="s">
        <v>111</v>
      </c>
      <c r="B25" s="457">
        <f t="shared" ca="1" si="2"/>
        <v>718.02617589217948</v>
      </c>
      <c r="C25" s="457">
        <f t="shared" ca="1" si="3"/>
        <v>0</v>
      </c>
      <c r="D25" s="457">
        <f t="shared" si="4"/>
        <v>459.56908454049113</v>
      </c>
      <c r="E25" s="457">
        <f t="shared" si="5"/>
        <v>7.3804201615821396</v>
      </c>
      <c r="F25" s="457">
        <f t="shared" si="6"/>
        <v>3007.0866402242173</v>
      </c>
      <c r="G25" s="457">
        <f t="shared" si="7"/>
        <v>0</v>
      </c>
      <c r="H25" s="457">
        <f t="shared" si="8"/>
        <v>0</v>
      </c>
      <c r="I25" s="457">
        <f t="shared" si="9"/>
        <v>0</v>
      </c>
      <c r="J25" s="457">
        <f t="shared" si="10"/>
        <v>151.13445196606187</v>
      </c>
      <c r="K25" s="457">
        <f t="shared" si="11"/>
        <v>0</v>
      </c>
      <c r="L25" s="457">
        <f t="shared" si="12"/>
        <v>0</v>
      </c>
      <c r="M25" s="457">
        <f t="shared" si="13"/>
        <v>0</v>
      </c>
      <c r="N25" s="457">
        <f t="shared" si="14"/>
        <v>0</v>
      </c>
      <c r="O25" s="457">
        <f t="shared" si="15"/>
        <v>0</v>
      </c>
      <c r="P25" s="458">
        <f t="shared" si="16"/>
        <v>0</v>
      </c>
      <c r="Q25" s="456">
        <f t="shared" ca="1" si="17"/>
        <v>4343.1967727845313</v>
      </c>
    </row>
    <row r="26" spans="1:17">
      <c r="A26" s="456" t="s">
        <v>682</v>
      </c>
      <c r="B26" s="457">
        <f t="shared" ca="1" si="2"/>
        <v>621.53073007460807</v>
      </c>
      <c r="C26" s="457">
        <f t="shared" ca="1" si="3"/>
        <v>0</v>
      </c>
      <c r="D26" s="457">
        <f t="shared" si="4"/>
        <v>357.6207350008778</v>
      </c>
      <c r="E26" s="457">
        <f t="shared" si="5"/>
        <v>5.3242753121232793</v>
      </c>
      <c r="F26" s="457">
        <f t="shared" si="6"/>
        <v>331.66387898113834</v>
      </c>
      <c r="G26" s="457">
        <f t="shared" si="7"/>
        <v>0</v>
      </c>
      <c r="H26" s="457">
        <f t="shared" si="8"/>
        <v>0</v>
      </c>
      <c r="I26" s="457">
        <f t="shared" si="9"/>
        <v>0</v>
      </c>
      <c r="J26" s="457">
        <f t="shared" si="10"/>
        <v>3.2377198882540212</v>
      </c>
      <c r="K26" s="457">
        <f t="shared" si="11"/>
        <v>0</v>
      </c>
      <c r="L26" s="457">
        <f t="shared" si="12"/>
        <v>0</v>
      </c>
      <c r="M26" s="457">
        <f t="shared" si="13"/>
        <v>0</v>
      </c>
      <c r="N26" s="457">
        <f t="shared" si="14"/>
        <v>0</v>
      </c>
      <c r="O26" s="457">
        <f t="shared" si="15"/>
        <v>0</v>
      </c>
      <c r="P26" s="458">
        <f t="shared" si="16"/>
        <v>0</v>
      </c>
      <c r="Q26" s="456">
        <f t="shared" ca="1" si="17"/>
        <v>1319.3773392570017</v>
      </c>
    </row>
    <row r="27" spans="1:17" s="462" customFormat="1">
      <c r="A27" s="460" t="s">
        <v>578</v>
      </c>
      <c r="B27" s="768">
        <f t="shared" ca="1" si="2"/>
        <v>0.6970663614421766</v>
      </c>
      <c r="C27" s="461">
        <f t="shared" ca="1" si="3"/>
        <v>0</v>
      </c>
      <c r="D27" s="461">
        <f t="shared" si="4"/>
        <v>1.6257509080669819</v>
      </c>
      <c r="E27" s="461">
        <f t="shared" si="5"/>
        <v>115.28852034012519</v>
      </c>
      <c r="F27" s="461">
        <f t="shared" si="6"/>
        <v>0</v>
      </c>
      <c r="G27" s="461">
        <f t="shared" si="7"/>
        <v>32928.814526965223</v>
      </c>
      <c r="H27" s="461">
        <f t="shared" si="8"/>
        <v>5086.3359024385936</v>
      </c>
      <c r="I27" s="461">
        <f t="shared" si="9"/>
        <v>0</v>
      </c>
      <c r="J27" s="461">
        <f t="shared" si="10"/>
        <v>0</v>
      </c>
      <c r="K27" s="461">
        <f t="shared" si="11"/>
        <v>0</v>
      </c>
      <c r="L27" s="461">
        <f t="shared" si="12"/>
        <v>0</v>
      </c>
      <c r="M27" s="461">
        <f t="shared" si="13"/>
        <v>0</v>
      </c>
      <c r="N27" s="461">
        <f t="shared" si="14"/>
        <v>0</v>
      </c>
      <c r="O27" s="461">
        <f t="shared" si="15"/>
        <v>0</v>
      </c>
      <c r="P27" s="471">
        <f t="shared" si="16"/>
        <v>0</v>
      </c>
      <c r="Q27" s="460">
        <f t="shared" ca="1" si="17"/>
        <v>38132.76176701345</v>
      </c>
    </row>
    <row r="28" spans="1:17">
      <c r="A28" s="456" t="s">
        <v>568</v>
      </c>
      <c r="B28" s="457">
        <f t="shared" ca="1" si="2"/>
        <v>0</v>
      </c>
      <c r="C28" s="457">
        <f t="shared" ca="1" si="3"/>
        <v>0</v>
      </c>
      <c r="D28" s="457">
        <f t="shared" si="4"/>
        <v>0</v>
      </c>
      <c r="E28" s="457">
        <f t="shared" si="5"/>
        <v>0</v>
      </c>
      <c r="F28" s="457">
        <f t="shared" si="6"/>
        <v>0</v>
      </c>
      <c r="G28" s="457">
        <f t="shared" si="7"/>
        <v>401.72380597772678</v>
      </c>
      <c r="H28" s="457">
        <f t="shared" si="8"/>
        <v>0</v>
      </c>
      <c r="I28" s="457">
        <f t="shared" si="9"/>
        <v>0</v>
      </c>
      <c r="J28" s="457">
        <f t="shared" si="10"/>
        <v>0</v>
      </c>
      <c r="K28" s="457">
        <f t="shared" si="11"/>
        <v>0</v>
      </c>
      <c r="L28" s="457">
        <f t="shared" si="12"/>
        <v>0</v>
      </c>
      <c r="M28" s="457">
        <f t="shared" si="13"/>
        <v>0</v>
      </c>
      <c r="N28" s="457">
        <f t="shared" si="14"/>
        <v>0</v>
      </c>
      <c r="O28" s="457">
        <f t="shared" si="15"/>
        <v>0</v>
      </c>
      <c r="P28" s="458">
        <f t="shared" si="16"/>
        <v>0</v>
      </c>
      <c r="Q28" s="456">
        <f t="shared" ca="1" si="17"/>
        <v>401.72380597772678</v>
      </c>
    </row>
    <row r="29" spans="1:17">
      <c r="A29" s="456" t="s">
        <v>569</v>
      </c>
      <c r="B29" s="457">
        <f t="shared" ca="1" si="2"/>
        <v>0</v>
      </c>
      <c r="C29" s="457">
        <f t="shared" ca="1" si="3"/>
        <v>0</v>
      </c>
      <c r="D29" s="457">
        <f t="shared" si="4"/>
        <v>0</v>
      </c>
      <c r="E29" s="457">
        <f t="shared" si="5"/>
        <v>0</v>
      </c>
      <c r="F29" s="457">
        <f t="shared" si="6"/>
        <v>0</v>
      </c>
      <c r="G29" s="457">
        <f t="shared" si="7"/>
        <v>0</v>
      </c>
      <c r="H29" s="457">
        <f t="shared" si="8"/>
        <v>0</v>
      </c>
      <c r="I29" s="457">
        <f t="shared" si="9"/>
        <v>0</v>
      </c>
      <c r="J29" s="457">
        <f t="shared" si="10"/>
        <v>0</v>
      </c>
      <c r="K29" s="457">
        <f t="shared" si="11"/>
        <v>0</v>
      </c>
      <c r="L29" s="457">
        <f t="shared" si="12"/>
        <v>0</v>
      </c>
      <c r="M29" s="457">
        <f t="shared" si="13"/>
        <v>0</v>
      </c>
      <c r="N29" s="457">
        <f t="shared" si="14"/>
        <v>0</v>
      </c>
      <c r="O29" s="457">
        <f t="shared" si="15"/>
        <v>0</v>
      </c>
      <c r="P29" s="458">
        <f t="shared" si="16"/>
        <v>0</v>
      </c>
      <c r="Q29" s="456">
        <f t="shared" ca="1" si="17"/>
        <v>0</v>
      </c>
    </row>
    <row r="30" spans="1:17">
      <c r="A30" s="456" t="s">
        <v>570</v>
      </c>
      <c r="B30" s="457">
        <f t="shared" ca="1" si="2"/>
        <v>0</v>
      </c>
      <c r="C30" s="457">
        <f t="shared" ca="1" si="3"/>
        <v>0</v>
      </c>
      <c r="D30" s="457">
        <f t="shared" si="4"/>
        <v>0</v>
      </c>
      <c r="E30" s="457">
        <f t="shared" si="5"/>
        <v>0</v>
      </c>
      <c r="F30" s="457">
        <f t="shared" si="6"/>
        <v>0</v>
      </c>
      <c r="G30" s="457">
        <f t="shared" si="7"/>
        <v>0</v>
      </c>
      <c r="H30" s="457">
        <f t="shared" si="8"/>
        <v>0</v>
      </c>
      <c r="I30" s="457">
        <f t="shared" si="9"/>
        <v>0</v>
      </c>
      <c r="J30" s="457">
        <f t="shared" si="10"/>
        <v>0</v>
      </c>
      <c r="K30" s="457">
        <f t="shared" si="11"/>
        <v>0</v>
      </c>
      <c r="L30" s="457">
        <f t="shared" si="12"/>
        <v>0</v>
      </c>
      <c r="M30" s="457">
        <f t="shared" si="13"/>
        <v>0</v>
      </c>
      <c r="N30" s="457">
        <f t="shared" si="14"/>
        <v>0</v>
      </c>
      <c r="O30" s="457">
        <f t="shared" si="15"/>
        <v>0</v>
      </c>
      <c r="P30" s="458">
        <f t="shared" si="16"/>
        <v>0</v>
      </c>
      <c r="Q30" s="456">
        <f t="shared" ca="1" si="17"/>
        <v>0</v>
      </c>
    </row>
    <row r="31" spans="1:17">
      <c r="A31" s="456" t="s">
        <v>571</v>
      </c>
      <c r="B31" s="457">
        <f t="shared" ca="1" si="2"/>
        <v>0</v>
      </c>
      <c r="C31" s="457">
        <f t="shared" ca="1" si="3"/>
        <v>0</v>
      </c>
      <c r="D31" s="457">
        <f t="shared" si="4"/>
        <v>0</v>
      </c>
      <c r="E31" s="457">
        <f t="shared" si="5"/>
        <v>0</v>
      </c>
      <c r="F31" s="457">
        <f t="shared" si="6"/>
        <v>0</v>
      </c>
      <c r="G31" s="457">
        <f t="shared" si="7"/>
        <v>0</v>
      </c>
      <c r="H31" s="457">
        <f t="shared" si="8"/>
        <v>0</v>
      </c>
      <c r="I31" s="457">
        <f t="shared" si="9"/>
        <v>0</v>
      </c>
      <c r="J31" s="457">
        <f t="shared" si="10"/>
        <v>0</v>
      </c>
      <c r="K31" s="457">
        <f t="shared" si="11"/>
        <v>0</v>
      </c>
      <c r="L31" s="457">
        <f t="shared" si="12"/>
        <v>0</v>
      </c>
      <c r="M31" s="457">
        <f t="shared" si="13"/>
        <v>0</v>
      </c>
      <c r="N31" s="457">
        <f t="shared" si="14"/>
        <v>0</v>
      </c>
      <c r="O31" s="457">
        <f t="shared" si="15"/>
        <v>0</v>
      </c>
      <c r="P31" s="458">
        <f t="shared" si="16"/>
        <v>0</v>
      </c>
      <c r="Q31" s="456">
        <f t="shared" ca="1" si="17"/>
        <v>0</v>
      </c>
    </row>
    <row r="32" spans="1:17">
      <c r="A32" s="456" t="s">
        <v>899</v>
      </c>
      <c r="B32" s="457">
        <f t="shared" ca="1" si="2"/>
        <v>151.23129451654827</v>
      </c>
      <c r="C32" s="457">
        <f t="shared" ca="1" si="3"/>
        <v>0</v>
      </c>
      <c r="D32" s="457">
        <f t="shared" si="4"/>
        <v>257.05763184888878</v>
      </c>
      <c r="E32" s="457">
        <f t="shared" si="5"/>
        <v>0</v>
      </c>
      <c r="F32" s="457">
        <f t="shared" si="6"/>
        <v>0</v>
      </c>
      <c r="G32" s="457">
        <f t="shared" si="7"/>
        <v>0</v>
      </c>
      <c r="H32" s="457">
        <f t="shared" si="8"/>
        <v>0</v>
      </c>
      <c r="I32" s="457">
        <f t="shared" si="9"/>
        <v>0</v>
      </c>
      <c r="J32" s="457">
        <f t="shared" si="10"/>
        <v>0</v>
      </c>
      <c r="K32" s="457">
        <f t="shared" si="11"/>
        <v>0</v>
      </c>
      <c r="L32" s="457">
        <f t="shared" si="12"/>
        <v>0</v>
      </c>
      <c r="M32" s="457">
        <f t="shared" si="13"/>
        <v>0</v>
      </c>
      <c r="N32" s="457">
        <f t="shared" si="14"/>
        <v>0</v>
      </c>
      <c r="O32" s="457">
        <f t="shared" si="15"/>
        <v>0</v>
      </c>
      <c r="P32" s="458">
        <f t="shared" si="16"/>
        <v>0</v>
      </c>
      <c r="Q32" s="456">
        <f t="shared" ca="1" si="17"/>
        <v>408.28892636543708</v>
      </c>
    </row>
    <row r="33" spans="1:17" s="469" customFormat="1">
      <c r="A33" s="466" t="s">
        <v>572</v>
      </c>
      <c r="B33" s="467">
        <f ca="1">SUM(B22:B32)</f>
        <v>8902.6431618583538</v>
      </c>
      <c r="C33" s="467">
        <f t="shared" ref="C33:Q33" ca="1" si="18">SUM(C22:C32)</f>
        <v>0</v>
      </c>
      <c r="D33" s="467">
        <f t="shared" ca="1" si="18"/>
        <v>12722.431064478626</v>
      </c>
      <c r="E33" s="467">
        <f t="shared" si="18"/>
        <v>1756.4092886358144</v>
      </c>
      <c r="F33" s="467">
        <f t="shared" ca="1" si="18"/>
        <v>7686.9555817393239</v>
      </c>
      <c r="G33" s="467">
        <f t="shared" si="18"/>
        <v>33330.538332942953</v>
      </c>
      <c r="H33" s="467">
        <f t="shared" si="18"/>
        <v>5086.3359024385936</v>
      </c>
      <c r="I33" s="467">
        <f t="shared" si="18"/>
        <v>0</v>
      </c>
      <c r="J33" s="467">
        <f t="shared" si="18"/>
        <v>764.15618474698601</v>
      </c>
      <c r="K33" s="467">
        <f t="shared" si="18"/>
        <v>0</v>
      </c>
      <c r="L33" s="467">
        <f t="shared" ca="1" si="18"/>
        <v>0</v>
      </c>
      <c r="M33" s="467">
        <f t="shared" si="18"/>
        <v>0</v>
      </c>
      <c r="N33" s="467">
        <f t="shared" ca="1" si="18"/>
        <v>0</v>
      </c>
      <c r="O33" s="467">
        <f t="shared" si="18"/>
        <v>0</v>
      </c>
      <c r="P33" s="467">
        <f t="shared" si="18"/>
        <v>0</v>
      </c>
      <c r="Q33" s="467">
        <f t="shared" ca="1" si="18"/>
        <v>70249.469516840647</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theme="6"/>
  </sheetPr>
  <dimension ref="A1:Q20"/>
  <sheetViews>
    <sheetView zoomScale="40" zoomScaleNormal="40" workbookViewId="0">
      <selection activeCell="H16" sqref="H16"/>
    </sheetView>
  </sheetViews>
  <sheetFormatPr defaultColWidth="9.140625" defaultRowHeight="15"/>
  <cols>
    <col min="1" max="1" width="51.42578125" style="455" customWidth="1"/>
    <col min="2" max="8" width="26.28515625" style="455" customWidth="1"/>
    <col min="9" max="9" width="32" style="455" customWidth="1"/>
    <col min="10" max="11" width="26.28515625" style="455" customWidth="1"/>
    <col min="12" max="12" width="23.7109375" style="455" customWidth="1"/>
    <col min="13" max="15" width="26.28515625" style="455" customWidth="1"/>
    <col min="16" max="16" width="42" style="455" customWidth="1"/>
    <col min="17" max="17" width="26.28515625" style="455" customWidth="1"/>
    <col min="18" max="18" width="9.5703125" style="455" bestFit="1" customWidth="1"/>
    <col min="19" max="16384" width="9.140625" style="455"/>
  </cols>
  <sheetData>
    <row r="1" spans="1:17" s="922" customFormat="1" ht="21">
      <c r="A1" s="1171" t="s">
        <v>567</v>
      </c>
      <c r="B1" s="1172" t="s">
        <v>856</v>
      </c>
      <c r="C1" s="1172"/>
      <c r="D1" s="1172"/>
      <c r="E1" s="1172"/>
      <c r="F1" s="1172"/>
      <c r="G1" s="1172"/>
      <c r="H1" s="1172"/>
      <c r="I1" s="1172"/>
      <c r="J1" s="1172"/>
      <c r="K1" s="1172"/>
      <c r="L1" s="1172"/>
      <c r="M1" s="1172"/>
      <c r="N1" s="1172"/>
      <c r="O1" s="1172"/>
      <c r="P1" s="1173"/>
      <c r="Q1" s="921"/>
    </row>
    <row r="2" spans="1:17" s="922" customFormat="1" ht="21">
      <c r="A2" s="1171"/>
      <c r="B2" s="1174" t="s">
        <v>20</v>
      </c>
      <c r="C2" s="1176" t="s">
        <v>195</v>
      </c>
      <c r="D2" s="1178" t="s">
        <v>196</v>
      </c>
      <c r="E2" s="1179"/>
      <c r="F2" s="1179"/>
      <c r="G2" s="1179"/>
      <c r="H2" s="1179"/>
      <c r="I2" s="1179"/>
      <c r="J2" s="1179"/>
      <c r="K2" s="1175"/>
      <c r="L2" s="1178" t="s">
        <v>197</v>
      </c>
      <c r="M2" s="1179"/>
      <c r="N2" s="1179"/>
      <c r="O2" s="1179"/>
      <c r="P2" s="1175"/>
      <c r="Q2" s="921"/>
    </row>
    <row r="3" spans="1:17" s="922" customFormat="1" ht="42">
      <c r="A3" s="1171"/>
      <c r="B3" s="1175"/>
      <c r="C3" s="1177"/>
      <c r="D3" s="923" t="s">
        <v>198</v>
      </c>
      <c r="E3" s="923" t="s">
        <v>199</v>
      </c>
      <c r="F3" s="923" t="s">
        <v>200</v>
      </c>
      <c r="G3" s="923" t="s">
        <v>201</v>
      </c>
      <c r="H3" s="923" t="s">
        <v>119</v>
      </c>
      <c r="I3" s="923" t="s">
        <v>202</v>
      </c>
      <c r="J3" s="923" t="s">
        <v>203</v>
      </c>
      <c r="K3" s="923" t="s">
        <v>204</v>
      </c>
      <c r="L3" s="923" t="s">
        <v>205</v>
      </c>
      <c r="M3" s="923" t="s">
        <v>206</v>
      </c>
      <c r="N3" s="923" t="s">
        <v>207</v>
      </c>
      <c r="O3" s="923" t="s">
        <v>208</v>
      </c>
      <c r="P3" s="923" t="s">
        <v>209</v>
      </c>
      <c r="Q3" s="921" t="s">
        <v>115</v>
      </c>
    </row>
    <row r="4" spans="1:17" ht="124.35" customHeight="1">
      <c r="A4" s="924" t="s">
        <v>154</v>
      </c>
      <c r="B4" s="925" t="s">
        <v>857</v>
      </c>
      <c r="C4" s="926" t="s">
        <v>858</v>
      </c>
      <c r="D4" s="927" t="s">
        <v>859</v>
      </c>
      <c r="E4" s="928" t="s">
        <v>860</v>
      </c>
      <c r="F4" s="928" t="s">
        <v>861</v>
      </c>
      <c r="G4" s="929" t="s">
        <v>864</v>
      </c>
      <c r="H4" s="929" t="s">
        <v>864</v>
      </c>
      <c r="I4" s="929" t="s">
        <v>864</v>
      </c>
      <c r="J4" s="928" t="s">
        <v>863</v>
      </c>
      <c r="K4" s="929" t="s">
        <v>864</v>
      </c>
      <c r="L4" s="929" t="s">
        <v>864</v>
      </c>
      <c r="M4" s="929" t="s">
        <v>864</v>
      </c>
      <c r="N4" s="928" t="s">
        <v>865</v>
      </c>
      <c r="O4" s="930" t="s">
        <v>866</v>
      </c>
      <c r="P4" s="931" t="s">
        <v>867</v>
      </c>
      <c r="Q4" s="932"/>
    </row>
    <row r="5" spans="1:17" ht="124.35" customHeight="1">
      <c r="A5" s="933" t="s">
        <v>155</v>
      </c>
      <c r="B5" s="934" t="s">
        <v>868</v>
      </c>
      <c r="C5" s="935" t="s">
        <v>869</v>
      </c>
      <c r="D5" s="935" t="s">
        <v>870</v>
      </c>
      <c r="E5" s="936" t="s">
        <v>871</v>
      </c>
      <c r="F5" s="936" t="s">
        <v>872</v>
      </c>
      <c r="G5" s="937" t="s">
        <v>864</v>
      </c>
      <c r="H5" s="937" t="s">
        <v>864</v>
      </c>
      <c r="I5" s="937" t="s">
        <v>864</v>
      </c>
      <c r="J5" s="936" t="s">
        <v>873</v>
      </c>
      <c r="K5" s="934" t="s">
        <v>874</v>
      </c>
      <c r="L5" s="937" t="s">
        <v>864</v>
      </c>
      <c r="M5" s="937" t="s">
        <v>864</v>
      </c>
      <c r="N5" s="936" t="s">
        <v>875</v>
      </c>
      <c r="O5" s="938" t="s">
        <v>866</v>
      </c>
      <c r="P5" s="939" t="s">
        <v>867</v>
      </c>
      <c r="Q5" s="940"/>
    </row>
    <row r="6" spans="1:17" ht="124.35" customHeight="1">
      <c r="A6" s="933" t="s">
        <v>193</v>
      </c>
      <c r="B6" s="941" t="s">
        <v>876</v>
      </c>
      <c r="C6" s="942" t="s">
        <v>862</v>
      </c>
      <c r="D6" s="937" t="s">
        <v>862</v>
      </c>
      <c r="E6" s="937" t="s">
        <v>862</v>
      </c>
      <c r="F6" s="937" t="s">
        <v>862</v>
      </c>
      <c r="G6" s="937" t="s">
        <v>862</v>
      </c>
      <c r="H6" s="937" t="s">
        <v>862</v>
      </c>
      <c r="I6" s="937" t="s">
        <v>862</v>
      </c>
      <c r="J6" s="937" t="s">
        <v>862</v>
      </c>
      <c r="K6" s="937" t="s">
        <v>862</v>
      </c>
      <c r="L6" s="937" t="s">
        <v>862</v>
      </c>
      <c r="M6" s="937" t="s">
        <v>862</v>
      </c>
      <c r="N6" s="937" t="s">
        <v>862</v>
      </c>
      <c r="O6" s="943" t="s">
        <v>862</v>
      </c>
      <c r="P6" s="944" t="s">
        <v>862</v>
      </c>
      <c r="Q6" s="945"/>
    </row>
    <row r="7" spans="1:17" ht="124.35" customHeight="1">
      <c r="A7" s="933" t="s">
        <v>111</v>
      </c>
      <c r="B7" s="941" t="s">
        <v>876</v>
      </c>
      <c r="C7" s="935" t="s">
        <v>869</v>
      </c>
      <c r="D7" s="935" t="s">
        <v>870</v>
      </c>
      <c r="E7" s="936" t="s">
        <v>871</v>
      </c>
      <c r="F7" s="936" t="s">
        <v>872</v>
      </c>
      <c r="G7" s="937" t="s">
        <v>864</v>
      </c>
      <c r="H7" s="937" t="s">
        <v>864</v>
      </c>
      <c r="I7" s="937" t="s">
        <v>864</v>
      </c>
      <c r="J7" s="936" t="s">
        <v>873</v>
      </c>
      <c r="K7" s="937" t="s">
        <v>864</v>
      </c>
      <c r="L7" s="937" t="s">
        <v>864</v>
      </c>
      <c r="M7" s="937" t="s">
        <v>864</v>
      </c>
      <c r="N7" s="946" t="s">
        <v>864</v>
      </c>
      <c r="O7" s="942" t="s">
        <v>864</v>
      </c>
      <c r="P7" s="947" t="s">
        <v>864</v>
      </c>
      <c r="Q7" s="940"/>
    </row>
    <row r="8" spans="1:17" ht="124.35" customHeight="1">
      <c r="A8" s="933" t="s">
        <v>682</v>
      </c>
      <c r="B8" s="934" t="s">
        <v>877</v>
      </c>
      <c r="C8" s="935" t="s">
        <v>869</v>
      </c>
      <c r="D8" s="935" t="s">
        <v>870</v>
      </c>
      <c r="E8" s="936" t="s">
        <v>871</v>
      </c>
      <c r="F8" s="936" t="s">
        <v>872</v>
      </c>
      <c r="G8" s="937" t="s">
        <v>864</v>
      </c>
      <c r="H8" s="937" t="s">
        <v>864</v>
      </c>
      <c r="I8" s="937" t="s">
        <v>864</v>
      </c>
      <c r="J8" s="936" t="s">
        <v>873</v>
      </c>
      <c r="K8" s="934" t="s">
        <v>874</v>
      </c>
      <c r="L8" s="937" t="s">
        <v>864</v>
      </c>
      <c r="M8" s="937" t="s">
        <v>864</v>
      </c>
      <c r="N8" s="936" t="s">
        <v>875</v>
      </c>
      <c r="O8" s="938" t="s">
        <v>866</v>
      </c>
      <c r="P8" s="939" t="s">
        <v>867</v>
      </c>
      <c r="Q8" s="940"/>
    </row>
    <row r="9" spans="1:17" s="462" customFormat="1" ht="124.35" customHeight="1">
      <c r="A9" s="948" t="s">
        <v>578</v>
      </c>
      <c r="B9" s="936" t="s">
        <v>878</v>
      </c>
      <c r="C9" s="943" t="s">
        <v>862</v>
      </c>
      <c r="D9" s="936" t="s">
        <v>879</v>
      </c>
      <c r="E9" s="936" t="s">
        <v>880</v>
      </c>
      <c r="F9" s="937" t="s">
        <v>862</v>
      </c>
      <c r="G9" s="936" t="s">
        <v>881</v>
      </c>
      <c r="H9" s="936" t="s">
        <v>882</v>
      </c>
      <c r="I9" s="937" t="s">
        <v>862</v>
      </c>
      <c r="J9" s="937" t="s">
        <v>862</v>
      </c>
      <c r="K9" s="937" t="s">
        <v>862</v>
      </c>
      <c r="L9" s="937" t="s">
        <v>862</v>
      </c>
      <c r="M9" s="936" t="s">
        <v>878</v>
      </c>
      <c r="N9" s="937" t="s">
        <v>862</v>
      </c>
      <c r="O9" s="937" t="s">
        <v>862</v>
      </c>
      <c r="P9" s="949" t="s">
        <v>862</v>
      </c>
      <c r="Q9" s="950"/>
    </row>
    <row r="10" spans="1:17" ht="124.35" customHeight="1">
      <c r="A10" s="933" t="s">
        <v>568</v>
      </c>
      <c r="B10" s="934" t="s">
        <v>890</v>
      </c>
      <c r="C10" s="943" t="s">
        <v>862</v>
      </c>
      <c r="D10" s="943" t="s">
        <v>862</v>
      </c>
      <c r="E10" s="943" t="s">
        <v>862</v>
      </c>
      <c r="F10" s="937" t="s">
        <v>862</v>
      </c>
      <c r="G10" s="934" t="s">
        <v>883</v>
      </c>
      <c r="H10" s="937" t="s">
        <v>862</v>
      </c>
      <c r="I10" s="937" t="s">
        <v>862</v>
      </c>
      <c r="J10" s="937" t="s">
        <v>862</v>
      </c>
      <c r="K10" s="937" t="s">
        <v>862</v>
      </c>
      <c r="L10" s="937" t="s">
        <v>862</v>
      </c>
      <c r="M10" s="934" t="s">
        <v>884</v>
      </c>
      <c r="N10" s="937" t="s">
        <v>862</v>
      </c>
      <c r="O10" s="937" t="s">
        <v>862</v>
      </c>
      <c r="P10" s="949" t="s">
        <v>862</v>
      </c>
      <c r="Q10" s="940"/>
    </row>
    <row r="11" spans="1:17" ht="21">
      <c r="A11" s="933" t="s">
        <v>569</v>
      </c>
      <c r="B11" s="951" t="s">
        <v>885</v>
      </c>
      <c r="C11" s="951" t="s">
        <v>885</v>
      </c>
      <c r="D11" s="951" t="s">
        <v>885</v>
      </c>
      <c r="E11" s="951" t="s">
        <v>885</v>
      </c>
      <c r="F11" s="951" t="s">
        <v>885</v>
      </c>
      <c r="G11" s="951" t="s">
        <v>885</v>
      </c>
      <c r="H11" s="951" t="s">
        <v>885</v>
      </c>
      <c r="I11" s="951" t="s">
        <v>885</v>
      </c>
      <c r="J11" s="951" t="s">
        <v>885</v>
      </c>
      <c r="K11" s="951" t="s">
        <v>885</v>
      </c>
      <c r="L11" s="951" t="s">
        <v>885</v>
      </c>
      <c r="M11" s="951" t="s">
        <v>885</v>
      </c>
      <c r="N11" s="951" t="s">
        <v>885</v>
      </c>
      <c r="O11" s="951" t="s">
        <v>885</v>
      </c>
      <c r="P11" s="1021" t="s">
        <v>885</v>
      </c>
      <c r="Q11" s="1022"/>
    </row>
    <row r="12" spans="1:17" ht="21">
      <c r="A12" s="933" t="s">
        <v>570</v>
      </c>
      <c r="B12" s="951" t="s">
        <v>885</v>
      </c>
      <c r="C12" s="951" t="s">
        <v>862</v>
      </c>
      <c r="D12" s="951" t="s">
        <v>862</v>
      </c>
      <c r="E12" s="951" t="s">
        <v>862</v>
      </c>
      <c r="F12" s="951" t="s">
        <v>862</v>
      </c>
      <c r="G12" s="951" t="s">
        <v>862</v>
      </c>
      <c r="H12" s="951" t="s">
        <v>862</v>
      </c>
      <c r="I12" s="951" t="s">
        <v>862</v>
      </c>
      <c r="J12" s="951" t="s">
        <v>862</v>
      </c>
      <c r="K12" s="951" t="s">
        <v>862</v>
      </c>
      <c r="L12" s="951" t="s">
        <v>862</v>
      </c>
      <c r="M12" s="951" t="s">
        <v>862</v>
      </c>
      <c r="N12" s="951" t="s">
        <v>862</v>
      </c>
      <c r="O12" s="951" t="s">
        <v>862</v>
      </c>
      <c r="P12" s="1021" t="s">
        <v>862</v>
      </c>
      <c r="Q12" s="456"/>
    </row>
    <row r="13" spans="1:17" ht="21">
      <c r="A13" s="933" t="s">
        <v>571</v>
      </c>
      <c r="B13" s="951" t="s">
        <v>885</v>
      </c>
      <c r="C13" s="951" t="s">
        <v>862</v>
      </c>
      <c r="D13" s="951" t="s">
        <v>885</v>
      </c>
      <c r="E13" s="951" t="s">
        <v>885</v>
      </c>
      <c r="F13" s="951" t="s">
        <v>862</v>
      </c>
      <c r="G13" s="951" t="s">
        <v>885</v>
      </c>
      <c r="H13" s="951" t="s">
        <v>885</v>
      </c>
      <c r="I13" s="951" t="s">
        <v>862</v>
      </c>
      <c r="J13" s="951" t="s">
        <v>862</v>
      </c>
      <c r="K13" s="951" t="s">
        <v>862</v>
      </c>
      <c r="L13" s="951" t="s">
        <v>862</v>
      </c>
      <c r="M13" s="951" t="s">
        <v>885</v>
      </c>
      <c r="N13" s="951" t="s">
        <v>862</v>
      </c>
      <c r="O13" s="951" t="s">
        <v>862</v>
      </c>
      <c r="P13" s="1021" t="s">
        <v>862</v>
      </c>
      <c r="Q13" s="456"/>
    </row>
    <row r="14" spans="1:17" ht="30">
      <c r="A14" s="952" t="s">
        <v>899</v>
      </c>
      <c r="B14" s="941" t="s">
        <v>876</v>
      </c>
      <c r="C14" s="951" t="s">
        <v>862</v>
      </c>
      <c r="D14" s="941" t="s">
        <v>876</v>
      </c>
      <c r="E14" s="951" t="s">
        <v>862</v>
      </c>
      <c r="F14" s="951" t="s">
        <v>862</v>
      </c>
      <c r="G14" s="951" t="s">
        <v>862</v>
      </c>
      <c r="H14" s="951" t="s">
        <v>862</v>
      </c>
      <c r="I14" s="951" t="s">
        <v>862</v>
      </c>
      <c r="J14" s="951" t="s">
        <v>862</v>
      </c>
      <c r="K14" s="951" t="s">
        <v>862</v>
      </c>
      <c r="L14" s="951" t="s">
        <v>862</v>
      </c>
      <c r="M14" s="951" t="s">
        <v>862</v>
      </c>
      <c r="N14" s="951" t="s">
        <v>862</v>
      </c>
      <c r="O14" s="951" t="s">
        <v>862</v>
      </c>
      <c r="P14" s="951" t="s">
        <v>862</v>
      </c>
      <c r="Q14" s="1023"/>
    </row>
    <row r="15" spans="1:17" s="469" customFormat="1" ht="21">
      <c r="A15" s="953" t="s">
        <v>572</v>
      </c>
      <c r="B15" s="467"/>
      <c r="C15" s="467"/>
      <c r="D15" s="467"/>
      <c r="E15" s="467"/>
      <c r="F15" s="467"/>
      <c r="G15" s="467"/>
      <c r="H15" s="467"/>
      <c r="I15" s="467"/>
      <c r="J15" s="467"/>
      <c r="K15" s="467"/>
      <c r="L15" s="467"/>
      <c r="M15" s="954"/>
      <c r="N15" s="467"/>
      <c r="O15" s="467"/>
      <c r="P15" s="468"/>
      <c r="Q15" s="955"/>
    </row>
    <row r="16" spans="1:17">
      <c r="M16" s="956"/>
    </row>
    <row r="17" spans="1:4">
      <c r="B17" s="957">
        <v>1</v>
      </c>
      <c r="C17" s="958">
        <v>2</v>
      </c>
      <c r="D17" s="959">
        <v>3</v>
      </c>
    </row>
    <row r="18" spans="1:4" ht="252">
      <c r="A18" s="960" t="s">
        <v>886</v>
      </c>
      <c r="B18" s="961" t="s">
        <v>887</v>
      </c>
      <c r="C18" s="962" t="s">
        <v>888</v>
      </c>
      <c r="D18" s="963" t="s">
        <v>889</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tabColor theme="6"/>
  </sheetPr>
  <dimension ref="A1:P22"/>
  <sheetViews>
    <sheetView workbookViewId="0">
      <selection activeCell="C32" sqref="C32"/>
    </sheetView>
  </sheetViews>
  <sheetFormatPr defaultColWidth="9.140625" defaultRowHeight="15"/>
  <cols>
    <col min="1" max="1" width="51" style="886" bestFit="1" customWidth="1"/>
    <col min="2" max="2" width="27" style="886" customWidth="1"/>
    <col min="3" max="3" width="30.42578125" style="886" customWidth="1"/>
    <col min="4" max="4" width="9.140625" style="886"/>
    <col min="5" max="5" width="15" style="886" customWidth="1"/>
    <col min="6" max="6" width="17" style="886" customWidth="1"/>
    <col min="7" max="7" width="18.140625" style="886" customWidth="1"/>
    <col min="8" max="8" width="16.140625" style="886" customWidth="1"/>
    <col min="9" max="15" width="9.140625" style="886"/>
    <col min="16" max="16" width="26.42578125" style="886" customWidth="1"/>
    <col min="17" max="16384" width="9.140625" style="886"/>
  </cols>
  <sheetData>
    <row r="1" spans="1:16" ht="15.75">
      <c r="A1" s="1180" t="s">
        <v>240</v>
      </c>
      <c r="B1" s="1181" t="s">
        <v>350</v>
      </c>
      <c r="C1" s="1181"/>
      <c r="D1" s="1182" t="s">
        <v>351</v>
      </c>
      <c r="E1" s="1182"/>
      <c r="F1" s="1182"/>
      <c r="G1" s="1182"/>
      <c r="H1" s="1182"/>
      <c r="I1" s="1182"/>
      <c r="J1" s="1182"/>
      <c r="K1" s="1182"/>
      <c r="L1" s="1182"/>
      <c r="M1" s="1182"/>
      <c r="N1" s="1182"/>
      <c r="O1" s="1182"/>
      <c r="P1" s="1181" t="s">
        <v>902</v>
      </c>
    </row>
    <row r="2" spans="1:16" ht="60">
      <c r="A2" s="1180"/>
      <c r="B2" s="1181"/>
      <c r="C2" s="1181"/>
      <c r="D2" s="1182" t="s">
        <v>196</v>
      </c>
      <c r="E2" s="1182"/>
      <c r="F2" s="1182"/>
      <c r="G2" s="1182"/>
      <c r="H2" s="1182"/>
      <c r="I2" s="1024" t="s">
        <v>903</v>
      </c>
      <c r="J2" s="1024" t="s">
        <v>233</v>
      </c>
      <c r="K2" s="1024" t="s">
        <v>904</v>
      </c>
      <c r="L2" s="1024" t="s">
        <v>893</v>
      </c>
      <c r="M2" s="1024" t="s">
        <v>244</v>
      </c>
      <c r="N2" s="1024" t="s">
        <v>905</v>
      </c>
      <c r="O2" s="1024" t="s">
        <v>126</v>
      </c>
      <c r="P2" s="1181"/>
    </row>
    <row r="3" spans="1:16" ht="30">
      <c r="A3" s="1180"/>
      <c r="B3" s="1024" t="s">
        <v>906</v>
      </c>
      <c r="C3" s="1024" t="s">
        <v>907</v>
      </c>
      <c r="D3" s="1024" t="s">
        <v>198</v>
      </c>
      <c r="E3" s="1024" t="s">
        <v>199</v>
      </c>
      <c r="F3" s="1024" t="s">
        <v>200</v>
      </c>
      <c r="G3" s="1024" t="s">
        <v>202</v>
      </c>
      <c r="H3" s="1024" t="s">
        <v>203</v>
      </c>
      <c r="I3" s="1024"/>
      <c r="J3" s="1024"/>
      <c r="K3" s="1024"/>
      <c r="L3" s="1024"/>
      <c r="M3" s="1024"/>
      <c r="N3" s="1024"/>
      <c r="O3" s="1024"/>
      <c r="P3" s="1181"/>
    </row>
    <row r="4" spans="1:16">
      <c r="A4" s="1025" t="s">
        <v>248</v>
      </c>
      <c r="B4" s="1026">
        <f>'SEAP template'!B72</f>
        <v>0</v>
      </c>
      <c r="C4" s="1026"/>
      <c r="D4" s="1026"/>
      <c r="E4" s="1026"/>
      <c r="F4" s="1026"/>
      <c r="G4" s="1026"/>
      <c r="H4" s="1026"/>
      <c r="I4" s="1026"/>
      <c r="J4" s="1026"/>
      <c r="K4" s="1026"/>
      <c r="L4" s="1026"/>
      <c r="M4" s="1026"/>
      <c r="N4" s="1026"/>
      <c r="O4" s="1026"/>
      <c r="P4" s="1027">
        <f>'SEAP template'!Q72</f>
        <v>0</v>
      </c>
    </row>
    <row r="5" spans="1:16">
      <c r="A5" s="1028" t="s">
        <v>249</v>
      </c>
      <c r="B5" s="1026">
        <f>'SEAP template'!B73</f>
        <v>0</v>
      </c>
      <c r="C5" s="1026"/>
      <c r="D5" s="1026"/>
      <c r="E5" s="1026"/>
      <c r="F5" s="1026"/>
      <c r="G5" s="1026"/>
      <c r="H5" s="1026"/>
      <c r="I5" s="1026"/>
      <c r="J5" s="1026"/>
      <c r="K5" s="1026"/>
      <c r="L5" s="1026"/>
      <c r="M5" s="1026"/>
      <c r="N5" s="1026"/>
      <c r="O5" s="1026"/>
      <c r="P5" s="1027">
        <f>'SEAP template'!Q73</f>
        <v>0</v>
      </c>
    </row>
    <row r="6" spans="1:16">
      <c r="A6" s="1028" t="s">
        <v>250</v>
      </c>
      <c r="B6" s="1026">
        <f>'SEAP template'!B74</f>
        <v>2507.5163222840888</v>
      </c>
      <c r="C6" s="1026"/>
      <c r="D6" s="1026"/>
      <c r="E6" s="1026"/>
      <c r="F6" s="1026"/>
      <c r="G6" s="1026"/>
      <c r="H6" s="1026"/>
      <c r="I6" s="1026"/>
      <c r="J6" s="1026"/>
      <c r="K6" s="1026"/>
      <c r="L6" s="1026"/>
      <c r="M6" s="1026"/>
      <c r="N6" s="1026"/>
      <c r="O6" s="1026"/>
      <c r="P6" s="1027">
        <f>'SEAP template'!Q74</f>
        <v>0</v>
      </c>
    </row>
    <row r="7" spans="1:16">
      <c r="A7" s="1028" t="s">
        <v>893</v>
      </c>
      <c r="B7" s="1026">
        <f>'SEAP template'!B75</f>
        <v>0</v>
      </c>
      <c r="C7" s="1026"/>
      <c r="D7" s="1026"/>
      <c r="E7" s="1026"/>
      <c r="F7" s="1026"/>
      <c r="G7" s="1026"/>
      <c r="H7" s="1026"/>
      <c r="I7" s="1026"/>
      <c r="J7" s="1026"/>
      <c r="K7" s="1026"/>
      <c r="L7" s="1026"/>
      <c r="M7" s="1026"/>
      <c r="N7" s="1026"/>
      <c r="O7" s="1026"/>
      <c r="P7" s="1027">
        <f>'SEAP template'!Q75</f>
        <v>0</v>
      </c>
    </row>
    <row r="8" spans="1:16">
      <c r="A8" s="1025" t="s">
        <v>251</v>
      </c>
      <c r="B8" s="1026">
        <f>'SEAP template'!B76</f>
        <v>0</v>
      </c>
      <c r="C8" s="1026">
        <f>'SEAP template'!C76</f>
        <v>0</v>
      </c>
      <c r="D8" s="1026">
        <f>'SEAP template'!D76</f>
        <v>0</v>
      </c>
      <c r="E8" s="1026">
        <f>'SEAP template'!E76</f>
        <v>0</v>
      </c>
      <c r="F8" s="1026">
        <f>'SEAP template'!F76</f>
        <v>0</v>
      </c>
      <c r="G8" s="1026">
        <f>'SEAP template'!G76</f>
        <v>0</v>
      </c>
      <c r="H8" s="1026">
        <f>'SEAP template'!H76</f>
        <v>0</v>
      </c>
      <c r="I8" s="1026">
        <f>'SEAP template'!I76</f>
        <v>0</v>
      </c>
      <c r="J8" s="1026">
        <f>'SEAP template'!J76</f>
        <v>0</v>
      </c>
      <c r="K8" s="1026">
        <f>'SEAP template'!K76</f>
        <v>0</v>
      </c>
      <c r="L8" s="1026">
        <f>'SEAP template'!L76</f>
        <v>0</v>
      </c>
      <c r="M8" s="1026">
        <f>'SEAP template'!M76</f>
        <v>0</v>
      </c>
      <c r="N8" s="1026">
        <f>'SEAP template'!N76</f>
        <v>0</v>
      </c>
      <c r="O8" s="1026">
        <f>'SEAP template'!O76</f>
        <v>0</v>
      </c>
      <c r="P8" s="1027">
        <f>'SEAP template'!Q76</f>
        <v>0</v>
      </c>
    </row>
    <row r="9" spans="1:16">
      <c r="A9" s="1029" t="s">
        <v>908</v>
      </c>
      <c r="B9" s="1026">
        <f>'SEAP template'!B77</f>
        <v>0</v>
      </c>
      <c r="C9" s="1026">
        <f>'SEAP template'!C77</f>
        <v>0</v>
      </c>
      <c r="D9" s="1026">
        <f>'SEAP template'!D77</f>
        <v>0</v>
      </c>
      <c r="E9" s="1026">
        <f>'SEAP template'!E77</f>
        <v>0</v>
      </c>
      <c r="F9" s="1026">
        <f>'SEAP template'!F77</f>
        <v>0</v>
      </c>
      <c r="G9" s="1026">
        <f>'SEAP template'!G77</f>
        <v>0</v>
      </c>
      <c r="H9" s="1026">
        <f>'SEAP template'!H77</f>
        <v>0</v>
      </c>
      <c r="I9" s="1026">
        <f>'SEAP template'!I77</f>
        <v>0</v>
      </c>
      <c r="J9" s="1026">
        <f>'SEAP template'!J77</f>
        <v>0</v>
      </c>
      <c r="K9" s="1026">
        <f>'SEAP template'!K77</f>
        <v>0</v>
      </c>
      <c r="L9" s="1026">
        <f>'SEAP template'!L77</f>
        <v>0</v>
      </c>
      <c r="M9" s="1026">
        <f>'SEAP template'!M77</f>
        <v>0</v>
      </c>
      <c r="N9" s="1026">
        <f>'SEAP template'!N77</f>
        <v>0</v>
      </c>
      <c r="O9" s="1026">
        <f>'SEAP template'!O77</f>
        <v>0</v>
      </c>
      <c r="P9" s="1027">
        <f>'SEAP template'!Q77</f>
        <v>0</v>
      </c>
    </row>
    <row r="10" spans="1:16">
      <c r="A10" s="1028" t="s">
        <v>115</v>
      </c>
      <c r="B10" s="1030">
        <f>SUM(B4:B9)</f>
        <v>2507.5163222840888</v>
      </c>
      <c r="C10" s="1030">
        <f>SUM(C4:C9)</f>
        <v>0</v>
      </c>
      <c r="D10" s="1030">
        <f t="shared" ref="D10:H10" si="0">SUM(D8:D9)</f>
        <v>0</v>
      </c>
      <c r="E10" s="1030">
        <f t="shared" si="0"/>
        <v>0</v>
      </c>
      <c r="F10" s="1030">
        <f t="shared" si="0"/>
        <v>0</v>
      </c>
      <c r="G10" s="1030">
        <f t="shared" si="0"/>
        <v>0</v>
      </c>
      <c r="H10" s="1030">
        <f t="shared" si="0"/>
        <v>0</v>
      </c>
      <c r="I10" s="1030">
        <f>SUM(I8:I9)</f>
        <v>0</v>
      </c>
      <c r="J10" s="1030">
        <f>SUM(J8:J9)</f>
        <v>0</v>
      </c>
      <c r="K10" s="1030">
        <f t="shared" ref="K10:L10" si="1">SUM(K8:K9)</f>
        <v>0</v>
      </c>
      <c r="L10" s="1030">
        <f t="shared" si="1"/>
        <v>0</v>
      </c>
      <c r="M10" s="1030">
        <f>SUM(M8:M9)</f>
        <v>0</v>
      </c>
      <c r="N10" s="1030">
        <f>SUM(N8:N9)</f>
        <v>0</v>
      </c>
      <c r="O10" s="1030">
        <f>SUM(O8:O9)</f>
        <v>0</v>
      </c>
      <c r="P10" s="1030">
        <f>SUM(P8:P9)</f>
        <v>0</v>
      </c>
    </row>
    <row r="11" spans="1:16">
      <c r="A11" s="1031"/>
      <c r="B11" s="1031"/>
      <c r="C11" s="1031"/>
      <c r="D11" s="1031"/>
      <c r="E11" s="1031"/>
      <c r="F11" s="1031"/>
      <c r="G11" s="1031"/>
      <c r="H11" s="1031"/>
      <c r="I11" s="1031"/>
      <c r="J11" s="1031"/>
      <c r="K11" s="1031"/>
      <c r="L11" s="1031"/>
      <c r="M11" s="1031"/>
      <c r="N11" s="1031"/>
      <c r="O11" s="1031"/>
      <c r="P11" s="1031"/>
    </row>
    <row r="12" spans="1:16">
      <c r="A12" s="470" t="s">
        <v>909</v>
      </c>
      <c r="B12" s="774" t="s">
        <v>910</v>
      </c>
      <c r="C12" s="774">
        <f ca="1">'EF ele_warmte'!B12</f>
        <v>0.20804957814374317</v>
      </c>
      <c r="D12" s="1031"/>
      <c r="E12" s="1031"/>
      <c r="F12" s="1031"/>
      <c r="G12" s="1031"/>
      <c r="H12" s="1031"/>
      <c r="I12" s="1031"/>
      <c r="J12" s="1031"/>
      <c r="K12" s="1031"/>
      <c r="L12" s="1031"/>
      <c r="M12" s="1031"/>
      <c r="N12" s="1031"/>
      <c r="O12" s="1031"/>
      <c r="P12" s="1031"/>
    </row>
    <row r="13" spans="1:16">
      <c r="A13" s="1031"/>
      <c r="B13" s="1031"/>
      <c r="C13" s="1031"/>
      <c r="D13" s="1031"/>
      <c r="E13" s="1031"/>
      <c r="F13" s="1031"/>
      <c r="G13" s="1031"/>
      <c r="H13" s="1031"/>
      <c r="I13" s="1031"/>
      <c r="J13" s="1031"/>
      <c r="K13" s="1031"/>
      <c r="L13" s="1031"/>
      <c r="M13" s="1031"/>
      <c r="N13" s="1031"/>
      <c r="O13" s="1031"/>
      <c r="P13" s="1031"/>
    </row>
    <row r="14" spans="1:16" ht="15.75">
      <c r="A14" s="1180" t="s">
        <v>252</v>
      </c>
      <c r="B14" s="1181" t="s">
        <v>354</v>
      </c>
      <c r="C14" s="1181"/>
      <c r="D14" s="1182" t="s">
        <v>355</v>
      </c>
      <c r="E14" s="1182"/>
      <c r="F14" s="1182"/>
      <c r="G14" s="1182"/>
      <c r="H14" s="1182"/>
      <c r="I14" s="1182"/>
      <c r="J14" s="1182"/>
      <c r="K14" s="1182"/>
      <c r="L14" s="1182"/>
      <c r="M14" s="1182"/>
      <c r="N14" s="1182"/>
      <c r="O14" s="1182"/>
      <c r="P14" s="1181" t="s">
        <v>911</v>
      </c>
    </row>
    <row r="15" spans="1:16">
      <c r="A15" s="1180"/>
      <c r="B15" s="1181"/>
      <c r="C15" s="1181"/>
      <c r="D15" s="1183" t="s">
        <v>196</v>
      </c>
      <c r="E15" s="1183"/>
      <c r="F15" s="1183"/>
      <c r="G15" s="1183"/>
      <c r="H15" s="1183"/>
      <c r="I15" s="1181" t="s">
        <v>903</v>
      </c>
      <c r="J15" s="1181" t="s">
        <v>233</v>
      </c>
      <c r="K15" s="1181" t="s">
        <v>904</v>
      </c>
      <c r="L15" s="1181" t="s">
        <v>893</v>
      </c>
      <c r="M15" s="1181" t="s">
        <v>244</v>
      </c>
      <c r="N15" s="1181" t="s">
        <v>912</v>
      </c>
      <c r="O15" s="1181" t="s">
        <v>126</v>
      </c>
      <c r="P15" s="1181"/>
    </row>
    <row r="16" spans="1:16" ht="30">
      <c r="A16" s="1180"/>
      <c r="B16" s="1024" t="s">
        <v>913</v>
      </c>
      <c r="C16" s="1024" t="s">
        <v>914</v>
      </c>
      <c r="D16" s="1024" t="s">
        <v>198</v>
      </c>
      <c r="E16" s="1024" t="s">
        <v>199</v>
      </c>
      <c r="F16" s="1024" t="s">
        <v>200</v>
      </c>
      <c r="G16" s="1024" t="s">
        <v>202</v>
      </c>
      <c r="H16" s="1024" t="s">
        <v>203</v>
      </c>
      <c r="I16" s="1181"/>
      <c r="J16" s="1181"/>
      <c r="K16" s="1181"/>
      <c r="L16" s="1181"/>
      <c r="M16" s="1181"/>
      <c r="N16" s="1181"/>
      <c r="O16" s="1184"/>
      <c r="P16" s="1181"/>
    </row>
    <row r="17" spans="1:16">
      <c r="A17" s="1032" t="s">
        <v>251</v>
      </c>
      <c r="B17" s="1033">
        <f>'SEAP template'!B87</f>
        <v>0</v>
      </c>
      <c r="C17" s="1033">
        <f>'SEAP template'!C87</f>
        <v>0</v>
      </c>
      <c r="D17" s="1027">
        <f>'SEAP template'!D87</f>
        <v>0</v>
      </c>
      <c r="E17" s="1027">
        <f>'SEAP template'!E87</f>
        <v>0</v>
      </c>
      <c r="F17" s="1027">
        <f>'SEAP template'!F87</f>
        <v>0</v>
      </c>
      <c r="G17" s="1027">
        <f>'SEAP template'!G87</f>
        <v>0</v>
      </c>
      <c r="H17" s="1027">
        <f>'SEAP template'!H87</f>
        <v>0</v>
      </c>
      <c r="I17" s="1027">
        <f>'SEAP template'!I87</f>
        <v>0</v>
      </c>
      <c r="J17" s="1027">
        <f>'SEAP template'!J87</f>
        <v>0</v>
      </c>
      <c r="K17" s="1027">
        <f>'SEAP template'!K87</f>
        <v>0</v>
      </c>
      <c r="L17" s="1027">
        <f>'SEAP template'!L87</f>
        <v>0</v>
      </c>
      <c r="M17" s="1027">
        <f>'SEAP template'!M87</f>
        <v>0</v>
      </c>
      <c r="N17" s="1027">
        <f>'SEAP template'!N87</f>
        <v>0</v>
      </c>
      <c r="O17" s="1027">
        <f>'SEAP template'!O87</f>
        <v>0</v>
      </c>
      <c r="P17" s="1027">
        <f>'SEAP template'!Q87</f>
        <v>0</v>
      </c>
    </row>
    <row r="18" spans="1:16">
      <c r="A18" s="1034" t="s">
        <v>257</v>
      </c>
      <c r="B18" s="1033">
        <f>'SEAP template'!B88</f>
        <v>0</v>
      </c>
      <c r="C18" s="1033">
        <f>'SEAP template'!C88</f>
        <v>0</v>
      </c>
      <c r="D18" s="1027">
        <f>'SEAP template'!D88</f>
        <v>0</v>
      </c>
      <c r="E18" s="1027">
        <f>'SEAP template'!E88</f>
        <v>0</v>
      </c>
      <c r="F18" s="1027">
        <f>'SEAP template'!F88</f>
        <v>0</v>
      </c>
      <c r="G18" s="1027">
        <f>'SEAP template'!G88</f>
        <v>0</v>
      </c>
      <c r="H18" s="1027">
        <f>'SEAP template'!H88</f>
        <v>0</v>
      </c>
      <c r="I18" s="1027">
        <f>'SEAP template'!I88</f>
        <v>0</v>
      </c>
      <c r="J18" s="1027">
        <f>'SEAP template'!J88</f>
        <v>0</v>
      </c>
      <c r="K18" s="1027">
        <f>'SEAP template'!K88</f>
        <v>0</v>
      </c>
      <c r="L18" s="1027">
        <f>'SEAP template'!L88</f>
        <v>0</v>
      </c>
      <c r="M18" s="1027">
        <f>'SEAP template'!M88</f>
        <v>0</v>
      </c>
      <c r="N18" s="1027">
        <f>'SEAP template'!N88</f>
        <v>0</v>
      </c>
      <c r="O18" s="1027">
        <f>'SEAP template'!O88</f>
        <v>0</v>
      </c>
      <c r="P18" s="1027">
        <f>'SEAP template'!Q88</f>
        <v>0</v>
      </c>
    </row>
    <row r="19" spans="1:16">
      <c r="A19" s="1029" t="s">
        <v>915</v>
      </c>
      <c r="B19" s="1033">
        <f>'SEAP template'!B89</f>
        <v>0</v>
      </c>
      <c r="C19" s="1033">
        <f>'SEAP template'!C89</f>
        <v>0</v>
      </c>
      <c r="D19" s="1027">
        <f>'SEAP template'!D89</f>
        <v>0</v>
      </c>
      <c r="E19" s="1027">
        <f>'SEAP template'!E89</f>
        <v>0</v>
      </c>
      <c r="F19" s="1027">
        <f>'SEAP template'!F89</f>
        <v>0</v>
      </c>
      <c r="G19" s="1027">
        <f>'SEAP template'!G89</f>
        <v>0</v>
      </c>
      <c r="H19" s="1027">
        <f>'SEAP template'!H89</f>
        <v>0</v>
      </c>
      <c r="I19" s="1027">
        <f>'SEAP template'!I89</f>
        <v>0</v>
      </c>
      <c r="J19" s="1027">
        <f>'SEAP template'!J89</f>
        <v>0</v>
      </c>
      <c r="K19" s="1027">
        <f>'SEAP template'!K89</f>
        <v>0</v>
      </c>
      <c r="L19" s="1027">
        <f>'SEAP template'!L89</f>
        <v>0</v>
      </c>
      <c r="M19" s="1027">
        <f>'SEAP template'!M89</f>
        <v>0</v>
      </c>
      <c r="N19" s="1027">
        <f>'SEAP template'!N89</f>
        <v>0</v>
      </c>
      <c r="O19" s="1027">
        <f>'SEAP template'!O89</f>
        <v>0</v>
      </c>
      <c r="P19" s="1027">
        <f>'SEAP template'!Q89</f>
        <v>0</v>
      </c>
    </row>
    <row r="20" spans="1:16">
      <c r="A20" s="1035" t="s">
        <v>115</v>
      </c>
      <c r="B20" s="1030">
        <f>SUM(B17:B19)</f>
        <v>0</v>
      </c>
      <c r="C20" s="1030">
        <f>SUM(C17:C19)</f>
        <v>0</v>
      </c>
      <c r="D20" s="1030">
        <f t="shared" ref="D20:H20" si="2">SUM(D17:D19)</f>
        <v>0</v>
      </c>
      <c r="E20" s="1030">
        <f t="shared" si="2"/>
        <v>0</v>
      </c>
      <c r="F20" s="1030">
        <f t="shared" si="2"/>
        <v>0</v>
      </c>
      <c r="G20" s="1030">
        <f t="shared" si="2"/>
        <v>0</v>
      </c>
      <c r="H20" s="1030">
        <f t="shared" si="2"/>
        <v>0</v>
      </c>
      <c r="I20" s="1030">
        <f>SUM(I17:I19)</f>
        <v>0</v>
      </c>
      <c r="J20" s="1030">
        <f>SUM(J17:J19)</f>
        <v>0</v>
      </c>
      <c r="K20" s="1030">
        <f t="shared" ref="K20:L20" si="3">SUM(K17:K19)</f>
        <v>0</v>
      </c>
      <c r="L20" s="1030">
        <f t="shared" si="3"/>
        <v>0</v>
      </c>
      <c r="M20" s="1030">
        <f>SUM(M17:M19)</f>
        <v>0</v>
      </c>
      <c r="N20" s="1030">
        <f>SUM(N17:N19)</f>
        <v>0</v>
      </c>
      <c r="O20" s="1030">
        <f>SUM(O17:O19)</f>
        <v>0</v>
      </c>
      <c r="P20" s="1030">
        <f>SUM(P17:P19)</f>
        <v>0</v>
      </c>
    </row>
    <row r="22" spans="1:16">
      <c r="A22" s="470" t="s">
        <v>916</v>
      </c>
      <c r="B22" s="774" t="s">
        <v>910</v>
      </c>
      <c r="C22" s="774">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theme="6"/>
  </sheetPr>
  <dimension ref="A1:P22"/>
  <sheetViews>
    <sheetView workbookViewId="0">
      <selection activeCell="F6" sqref="F6"/>
    </sheetView>
  </sheetViews>
  <sheetFormatPr defaultColWidth="9.140625" defaultRowHeight="15"/>
  <cols>
    <col min="1" max="1" width="49.5703125" style="886" customWidth="1"/>
    <col min="2" max="2" width="23.5703125" style="886" customWidth="1"/>
    <col min="3" max="3" width="25.28515625" style="886" customWidth="1"/>
    <col min="4" max="10" width="18.42578125" style="886" bestFit="1" customWidth="1"/>
    <col min="11" max="11" width="24.28515625" style="886" bestFit="1" customWidth="1"/>
    <col min="12" max="12" width="22.42578125" style="886" bestFit="1" customWidth="1"/>
    <col min="13" max="13" width="18.42578125" style="886" bestFit="1" customWidth="1"/>
    <col min="14" max="14" width="28.42578125" style="886" bestFit="1" customWidth="1"/>
    <col min="15" max="15" width="18.42578125" style="886" bestFit="1" customWidth="1"/>
    <col min="16" max="16" width="16.7109375" style="886" customWidth="1"/>
    <col min="17" max="16384" width="9.140625" style="886"/>
  </cols>
  <sheetData>
    <row r="1" spans="1:16" ht="15.75">
      <c r="A1" s="1180" t="s">
        <v>240</v>
      </c>
      <c r="B1" s="1181" t="s">
        <v>350</v>
      </c>
      <c r="C1" s="1181"/>
      <c r="D1" s="1182" t="s">
        <v>351</v>
      </c>
      <c r="E1" s="1182"/>
      <c r="F1" s="1182"/>
      <c r="G1" s="1182"/>
      <c r="H1" s="1182"/>
      <c r="I1" s="1182"/>
      <c r="J1" s="1182"/>
      <c r="K1" s="1182"/>
      <c r="L1" s="1182"/>
      <c r="M1" s="1182"/>
      <c r="N1" s="1182"/>
      <c r="O1" s="1182"/>
      <c r="P1" s="1181" t="s">
        <v>902</v>
      </c>
    </row>
    <row r="2" spans="1:16" ht="15.75">
      <c r="A2" s="1180"/>
      <c r="B2" s="1181"/>
      <c r="C2" s="1181"/>
      <c r="D2" s="1182" t="s">
        <v>196</v>
      </c>
      <c r="E2" s="1182"/>
      <c r="F2" s="1182"/>
      <c r="G2" s="1182"/>
      <c r="H2" s="1182"/>
      <c r="I2" s="1024" t="s">
        <v>903</v>
      </c>
      <c r="J2" s="1024" t="s">
        <v>233</v>
      </c>
      <c r="K2" s="1024" t="s">
        <v>904</v>
      </c>
      <c r="L2" s="1024" t="s">
        <v>893</v>
      </c>
      <c r="M2" s="1024" t="s">
        <v>244</v>
      </c>
      <c r="N2" s="1024" t="s">
        <v>905</v>
      </c>
      <c r="O2" s="1024" t="s">
        <v>126</v>
      </c>
      <c r="P2" s="1181"/>
    </row>
    <row r="3" spans="1:16" ht="30">
      <c r="A3" s="1180"/>
      <c r="B3" s="1024" t="s">
        <v>906</v>
      </c>
      <c r="C3" s="1024" t="s">
        <v>907</v>
      </c>
      <c r="D3" s="1024" t="s">
        <v>198</v>
      </c>
      <c r="E3" s="1024" t="s">
        <v>199</v>
      </c>
      <c r="F3" s="1024" t="s">
        <v>200</v>
      </c>
      <c r="G3" s="1024" t="s">
        <v>202</v>
      </c>
      <c r="H3" s="1024" t="s">
        <v>203</v>
      </c>
      <c r="I3" s="1024"/>
      <c r="J3" s="1024"/>
      <c r="K3" s="1024"/>
      <c r="L3" s="1024"/>
      <c r="M3" s="1024"/>
      <c r="N3" s="1024"/>
      <c r="O3" s="1024"/>
      <c r="P3" s="1181"/>
    </row>
    <row r="4" spans="1:16" ht="135">
      <c r="A4" s="1036" t="s">
        <v>248</v>
      </c>
      <c r="B4" s="1037" t="s">
        <v>917</v>
      </c>
      <c r="C4" s="1038" t="s">
        <v>862</v>
      </c>
      <c r="D4" s="1038" t="s">
        <v>862</v>
      </c>
      <c r="E4" s="1038" t="s">
        <v>862</v>
      </c>
      <c r="F4" s="1038" t="s">
        <v>862</v>
      </c>
      <c r="G4" s="1038" t="s">
        <v>862</v>
      </c>
      <c r="H4" s="1038" t="s">
        <v>862</v>
      </c>
      <c r="I4" s="1038" t="s">
        <v>862</v>
      </c>
      <c r="J4" s="1038" t="s">
        <v>862</v>
      </c>
      <c r="K4" s="1038" t="s">
        <v>862</v>
      </c>
      <c r="L4" s="1038" t="s">
        <v>862</v>
      </c>
      <c r="M4" s="1038" t="s">
        <v>862</v>
      </c>
      <c r="N4" s="1038" t="s">
        <v>862</v>
      </c>
      <c r="O4" s="1038" t="s">
        <v>862</v>
      </c>
      <c r="P4" s="1039" t="s">
        <v>918</v>
      </c>
    </row>
    <row r="5" spans="1:16" ht="135">
      <c r="A5" s="1040" t="s">
        <v>249</v>
      </c>
      <c r="B5" s="1037" t="s">
        <v>917</v>
      </c>
      <c r="C5" s="1038" t="s">
        <v>862</v>
      </c>
      <c r="D5" s="1038" t="s">
        <v>862</v>
      </c>
      <c r="E5" s="1038" t="s">
        <v>862</v>
      </c>
      <c r="F5" s="1038" t="s">
        <v>862</v>
      </c>
      <c r="G5" s="1038" t="s">
        <v>862</v>
      </c>
      <c r="H5" s="1038" t="s">
        <v>862</v>
      </c>
      <c r="I5" s="1038" t="s">
        <v>862</v>
      </c>
      <c r="J5" s="1038" t="s">
        <v>862</v>
      </c>
      <c r="K5" s="1038" t="s">
        <v>862</v>
      </c>
      <c r="L5" s="1038" t="s">
        <v>862</v>
      </c>
      <c r="M5" s="1038" t="s">
        <v>862</v>
      </c>
      <c r="N5" s="1038" t="s">
        <v>862</v>
      </c>
      <c r="O5" s="1038" t="s">
        <v>862</v>
      </c>
      <c r="P5" s="1039" t="s">
        <v>918</v>
      </c>
    </row>
    <row r="6" spans="1:16" ht="135">
      <c r="A6" s="1040" t="s">
        <v>250</v>
      </c>
      <c r="B6" s="1037" t="s">
        <v>917</v>
      </c>
      <c r="C6" s="1038" t="s">
        <v>862</v>
      </c>
      <c r="D6" s="1038" t="s">
        <v>862</v>
      </c>
      <c r="E6" s="1038" t="s">
        <v>862</v>
      </c>
      <c r="F6" s="1038" t="s">
        <v>862</v>
      </c>
      <c r="G6" s="1038" t="s">
        <v>862</v>
      </c>
      <c r="H6" s="1038" t="s">
        <v>862</v>
      </c>
      <c r="I6" s="1038" t="s">
        <v>862</v>
      </c>
      <c r="J6" s="1038" t="s">
        <v>862</v>
      </c>
      <c r="K6" s="1038" t="s">
        <v>862</v>
      </c>
      <c r="L6" s="1038" t="s">
        <v>862</v>
      </c>
      <c r="M6" s="1038" t="s">
        <v>862</v>
      </c>
      <c r="N6" s="1038" t="s">
        <v>862</v>
      </c>
      <c r="O6" s="1038" t="s">
        <v>862</v>
      </c>
      <c r="P6" s="1039" t="s">
        <v>918</v>
      </c>
    </row>
    <row r="7" spans="1:16" ht="135">
      <c r="A7" s="1040" t="s">
        <v>893</v>
      </c>
      <c r="B7" s="1038" t="s">
        <v>862</v>
      </c>
      <c r="C7" s="1038" t="s">
        <v>862</v>
      </c>
      <c r="D7" s="1038" t="s">
        <v>862</v>
      </c>
      <c r="E7" s="1038" t="s">
        <v>862</v>
      </c>
      <c r="F7" s="1038" t="s">
        <v>862</v>
      </c>
      <c r="G7" s="1038" t="s">
        <v>862</v>
      </c>
      <c r="H7" s="1038" t="s">
        <v>862</v>
      </c>
      <c r="I7" s="1038" t="s">
        <v>862</v>
      </c>
      <c r="J7" s="1038" t="s">
        <v>862</v>
      </c>
      <c r="K7" s="1038" t="s">
        <v>862</v>
      </c>
      <c r="L7" s="1038" t="s">
        <v>862</v>
      </c>
      <c r="M7" s="1038" t="s">
        <v>862</v>
      </c>
      <c r="N7" s="1038" t="s">
        <v>862</v>
      </c>
      <c r="O7" s="1038" t="s">
        <v>862</v>
      </c>
      <c r="P7" s="1039" t="s">
        <v>918</v>
      </c>
    </row>
    <row r="8" spans="1:16" ht="210">
      <c r="A8" s="1036" t="s">
        <v>251</v>
      </c>
      <c r="B8" s="1037" t="s">
        <v>919</v>
      </c>
      <c r="C8" s="1037" t="s">
        <v>919</v>
      </c>
      <c r="D8" s="1037" t="s">
        <v>919</v>
      </c>
      <c r="E8" s="1037" t="s">
        <v>919</v>
      </c>
      <c r="F8" s="1037" t="s">
        <v>919</v>
      </c>
      <c r="G8" s="1037" t="s">
        <v>919</v>
      </c>
      <c r="H8" s="1037" t="s">
        <v>919</v>
      </c>
      <c r="I8" s="1037" t="s">
        <v>919</v>
      </c>
      <c r="J8" s="1037" t="s">
        <v>919</v>
      </c>
      <c r="K8" s="1038" t="s">
        <v>862</v>
      </c>
      <c r="L8" s="1038" t="s">
        <v>862</v>
      </c>
      <c r="M8" s="1038" t="s">
        <v>862</v>
      </c>
      <c r="N8" s="1037" t="s">
        <v>920</v>
      </c>
      <c r="O8" s="1037" t="s">
        <v>920</v>
      </c>
      <c r="P8" s="1041"/>
    </row>
    <row r="9" spans="1:16" ht="210">
      <c r="A9" s="1042" t="s">
        <v>908</v>
      </c>
      <c r="B9" s="1037" t="s">
        <v>920</v>
      </c>
      <c r="C9" s="1037" t="s">
        <v>920</v>
      </c>
      <c r="D9" s="1037" t="s">
        <v>920</v>
      </c>
      <c r="E9" s="1037" t="s">
        <v>920</v>
      </c>
      <c r="F9" s="1037" t="s">
        <v>920</v>
      </c>
      <c r="G9" s="1037" t="s">
        <v>920</v>
      </c>
      <c r="H9" s="1037" t="s">
        <v>920</v>
      </c>
      <c r="I9" s="1037" t="s">
        <v>920</v>
      </c>
      <c r="J9" s="1037" t="s">
        <v>920</v>
      </c>
      <c r="K9" s="1038" t="s">
        <v>862</v>
      </c>
      <c r="L9" s="1037" t="s">
        <v>920</v>
      </c>
      <c r="M9" s="1037" t="s">
        <v>920</v>
      </c>
      <c r="N9" s="1037" t="s">
        <v>920</v>
      </c>
      <c r="O9" s="1037" t="s">
        <v>920</v>
      </c>
      <c r="P9" s="1041"/>
    </row>
    <row r="10" spans="1:16">
      <c r="A10" s="1040" t="s">
        <v>115</v>
      </c>
      <c r="B10" s="1043"/>
      <c r="C10" s="1043"/>
      <c r="D10" s="1043"/>
      <c r="E10" s="1043"/>
      <c r="F10" s="1043"/>
      <c r="G10" s="1043"/>
      <c r="H10" s="1043"/>
      <c r="I10" s="1043"/>
      <c r="J10" s="1043"/>
      <c r="K10" s="1043"/>
      <c r="L10" s="1043"/>
      <c r="M10" s="1043"/>
      <c r="N10" s="1043"/>
      <c r="O10" s="1043"/>
      <c r="P10" s="1043"/>
    </row>
    <row r="11" spans="1:16">
      <c r="A11" s="1031"/>
      <c r="B11" s="1031"/>
      <c r="C11" s="1031"/>
      <c r="D11" s="1031"/>
      <c r="E11" s="1031"/>
      <c r="F11" s="1031"/>
      <c r="G11" s="1031"/>
      <c r="H11" s="1031"/>
      <c r="I11" s="1031"/>
      <c r="J11" s="1031"/>
      <c r="K11" s="1031"/>
      <c r="L11" s="1031"/>
      <c r="M11" s="1031"/>
      <c r="N11" s="1031"/>
      <c r="O11" s="1031"/>
      <c r="P11" s="1031"/>
    </row>
    <row r="12" spans="1:16" ht="150">
      <c r="A12" s="470" t="s">
        <v>909</v>
      </c>
      <c r="B12" s="774" t="s">
        <v>910</v>
      </c>
      <c r="C12" s="1044" t="s">
        <v>921</v>
      </c>
      <c r="D12" s="1031"/>
      <c r="E12" s="1031"/>
      <c r="F12" s="1031"/>
      <c r="G12" s="1031"/>
      <c r="H12" s="1031"/>
      <c r="I12" s="1031"/>
      <c r="J12" s="1031"/>
      <c r="K12" s="1031"/>
      <c r="L12" s="1031"/>
      <c r="M12" s="1031"/>
      <c r="N12" s="1031"/>
      <c r="O12" s="1031"/>
      <c r="P12" s="1031"/>
    </row>
    <row r="13" spans="1:16">
      <c r="A13" s="1031"/>
      <c r="B13" s="1031"/>
      <c r="C13" s="1031"/>
      <c r="D13" s="1031"/>
      <c r="E13" s="1031"/>
      <c r="F13" s="1031"/>
      <c r="G13" s="1031"/>
      <c r="H13" s="1031"/>
      <c r="I13" s="1031"/>
      <c r="J13" s="1031"/>
      <c r="K13" s="1031"/>
      <c r="L13" s="1031"/>
      <c r="M13" s="1031"/>
      <c r="N13" s="1031"/>
      <c r="O13" s="1031"/>
      <c r="P13" s="1031"/>
    </row>
    <row r="14" spans="1:16" ht="15.75">
      <c r="A14" s="1180" t="s">
        <v>252</v>
      </c>
      <c r="B14" s="1181" t="s">
        <v>354</v>
      </c>
      <c r="C14" s="1181"/>
      <c r="D14" s="1182" t="s">
        <v>355</v>
      </c>
      <c r="E14" s="1182"/>
      <c r="F14" s="1182"/>
      <c r="G14" s="1182"/>
      <c r="H14" s="1182"/>
      <c r="I14" s="1182"/>
      <c r="J14" s="1182"/>
      <c r="K14" s="1182"/>
      <c r="L14" s="1182"/>
      <c r="M14" s="1182"/>
      <c r="N14" s="1182"/>
      <c r="O14" s="1182"/>
      <c r="P14" s="1181" t="s">
        <v>911</v>
      </c>
    </row>
    <row r="15" spans="1:16">
      <c r="A15" s="1180"/>
      <c r="B15" s="1181"/>
      <c r="C15" s="1181"/>
      <c r="D15" s="1183" t="s">
        <v>196</v>
      </c>
      <c r="E15" s="1183"/>
      <c r="F15" s="1183"/>
      <c r="G15" s="1183"/>
      <c r="H15" s="1183"/>
      <c r="I15" s="1181" t="s">
        <v>903</v>
      </c>
      <c r="J15" s="1181" t="s">
        <v>233</v>
      </c>
      <c r="K15" s="1181" t="s">
        <v>904</v>
      </c>
      <c r="L15" s="1181" t="s">
        <v>893</v>
      </c>
      <c r="M15" s="1181" t="s">
        <v>244</v>
      </c>
      <c r="N15" s="1181" t="s">
        <v>912</v>
      </c>
      <c r="O15" s="1181" t="s">
        <v>126</v>
      </c>
      <c r="P15" s="1181"/>
    </row>
    <row r="16" spans="1:16" ht="30">
      <c r="A16" s="1180"/>
      <c r="B16" s="1024" t="s">
        <v>913</v>
      </c>
      <c r="C16" s="1024" t="s">
        <v>914</v>
      </c>
      <c r="D16" s="1024" t="s">
        <v>198</v>
      </c>
      <c r="E16" s="1024" t="s">
        <v>199</v>
      </c>
      <c r="F16" s="1024" t="s">
        <v>200</v>
      </c>
      <c r="G16" s="1024" t="s">
        <v>202</v>
      </c>
      <c r="H16" s="1024" t="s">
        <v>203</v>
      </c>
      <c r="I16" s="1181"/>
      <c r="J16" s="1181"/>
      <c r="K16" s="1181"/>
      <c r="L16" s="1181"/>
      <c r="M16" s="1181"/>
      <c r="N16" s="1181"/>
      <c r="O16" s="1184"/>
      <c r="P16" s="1181"/>
    </row>
    <row r="17" spans="1:16" ht="210">
      <c r="A17" s="1032" t="s">
        <v>251</v>
      </c>
      <c r="B17" s="1037" t="s">
        <v>920</v>
      </c>
      <c r="C17" s="1037" t="s">
        <v>920</v>
      </c>
      <c r="D17" s="1037" t="s">
        <v>920</v>
      </c>
      <c r="E17" s="1037" t="s">
        <v>920</v>
      </c>
      <c r="F17" s="1037" t="s">
        <v>920</v>
      </c>
      <c r="G17" s="1037" t="s">
        <v>920</v>
      </c>
      <c r="H17" s="1037" t="s">
        <v>920</v>
      </c>
      <c r="I17" s="1037" t="s">
        <v>920</v>
      </c>
      <c r="J17" s="1037" t="s">
        <v>920</v>
      </c>
      <c r="K17" s="1038" t="s">
        <v>862</v>
      </c>
      <c r="L17" s="1038" t="s">
        <v>862</v>
      </c>
      <c r="M17" s="1038" t="s">
        <v>862</v>
      </c>
      <c r="N17" s="1037" t="s">
        <v>920</v>
      </c>
      <c r="O17" s="1037" t="s">
        <v>920</v>
      </c>
      <c r="P17" s="1045"/>
    </row>
    <row r="18" spans="1:16" ht="45">
      <c r="A18" s="1034" t="s">
        <v>257</v>
      </c>
      <c r="B18" s="1039" t="s">
        <v>885</v>
      </c>
      <c r="C18" s="1039" t="s">
        <v>885</v>
      </c>
      <c r="D18" s="1039" t="s">
        <v>885</v>
      </c>
      <c r="E18" s="1039" t="s">
        <v>885</v>
      </c>
      <c r="F18" s="1039" t="s">
        <v>885</v>
      </c>
      <c r="G18" s="1039" t="s">
        <v>885</v>
      </c>
      <c r="H18" s="1039" t="s">
        <v>885</v>
      </c>
      <c r="I18" s="1039" t="s">
        <v>885</v>
      </c>
      <c r="J18" s="1039" t="s">
        <v>885</v>
      </c>
      <c r="K18" s="1039" t="s">
        <v>885</v>
      </c>
      <c r="L18" s="1039" t="s">
        <v>885</v>
      </c>
      <c r="M18" s="1039" t="s">
        <v>885</v>
      </c>
      <c r="N18" s="1039" t="s">
        <v>885</v>
      </c>
      <c r="O18" s="1039" t="s">
        <v>885</v>
      </c>
      <c r="P18" s="1039" t="s">
        <v>885</v>
      </c>
    </row>
    <row r="19" spans="1:16" ht="45">
      <c r="A19" s="1029" t="s">
        <v>915</v>
      </c>
      <c r="B19" s="1039" t="s">
        <v>885</v>
      </c>
      <c r="C19" s="1039" t="s">
        <v>885</v>
      </c>
      <c r="D19" s="1039" t="s">
        <v>885</v>
      </c>
      <c r="E19" s="1039" t="s">
        <v>885</v>
      </c>
      <c r="F19" s="1039" t="s">
        <v>885</v>
      </c>
      <c r="G19" s="1039" t="s">
        <v>885</v>
      </c>
      <c r="H19" s="1039" t="s">
        <v>885</v>
      </c>
      <c r="I19" s="1039" t="s">
        <v>885</v>
      </c>
      <c r="J19" s="1039" t="s">
        <v>885</v>
      </c>
      <c r="K19" s="1039" t="s">
        <v>885</v>
      </c>
      <c r="L19" s="1039" t="s">
        <v>885</v>
      </c>
      <c r="M19" s="1039" t="s">
        <v>885</v>
      </c>
      <c r="N19" s="1039" t="s">
        <v>885</v>
      </c>
      <c r="O19" s="1039" t="s">
        <v>885</v>
      </c>
      <c r="P19" s="1039" t="s">
        <v>885</v>
      </c>
    </row>
    <row r="20" spans="1:16">
      <c r="A20" s="1035" t="s">
        <v>115</v>
      </c>
      <c r="B20" s="1030"/>
      <c r="C20" s="1030"/>
      <c r="D20" s="1030"/>
      <c r="E20" s="1030"/>
      <c r="F20" s="1030"/>
      <c r="G20" s="1030"/>
      <c r="H20" s="1030"/>
      <c r="I20" s="1030"/>
      <c r="J20" s="1030"/>
      <c r="K20" s="1030"/>
      <c r="L20" s="1030"/>
      <c r="M20" s="1030"/>
      <c r="N20" s="1030"/>
      <c r="O20" s="1030"/>
      <c r="P20" s="1030"/>
    </row>
    <row r="22" spans="1:16" ht="90">
      <c r="A22" s="470" t="s">
        <v>916</v>
      </c>
      <c r="B22" s="774" t="s">
        <v>910</v>
      </c>
      <c r="C22" s="1044" t="s">
        <v>922</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384</v>
      </c>
      <c r="B2" s="111"/>
      <c r="C2" s="112"/>
    </row>
    <row r="3" spans="1:3" s="16" customFormat="1" ht="15.75">
      <c r="A3" s="99"/>
      <c r="B3" s="71"/>
      <c r="C3" s="100"/>
    </row>
    <row r="4" spans="1:3">
      <c r="A4" s="96" t="s">
        <v>363</v>
      </c>
      <c r="B4" s="70" t="s">
        <v>375</v>
      </c>
      <c r="C4" s="101" t="s">
        <v>374</v>
      </c>
    </row>
    <row r="5" spans="1:3">
      <c r="A5" s="113"/>
      <c r="B5" s="44"/>
      <c r="C5" s="97"/>
    </row>
    <row r="6" spans="1:3" ht="30">
      <c r="A6" s="114" t="s">
        <v>595</v>
      </c>
      <c r="B6" s="76" t="s">
        <v>596</v>
      </c>
      <c r="C6" s="440" t="s">
        <v>579</v>
      </c>
    </row>
    <row r="7" spans="1:3">
      <c r="A7" s="126"/>
      <c r="B7" s="130"/>
      <c r="C7" s="123"/>
    </row>
    <row r="8" spans="1:3">
      <c r="A8" s="114" t="s">
        <v>598</v>
      </c>
      <c r="B8" s="76" t="s">
        <v>597</v>
      </c>
      <c r="C8" s="440" t="s">
        <v>388</v>
      </c>
    </row>
    <row r="9" spans="1:3">
      <c r="A9" s="126"/>
      <c r="B9" s="130"/>
      <c r="C9" s="123"/>
    </row>
    <row r="10" spans="1:3">
      <c r="A10" s="114" t="s">
        <v>327</v>
      </c>
      <c r="B10" s="76" t="s">
        <v>386</v>
      </c>
      <c r="C10" s="115" t="s">
        <v>388</v>
      </c>
    </row>
    <row r="11" spans="1:3">
      <c r="A11" s="126"/>
      <c r="B11" s="130"/>
      <c r="C11" s="123"/>
    </row>
    <row r="12" spans="1:3" ht="30">
      <c r="A12" s="114" t="s">
        <v>419</v>
      </c>
      <c r="B12" s="76" t="s">
        <v>538</v>
      </c>
      <c r="C12" s="314" t="s">
        <v>632</v>
      </c>
    </row>
    <row r="13" spans="1:3">
      <c r="A13" s="142"/>
      <c r="B13" s="125"/>
      <c r="C13" s="302"/>
    </row>
    <row r="14" spans="1:3" s="12" customFormat="1">
      <c r="A14" s="114" t="s">
        <v>615</v>
      </c>
      <c r="B14" s="131" t="s">
        <v>616</v>
      </c>
      <c r="C14" s="132" t="s">
        <v>617</v>
      </c>
    </row>
    <row r="15" spans="1:3" s="12" customFormat="1">
      <c r="A15" s="142"/>
      <c r="B15" s="161"/>
      <c r="C15" s="162"/>
    </row>
    <row r="16" spans="1:3" ht="21">
      <c r="A16" s="127" t="s">
        <v>483</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5" customWidth="1"/>
    <col min="2" max="2" width="15" style="455" customWidth="1"/>
    <col min="3" max="3" width="25.140625" style="455" customWidth="1"/>
    <col min="4" max="4" width="15" style="455" customWidth="1"/>
    <col min="5" max="5" width="40.5703125" style="455" customWidth="1"/>
    <col min="6" max="6" width="14.85546875" style="455" customWidth="1"/>
    <col min="7" max="7" width="8.5703125" style="455" bestFit="1" customWidth="1"/>
    <col min="8" max="8" width="10.85546875" style="455" bestFit="1" customWidth="1"/>
    <col min="9" max="9" width="15.7109375" style="455" customWidth="1"/>
    <col min="10" max="10" width="15.42578125" style="455" customWidth="1"/>
    <col min="11" max="11" width="17.42578125" style="455" customWidth="1"/>
    <col min="12" max="12" width="14.5703125" style="455" customWidth="1"/>
    <col min="13" max="13" width="15.5703125" style="455" customWidth="1"/>
    <col min="14" max="14" width="17.85546875" style="455" customWidth="1"/>
    <col min="15" max="15" width="35.7109375" style="455" customWidth="1"/>
    <col min="16" max="16" width="43.5703125" style="455" customWidth="1"/>
    <col min="17" max="17" width="9.140625" style="455"/>
    <col min="18" max="18" width="20.42578125" style="455" customWidth="1"/>
    <col min="19" max="16384" width="9.140625" style="455"/>
  </cols>
  <sheetData>
    <row r="1" spans="1:16" ht="15.75" customHeight="1" outlineLevel="1" thickTop="1" thickBot="1">
      <c r="A1" s="1185" t="s">
        <v>387</v>
      </c>
      <c r="B1" s="1186" t="s">
        <v>194</v>
      </c>
      <c r="C1" s="1187"/>
      <c r="D1" s="1187"/>
      <c r="E1" s="1187"/>
      <c r="F1" s="1187"/>
      <c r="G1" s="1187"/>
      <c r="H1" s="1187"/>
      <c r="I1" s="1187"/>
      <c r="J1" s="1187"/>
      <c r="K1" s="1187"/>
      <c r="L1" s="1187"/>
      <c r="M1" s="1187"/>
      <c r="N1" s="1187"/>
      <c r="O1" s="1187"/>
      <c r="P1" s="1187"/>
    </row>
    <row r="2" spans="1:16" ht="15" customHeight="1" outlineLevel="1" thickTop="1">
      <c r="A2" s="1185"/>
      <c r="B2" s="1188" t="s">
        <v>20</v>
      </c>
      <c r="C2" s="1188" t="s">
        <v>195</v>
      </c>
      <c r="D2" s="1189" t="s">
        <v>196</v>
      </c>
      <c r="E2" s="1190"/>
      <c r="F2" s="1190"/>
      <c r="G2" s="1190"/>
      <c r="H2" s="1190"/>
      <c r="I2" s="1190"/>
      <c r="J2" s="1190"/>
      <c r="K2" s="1191"/>
      <c r="L2" s="1189" t="s">
        <v>197</v>
      </c>
      <c r="M2" s="1190"/>
      <c r="N2" s="1190"/>
      <c r="O2" s="1190"/>
      <c r="P2" s="1191"/>
    </row>
    <row r="3" spans="1:16" ht="56.25" customHeight="1" outlineLevel="1">
      <c r="A3" s="1185"/>
      <c r="B3" s="1168"/>
      <c r="C3" s="1168"/>
      <c r="D3" s="454" t="s">
        <v>198</v>
      </c>
      <c r="E3" s="454" t="s">
        <v>199</v>
      </c>
      <c r="F3" s="454" t="s">
        <v>200</v>
      </c>
      <c r="G3" s="454" t="s">
        <v>201</v>
      </c>
      <c r="H3" s="454" t="s">
        <v>119</v>
      </c>
      <c r="I3" s="454" t="s">
        <v>202</v>
      </c>
      <c r="J3" s="454" t="s">
        <v>203</v>
      </c>
      <c r="K3" s="454" t="s">
        <v>204</v>
      </c>
      <c r="L3" s="454" t="s">
        <v>205</v>
      </c>
      <c r="M3" s="454" t="s">
        <v>206</v>
      </c>
      <c r="N3" s="454" t="s">
        <v>207</v>
      </c>
      <c r="O3" s="454" t="s">
        <v>208</v>
      </c>
      <c r="P3" s="454" t="s">
        <v>209</v>
      </c>
    </row>
    <row r="4" spans="1:16" outlineLevel="1">
      <c r="A4" s="679" t="s">
        <v>627</v>
      </c>
      <c r="B4" s="472"/>
      <c r="C4" s="472"/>
      <c r="D4" s="472"/>
      <c r="E4" s="472"/>
      <c r="F4" s="472"/>
      <c r="G4" s="504"/>
      <c r="H4" s="504"/>
      <c r="I4" s="472"/>
      <c r="J4" s="472"/>
      <c r="K4" s="472"/>
      <c r="L4" s="472"/>
      <c r="M4" s="472"/>
      <c r="N4" s="472"/>
      <c r="O4" s="472"/>
      <c r="P4" s="472"/>
    </row>
    <row r="5" spans="1:16" outlineLevel="1">
      <c r="A5" s="679" t="s">
        <v>628</v>
      </c>
      <c r="B5" s="472"/>
      <c r="C5" s="472"/>
      <c r="D5" s="472"/>
      <c r="E5" s="472"/>
      <c r="F5" s="472"/>
      <c r="G5" s="504"/>
      <c r="H5" s="504"/>
      <c r="I5" s="472"/>
      <c r="J5" s="472"/>
      <c r="K5" s="472"/>
      <c r="L5" s="472"/>
      <c r="M5" s="472"/>
      <c r="N5" s="472"/>
      <c r="O5" s="472"/>
      <c r="P5" s="472"/>
    </row>
    <row r="6" spans="1:16" outlineLevel="1">
      <c r="A6" s="679" t="s">
        <v>629</v>
      </c>
      <c r="B6" s="472"/>
      <c r="C6" s="472"/>
      <c r="D6" s="472"/>
      <c r="E6" s="472"/>
      <c r="F6" s="472"/>
      <c r="G6" s="504"/>
      <c r="H6" s="504"/>
      <c r="I6" s="472"/>
      <c r="J6" s="472"/>
      <c r="K6" s="472"/>
      <c r="L6" s="472"/>
      <c r="M6" s="472"/>
      <c r="N6" s="472"/>
      <c r="O6" s="472"/>
      <c r="P6" s="472"/>
    </row>
    <row r="7" spans="1:16" outlineLevel="1">
      <c r="A7" s="474"/>
      <c r="B7" s="472"/>
      <c r="C7" s="472"/>
      <c r="D7" s="472"/>
      <c r="E7" s="472"/>
      <c r="F7" s="472"/>
      <c r="G7" s="504"/>
      <c r="H7" s="504"/>
      <c r="I7" s="472"/>
      <c r="J7" s="472"/>
      <c r="K7" s="472"/>
      <c r="L7" s="472"/>
      <c r="M7" s="472"/>
      <c r="N7" s="472"/>
      <c r="O7" s="472"/>
      <c r="P7" s="472"/>
    </row>
    <row r="8" spans="1:16" outlineLevel="1">
      <c r="A8" s="680" t="s">
        <v>630</v>
      </c>
      <c r="B8" s="472"/>
      <c r="C8" s="472"/>
      <c r="D8" s="472"/>
      <c r="E8" s="472"/>
      <c r="F8" s="472"/>
      <c r="G8" s="504"/>
      <c r="H8" s="504"/>
      <c r="I8" s="472"/>
      <c r="J8" s="472"/>
      <c r="K8" s="472"/>
      <c r="L8" s="472"/>
      <c r="M8" s="472"/>
      <c r="N8" s="472"/>
      <c r="O8" s="472"/>
      <c r="P8" s="472"/>
    </row>
    <row r="9" spans="1:16" outlineLevel="1">
      <c r="A9" s="474"/>
      <c r="B9" s="472"/>
      <c r="C9" s="472"/>
      <c r="D9" s="472"/>
      <c r="E9" s="472"/>
      <c r="F9" s="472"/>
      <c r="G9" s="504"/>
      <c r="H9" s="504"/>
      <c r="I9" s="472"/>
      <c r="J9" s="472"/>
      <c r="K9" s="472"/>
      <c r="L9" s="472"/>
      <c r="M9" s="472"/>
      <c r="N9" s="472"/>
      <c r="O9" s="472"/>
      <c r="P9" s="472"/>
    </row>
    <row r="10" spans="1:16" outlineLevel="1">
      <c r="A10" s="474" t="s">
        <v>631</v>
      </c>
      <c r="B10" s="472"/>
      <c r="C10" s="472"/>
      <c r="D10" s="472"/>
      <c r="E10" s="472"/>
      <c r="F10" s="472"/>
      <c r="G10" s="504"/>
      <c r="H10" s="504"/>
      <c r="I10" s="472"/>
      <c r="J10" s="472"/>
      <c r="K10" s="472"/>
      <c r="L10" s="472"/>
      <c r="M10" s="472"/>
      <c r="N10" s="472"/>
      <c r="O10" s="472"/>
      <c r="P10" s="472"/>
    </row>
    <row r="11" spans="1:16" outlineLevel="1">
      <c r="A11" s="474"/>
      <c r="B11" s="472"/>
      <c r="C11" s="472"/>
      <c r="D11" s="472"/>
      <c r="E11" s="472"/>
      <c r="F11" s="472"/>
      <c r="G11" s="504"/>
      <c r="H11" s="504"/>
      <c r="I11" s="472"/>
      <c r="J11" s="472"/>
      <c r="K11" s="472"/>
      <c r="L11" s="472"/>
      <c r="M11" s="472"/>
      <c r="N11" s="472"/>
      <c r="O11" s="472"/>
      <c r="P11" s="472"/>
    </row>
    <row r="12" spans="1:16" ht="15.75" outlineLevel="1" thickBot="1">
      <c r="B12" s="472"/>
      <c r="C12" s="472"/>
      <c r="D12" s="472"/>
      <c r="E12" s="472"/>
      <c r="F12" s="472"/>
      <c r="G12" s="504"/>
      <c r="H12" s="504"/>
      <c r="I12" s="472"/>
      <c r="J12" s="472"/>
      <c r="K12" s="472"/>
      <c r="L12" s="472"/>
      <c r="M12" s="472"/>
      <c r="N12" s="472"/>
      <c r="O12" s="472"/>
      <c r="P12" s="472"/>
    </row>
    <row r="13" spans="1:16" ht="25.5" customHeight="1" outlineLevel="1" thickBot="1">
      <c r="A13" s="475" t="s">
        <v>593</v>
      </c>
      <c r="B13" s="457"/>
      <c r="C13" s="476"/>
      <c r="D13" s="476"/>
      <c r="E13" s="476"/>
      <c r="F13" s="476"/>
      <c r="G13" s="476"/>
      <c r="H13" s="476"/>
      <c r="I13" s="476"/>
      <c r="J13" s="476"/>
      <c r="K13" s="476"/>
      <c r="L13" s="476"/>
      <c r="M13" s="476"/>
      <c r="N13" s="476"/>
      <c r="O13" s="775" t="s">
        <v>653</v>
      </c>
      <c r="P13" s="775" t="s">
        <v>652</v>
      </c>
    </row>
    <row r="14" spans="1:16" outlineLevel="1"/>
    <row r="15" spans="1:16" s="469" customFormat="1" outlineLevel="1">
      <c r="A15" s="477" t="s">
        <v>304</v>
      </c>
      <c r="B15" s="478">
        <f>SUM(B4:B12)</f>
        <v>0</v>
      </c>
      <c r="C15" s="478">
        <f t="shared" ref="C15:P15" si="0">SUM(C4:C13)</f>
        <v>0</v>
      </c>
      <c r="D15" s="478">
        <f t="shared" si="0"/>
        <v>0</v>
      </c>
      <c r="E15" s="478">
        <f t="shared" si="0"/>
        <v>0</v>
      </c>
      <c r="F15" s="478">
        <f t="shared" si="0"/>
        <v>0</v>
      </c>
      <c r="G15" s="478"/>
      <c r="H15" s="478"/>
      <c r="I15" s="478">
        <f t="shared" si="0"/>
        <v>0</v>
      </c>
      <c r="J15" s="478">
        <f t="shared" si="0"/>
        <v>0</v>
      </c>
      <c r="K15" s="478">
        <f t="shared" si="0"/>
        <v>0</v>
      </c>
      <c r="L15" s="478">
        <f t="shared" si="0"/>
        <v>0</v>
      </c>
      <c r="M15" s="478">
        <f>SUM(M4:M13)</f>
        <v>0</v>
      </c>
      <c r="N15" s="478">
        <f t="shared" si="0"/>
        <v>0</v>
      </c>
      <c r="O15" s="478">
        <f>SUM(O4:O13)</f>
        <v>0</v>
      </c>
      <c r="P15" s="478">
        <f t="shared" si="0"/>
        <v>0</v>
      </c>
    </row>
    <row r="16" spans="1:16" outlineLevel="1">
      <c r="B16" s="481"/>
      <c r="C16" s="481"/>
      <c r="D16" s="481"/>
      <c r="E16" s="481"/>
      <c r="F16" s="481"/>
      <c r="G16" s="481"/>
      <c r="H16" s="481"/>
      <c r="I16" s="481"/>
      <c r="J16" s="481"/>
      <c r="K16" s="481"/>
      <c r="L16" s="481"/>
      <c r="M16" s="481"/>
      <c r="N16" s="481"/>
      <c r="O16" s="481"/>
      <c r="P16" s="481"/>
    </row>
    <row r="17" spans="1:16" outlineLevel="1">
      <c r="A17" s="482" t="s">
        <v>620</v>
      </c>
      <c r="B17" s="506">
        <f ca="1">'EF ele_warmte'!B12</f>
        <v>0.20804957814374317</v>
      </c>
      <c r="C17" s="506">
        <f ca="1">'EF ele_warmte'!B22</f>
        <v>0</v>
      </c>
      <c r="D17" s="506">
        <f>EF_CO2_aardgas</f>
        <v>0.20200000000000001</v>
      </c>
      <c r="E17" s="506">
        <f>EF_VLgas_CO2</f>
        <v>0.22700000000000001</v>
      </c>
      <c r="F17" s="506">
        <f>EF_stookolie_CO2</f>
        <v>0.26700000000000002</v>
      </c>
      <c r="G17" s="506"/>
      <c r="H17" s="506"/>
      <c r="I17" s="506">
        <f>EF_bruinkool_CO2</f>
        <v>0.35099999999999998</v>
      </c>
      <c r="J17" s="506">
        <f>EF_steenkool_CO2</f>
        <v>0.35399999999999998</v>
      </c>
      <c r="K17" s="506">
        <f>EF_anderfossiel_CO2</f>
        <v>0.26400000000000001</v>
      </c>
      <c r="L17" s="506">
        <f>'EF brandstof'!J4</f>
        <v>0</v>
      </c>
      <c r="M17" s="506">
        <f>'EF brandstof'!K4</f>
        <v>0</v>
      </c>
      <c r="N17" s="506">
        <f>'EF brandstof'!L4</f>
        <v>0</v>
      </c>
      <c r="O17" s="506">
        <v>0</v>
      </c>
      <c r="P17" s="506">
        <v>0</v>
      </c>
    </row>
    <row r="18" spans="1:16" outlineLevel="1">
      <c r="B18" s="481"/>
      <c r="C18" s="481"/>
      <c r="D18" s="481"/>
      <c r="E18" s="481"/>
      <c r="F18" s="481"/>
      <c r="G18" s="481"/>
      <c r="H18" s="481"/>
      <c r="I18" s="481"/>
      <c r="J18" s="481"/>
      <c r="K18" s="481"/>
      <c r="L18" s="481"/>
      <c r="M18" s="481"/>
      <c r="N18" s="481"/>
      <c r="O18" s="481"/>
      <c r="P18" s="481"/>
    </row>
    <row r="19" spans="1:16" outlineLevel="1">
      <c r="A19" s="477" t="s">
        <v>212</v>
      </c>
      <c r="B19" s="483">
        <f ca="1">B15*B17</f>
        <v>0</v>
      </c>
      <c r="C19" s="483">
        <f ca="1">C15*C17</f>
        <v>0</v>
      </c>
      <c r="D19" s="483">
        <f>D15*D17</f>
        <v>0</v>
      </c>
      <c r="E19" s="483">
        <f>E15*E17</f>
        <v>0</v>
      </c>
      <c r="F19" s="483">
        <f>F15*F17</f>
        <v>0</v>
      </c>
      <c r="G19" s="483"/>
      <c r="H19" s="483"/>
      <c r="I19" s="483">
        <f t="shared" ref="I19:P19" si="1">I15*I17</f>
        <v>0</v>
      </c>
      <c r="J19" s="483">
        <f t="shared" si="1"/>
        <v>0</v>
      </c>
      <c r="K19" s="483">
        <f t="shared" si="1"/>
        <v>0</v>
      </c>
      <c r="L19" s="483">
        <f t="shared" si="1"/>
        <v>0</v>
      </c>
      <c r="M19" s="483">
        <f t="shared" si="1"/>
        <v>0</v>
      </c>
      <c r="N19" s="483">
        <f t="shared" si="1"/>
        <v>0</v>
      </c>
      <c r="O19" s="483">
        <f t="shared" si="1"/>
        <v>0</v>
      </c>
      <c r="P19" s="483">
        <f t="shared" si="1"/>
        <v>0</v>
      </c>
    </row>
    <row r="22" spans="1:16" s="457" customFormat="1" ht="15" customHeight="1" outlineLevel="1">
      <c r="A22" s="484" t="s">
        <v>496</v>
      </c>
      <c r="B22" s="485"/>
      <c r="C22" s="486"/>
      <c r="D22" s="487"/>
      <c r="E22" s="488"/>
    </row>
    <row r="23" spans="1:16" s="49" customFormat="1" ht="15" customHeight="1" outlineLevel="1">
      <c r="A23" s="489"/>
      <c r="B23" s="490"/>
      <c r="C23" s="491" t="s">
        <v>378</v>
      </c>
      <c r="D23" s="491" t="s">
        <v>181</v>
      </c>
      <c r="E23" s="492"/>
    </row>
    <row r="24" spans="1:16" s="457" customFormat="1" ht="15" customHeight="1" outlineLevel="1">
      <c r="A24" s="493" t="s">
        <v>265</v>
      </c>
      <c r="B24" s="48">
        <f>EigenZB</f>
        <v>0</v>
      </c>
      <c r="C24" s="494"/>
      <c r="D24" s="893" t="s">
        <v>738</v>
      </c>
      <c r="E24" s="458"/>
    </row>
    <row r="25" spans="1:16" s="457" customFormat="1" outlineLevel="1">
      <c r="A25" s="493" t="s">
        <v>463</v>
      </c>
      <c r="B25" s="49">
        <v>4.2</v>
      </c>
      <c r="C25" s="494"/>
      <c r="D25" s="495" t="s">
        <v>524</v>
      </c>
      <c r="E25" s="471"/>
    </row>
    <row r="26" spans="1:16" s="457" customFormat="1" outlineLevel="1">
      <c r="A26" s="780" t="s">
        <v>464</v>
      </c>
      <c r="B26" s="781">
        <f>1.34/3.6</f>
        <v>0.37222222222222223</v>
      </c>
      <c r="C26" s="494" t="s">
        <v>217</v>
      </c>
      <c r="D26" s="495" t="s">
        <v>524</v>
      </c>
      <c r="E26" s="471"/>
    </row>
    <row r="27" spans="1:16" s="457" customFormat="1" outlineLevel="1">
      <c r="A27" s="496" t="s">
        <v>639</v>
      </c>
      <c r="B27" s="783">
        <f>B24*B25*B26</f>
        <v>0</v>
      </c>
      <c r="C27" s="497" t="s">
        <v>640</v>
      </c>
      <c r="D27" s="498"/>
      <c r="E27" s="499"/>
    </row>
    <row r="28" spans="1:16" s="457" customFormat="1" outlineLevel="1">
      <c r="A28" s="49"/>
      <c r="B28" s="49"/>
      <c r="C28" s="500"/>
      <c r="D28" s="494"/>
    </row>
    <row r="29" spans="1:16" s="457" customFormat="1" outlineLevel="1">
      <c r="A29" s="501" t="s">
        <v>497</v>
      </c>
      <c r="B29" s="485"/>
      <c r="C29" s="486"/>
      <c r="D29" s="487"/>
      <c r="E29" s="488"/>
    </row>
    <row r="30" spans="1:16" s="49" customFormat="1" outlineLevel="1">
      <c r="A30" s="502"/>
      <c r="B30" s="490"/>
      <c r="C30" s="491" t="s">
        <v>378</v>
      </c>
      <c r="D30" s="491" t="s">
        <v>181</v>
      </c>
      <c r="E30" s="492"/>
    </row>
    <row r="31" spans="1:16" s="457" customFormat="1" outlineLevel="1">
      <c r="A31" s="493" t="s">
        <v>462</v>
      </c>
      <c r="B31" s="48">
        <f>EigenWP</f>
        <v>0</v>
      </c>
      <c r="C31" s="494"/>
      <c r="D31" s="893" t="s">
        <v>414</v>
      </c>
      <c r="E31" s="458"/>
    </row>
    <row r="32" spans="1:16" s="457" customFormat="1" outlineLevel="1">
      <c r="A32" s="493" t="s">
        <v>460</v>
      </c>
      <c r="B32" s="49">
        <v>13</v>
      </c>
      <c r="C32" s="500" t="s">
        <v>262</v>
      </c>
      <c r="D32" s="495" t="s">
        <v>524</v>
      </c>
      <c r="E32" s="458"/>
    </row>
    <row r="33" spans="1:5" s="457" customFormat="1" outlineLevel="1">
      <c r="A33" s="493" t="s">
        <v>461</v>
      </c>
      <c r="B33" s="49">
        <v>2000</v>
      </c>
      <c r="C33" s="500" t="s">
        <v>264</v>
      </c>
      <c r="D33" s="495" t="s">
        <v>524</v>
      </c>
      <c r="E33" s="458"/>
    </row>
    <row r="34" spans="1:5" s="457" customFormat="1" outlineLevel="1">
      <c r="A34" s="780" t="s">
        <v>383</v>
      </c>
      <c r="B34" s="49">
        <v>3.75</v>
      </c>
      <c r="C34" s="500"/>
      <c r="D34" s="495" t="s">
        <v>524</v>
      </c>
      <c r="E34" s="458"/>
    </row>
    <row r="35" spans="1:5" s="457" customFormat="1" outlineLevel="1">
      <c r="A35" s="496" t="s">
        <v>639</v>
      </c>
      <c r="B35" s="782">
        <f>B31*B32*B33/1000-B31*B32*B33/1000/B34</f>
        <v>0</v>
      </c>
      <c r="C35" s="503" t="s">
        <v>640</v>
      </c>
      <c r="D35" s="498"/>
      <c r="E35" s="46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212</vt:i4>
      </vt:variant>
    </vt:vector>
  </HeadingPairs>
  <TitlesOfParts>
    <vt:vector size="244"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2020-06-20T16:29:22Z</dcterms:modified>
</cp:coreProperties>
</file>