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P11" i="14"/>
  <c r="O4" i="48"/>
  <c r="O22" i="48" s="1"/>
  <c r="B38" i="13"/>
  <c r="C24" i="14"/>
  <c r="C26" i="14" s="1"/>
  <c r="B7" i="48"/>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E7" i="48" l="1"/>
  <c r="E25" i="48" s="1"/>
  <c r="F24" i="14"/>
  <c r="F26" i="14" s="1"/>
  <c r="P33" i="48"/>
  <c r="Q63" i="14"/>
  <c r="O8" i="48"/>
  <c r="O26" i="48" s="1"/>
  <c r="P13" i="14"/>
  <c r="P16" i="14" s="1"/>
  <c r="P27" i="14" s="1"/>
  <c r="D16" i="14"/>
  <c r="D27" i="14" s="1"/>
  <c r="B20" i="6" s="1"/>
  <c r="B22" i="6" s="1"/>
  <c r="C22" i="56"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5" i="48"/>
  <c r="E23" i="48" s="1"/>
  <c r="F10" i="14"/>
  <c r="O15" i="48"/>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Q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J26" i="48" l="1"/>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<sst xmlns="http://schemas.openxmlformats.org/spreadsheetml/2006/main" count="2498" uniqueCount="954">
  <si>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</si>
  <si>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</si>
  <si>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</si>
  <si>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</si>
  <si>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</si>
  <si>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</si>
  <si>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</si>
  <si>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</si>
  <si>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</si>
  <si>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</si>
  <si>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</si>
  <si>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</si>
  <si>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</si>
  <si>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</si>
  <si>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</si>
  <si>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</si>
  <si>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</si>
  <si>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</si>
  <si>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</si>
  <si>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</si>
  <si>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</si>
  <si>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</si>
  <si>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</si>
  <si>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</si>
  <si>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</si>
  <si>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</si>
  <si>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</si>
  <si>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</si>
  <si>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</si>
  <si>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</si>
  <si>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</si>
  <si>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</si>
  <si>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</si>
  <si>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</si>
  <si>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</si>
  <si>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</si>
  <si>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</si>
  <si>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</si>
  <si>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</si>
  <si>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</si>
  <si>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</si>
  <si>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</si>
  <si>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</si>
  <si>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</si>
  <si>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</si>
  <si>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</si>
  <si>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</si>
  <si>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</si>
  <si>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</si>
  <si>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</si>
  <si>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</si>
  <si>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</si>
  <si>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</si>
  <si>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</si>
  <si>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</si>
  <si>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</si>
  <si>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</si>
  <si>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</si>
  <si>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</si>
  <si>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</si>
  <si>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</si>
  <si>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</si>
  <si>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</si>
  <si>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</si>
  <si>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</si>
  <si>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</si>
  <si>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</si>
  <si>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</si>
  <si>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</si>
  <si>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</si>
  <si>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</si>
  <si>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</si>
  <si>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</si>
  <si>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</si>
  <si>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</si>
  <si>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</si>
  <si>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</si>
  <si>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</si>
  <si>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</si>
  <si>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</si>
  <si>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</si>
  <si>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</si>
  <si>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</si>
  <si>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</si>
  <si>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</si>
  <si>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</si>
  <si>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</si>
  <si>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</si>
  <si>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</si>
  <si>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</si>
  <si>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</si>
  <si>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</si>
  <si>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</si>
  <si>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</si>
  <si>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</si>
  <si>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</si>
  <si>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</si>
  <si>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</si>
  <si>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</si>
  <si>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</si>
  <si>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</si>
  <si>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</si>
  <si>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</si>
  <si>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</si>
  <si>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</si>
  <si>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</si>
  <si>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</si>
  <si>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</si>
  <si>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</si>
  <si>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</si>
  <si>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</si>
  <si>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</si>
  <si>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</si>
  <si>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</si>
  <si>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</si>
  <si>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</si>
  <si>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</si>
  <si>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</si>
  <si>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</si>
  <si>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</si>
  <si>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</si>
  <si>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</si>
  <si>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</si>
  <si>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</si>
  <si>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</si>
  <si>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</si>
  <si>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</si>
  <si>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</si>
  <si>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</si>
  <si>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</si>
  <si>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</si>
  <si>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</si>
  <si>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</si>
  <si>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</si>
  <si>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</si>
  <si>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</si>
  <si>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</si>
  <si>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</si>
  <si>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</si>
  <si>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</si>
  <si>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</si>
  <si>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</si>
  <si>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</si>
  <si>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</si>
  <si>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</si>
  <si>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</si>
  <si>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</si>
  <si>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</si>
  <si>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</si>
  <si>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</si>
  <si>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</si>
  <si>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</si>
  <si>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</si>
  <si>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</si>
  <si>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</si>
  <si>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</si>
  <si>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</si>
  <si>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</si>
  <si>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</si>
  <si>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</si>
  <si>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</si>
  <si>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</si>
  <si>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</si>
  <si>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</si>
  <si>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</si>
  <si>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</si>
  <si>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</si>
  <si>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</si>
  <si>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</si>
  <si>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</si>
  <si>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</si>
  <si>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</si>
  <si>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</si>
  <si>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</si>
  <si>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</si>
  <si>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</si>
  <si>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</si>
  <si>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</si>
  <si>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</si>
  <si>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</si>
  <si>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</si>
  <si>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</si>
  <si>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</si>
  <si>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</si>
  <si>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</si>
  <si>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</si>
  <si>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</si>
  <si>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</si>
  <si>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</si>
  <si>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</si>
  <si>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</si>
  <si>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</si>
  <si>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</si>
  <si>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</si>
  <si>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</si>
  <si>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</si>
  <si>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</si>
  <si>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</si>
  <si>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</si>
  <si>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</si>
  <si>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</si>
  <si>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</si>
  <si>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</si>
  <si>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</si>
  <si>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</si>
  <si>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</si>
  <si>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</si>
  <si>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</si>
  <si>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</si>
  <si>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</si>
  <si>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</si>
  <si>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</si>
  <si>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</si>
  <si>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</si>
  <si>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</si>
  <si>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</si>
  <si>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</si>
  <si>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</si>
  <si>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</si>
  <si>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</si>
  <si>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</si>
  <si>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</si>
  <si>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</si>
  <si>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</si>
  <si>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</si>
  <si>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</si>
  <si>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</si>
  <si>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</si>
  <si>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</si>
  <si>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</si>
  <si>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</si>
  <si>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</si>
  <si>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</si>
  <si>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</si>
  <si>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</si>
  <si>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</si>
  <si>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</si>
  <si>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</si>
  <si>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</si>
  <si>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</si>
  <si>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</si>
  <si>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</si>
  <si>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</si>
  <si>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</si>
  <si>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</si>
  <si>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</si>
  <si>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</si>
  <si>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</si>
  <si>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</si>
  <si>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</si>
  <si>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</si>
  <si>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</si>
  <si>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</si>
  <si>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</si>
  <si>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</si>
  <si>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</si>
  <si>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</si>
  <si>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</si>
  <si>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</si>
  <si>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</si>
  <si>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</si>
  <si>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</si>
  <si>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</si>
  <si>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</si>
  <si>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</si>
  <si>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</si>
  <si>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</si>
  <si>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</si>
  <si>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</si>
  <si>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</si>
  <si>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</si>
  <si>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</si>
  <si>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</si>
  <si>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</si>
  <si>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</si>
  <si>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</si>
  <si>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</si>
  <si>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</si>
  <si>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</si>
  <si>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</si>
  <si>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</si>
  <si>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</si>
  <si>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</si>
  <si>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</si>
  <si>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</si>
  <si>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</si>
  <si>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</si>
  <si>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</si>
  <si>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</si>
  <si>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</si>
  <si>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</si>
  <si>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</si>
  <si>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</si>
  <si>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</si>
  <si>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</si>
  <si>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</si>
  <si>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</si>
  <si>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</si>
  <si>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</si>
  <si>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</si>
  <si>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</si>
  <si>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</si>
  <si>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</si>
  <si>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</si>
  <si>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</si>
  <si>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</si>
  <si>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</si>
  <si>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</si>
  <si>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</si>
  <si>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</si>
  <si>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</si>
  <si>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</si>
  <si>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</si>
  <si>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</si>
  <si>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</si>
  <si>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</si>
  <si>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</si>
  <si>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</si>
  <si>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</si>
  <si>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</si>
  <si>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</si>
  <si>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</si>
  <si>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</si>
  <si>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</si>
  <si>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</si>
  <si>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</si>
  <si>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</si>
  <si>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</si>
  <si>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</si>
  <si>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</si>
  <si>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</si>
  <si>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</si>
  <si>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</si>
  <si>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</si>
  <si>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</si>
  <si>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</si>
  <si>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</si>
  <si>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</si>
  <si>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</si>
  <si>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</si>
  <si>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</si>
  <si>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</si>
  <si>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</si>
  <si>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</si>
  <si>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</si>
  <si>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</si>
  <si>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</si>
  <si>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</si>
  <si>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</si>
  <si>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</si>
  <si>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</si>
  <si>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</si>
  <si>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</si>
  <si>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</si>
  <si>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</si>
  <si>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</si>
  <si>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</si>
  <si>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</si>
  <si>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</si>
  <si>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</si>
  <si>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</si>
  <si>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</si>
  <si>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</si>
  <si>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</si>
  <si>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</si>
  <si>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</si>
  <si>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</si>
  <si>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</si>
  <si>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</si>
  <si>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</si>
  <si>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</si>
  <si>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</si>
  <si>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</si>
  <si>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</si>
  <si>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</si>
  <si>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</si>
  <si>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</si>
  <si>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</si>
  <si>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</si>
  <si>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</si>
  <si>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</si>
  <si>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</si>
  <si>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</si>
  <si>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</si>
  <si>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</si>
  <si>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</si>
  <si>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</si>
  <si>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</si>
  <si>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</si>
  <si>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</si>
  <si>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</si>
  <si>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</si>
  <si>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</si>
  <si>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</si>
  <si>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</si>
  <si>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</si>
  <si>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</si>
  <si>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</si>
  <si>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</si>
  <si>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</si>
  <si>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</si>
  <si>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</si>
  <si>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</si>
  <si>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</si>
  <si>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</si>
  <si>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</si>
  <si>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</si>
  <si>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</si>
  <si>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</si>
  <si>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</si>
  <si>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</si>
  <si>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</si>
  <si>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</si>
  <si>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</si>
  <si>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</si>
  <si>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</si>
  <si>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</si>
  <si>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</si>
  <si>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</si>
  <si>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</si>
  <si>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</si>
  <si>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</si>
  <si>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</si>
  <si>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</si>
  <si>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</si>
  <si>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</si>
  <si>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</si>
  <si>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</si>
  <si>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</si>
  <si>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</si>
  <si>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</si>
  <si>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</si>
  <si>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</si>
  <si>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</si>
  <si>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</si>
  <si>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</si>
  <si>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</si>
  <si>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</si>
  <si>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</si>
  <si>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</si>
  <si>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</si>
  <si>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</si>
  <si>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</si>
  <si>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</si>
  <si>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</si>
  <si>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</si>
  <si>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</si>
  <si>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</si>
  <si>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</si>
  <si>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</si>
  <si>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</si>
  <si>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</si>
  <si>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</si>
  <si>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</si>
  <si>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</si>
  <si>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</si>
  <si>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</si>
  <si>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</si>
  <si>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</si>
  <si>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</si>
  <si>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</si>
  <si>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</si>
  <si>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</si>
  <si>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</si>
  <si>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</si>
  <si>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</si>
  <si>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</si>
  <si>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</si>
  <si>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</si>
  <si>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</si>
  <si>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</si>
  <si>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</si>
  <si>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</si>
  <si>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</si>
  <si>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</si>
  <si>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</si>
  <si>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</si>
  <si>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</si>
  <si>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</si>
  <si>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</si>
  <si>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</si>
  <si>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</si>
  <si>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</si>
  <si>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</si>
  <si>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</si>
  <si>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</si>
  <si>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</si>
  <si>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</si>
  <si>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</si>
  <si>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</si>
  <si>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</si>
  <si>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</si>
  <si>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</si>
  <si>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</si>
  <si>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</si>
  <si>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</si>
  <si>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</si>
  <si>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</si>
  <si>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</si>
  <si>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</si>
  <si>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</si>
  <si>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</si>
  <si>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</si>
  <si>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</si>
  <si>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</si>
  <si>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</si>
  <si>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</si>
  <si>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</si>
  <si>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</si>
  <si>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</si>
  <si>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</si>
  <si>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</si>
  <si>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</si>
  <si>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</si>
  <si>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</si>
  <si>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</si>
  <si>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</si>
  <si>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</si>
  <si>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</si>
  <si>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</si>
  <si>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</si>
  <si>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</si>
  <si>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</si>
  <si>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</si>
  <si>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</si>
  <si>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</si>
  <si>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</si>
  <si>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</si>
  <si>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</si>
  <si>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</si>
  <si>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</si>
  <si>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</si>
  <si>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</si>
  <si>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</si>
  <si>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</si>
  <si>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</si>
  <si>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</si>
  <si>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</si>
  <si>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</si>
  <si>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</si>
  <si>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</si>
  <si>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</si>
  <si>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</si>
  <si>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</si>
  <si>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</si>
  <si>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</si>
  <si>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</si>
  <si>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</si>
  <si>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</si>
  <si>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</si>
  <si>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</si>
  <si>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</si>
  <si>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</si>
  <si>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</si>
  <si>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</si>
  <si>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</si>
  <si>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</si>
  <si>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</si>
  <si>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</si>
  <si>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</si>
  <si>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</si>
  <si>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</si>
  <si>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</si>
  <si>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</si>
  <si>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</si>
  <si>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</si>
  <si>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</si>
  <si>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</si>
  <si>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</si>
  <si>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</si>
  <si>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</si>
  <si>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</si>
  <si>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</si>
  <si>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</si>
  <si>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</si>
  <si>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</si>
  <si>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</si>
  <si>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</si>
  <si>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</si>
  <si>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</si>
  <si>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</si>
  <si>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</si>
  <si>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</si>
  <si>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</si>
  <si>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</si>
  <si>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</si>
  <si>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</si>
  <si>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</si>
  <si>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</si>
  <si>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</si>
  <si>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</si>
  <si>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</si>
  <si>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</si>
  <si>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</si>
  <si>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</si>
  <si>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</si>
  <si>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</si>
  <si>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</si>
  <si>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</si>
  <si>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</si>
  <si>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</si>
  <si>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</si>
  <si>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</si>
  <si>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</si>
  <si>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</si>
  <si>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</si>
  <si>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</si>
  <si>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</si>
  <si>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</si>
  <si>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</si>
  <si>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</si>
  <si>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</si>
  <si>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</si>
  <si>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</si>
  <si>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</si>
  <si>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</si>
  <si>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</si>
  <si>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</si>
  <si>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</si>
  <si>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</si>
  <si>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</si>
  <si>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</si>
  <si>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</si>
  <si>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</si>
  <si>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</si>
  <si>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</si>
  <si>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</si>
  <si>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</si>
  <si>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</si>
  <si>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</si>
  <si>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</si>
  <si>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</si>
  <si>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</si>
  <si>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</si>
  <si>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</si>
  <si>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</si>
  <si>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</si>
  <si>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</si>
  <si>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</si>
  <si>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</si>
  <si>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</si>
  <si>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</si>
  <si>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</si>
  <si>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</si>
  <si>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</si>
  <si>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</si>
  <si>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</si>
  <si>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</si>
  <si>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</si>
  <si>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</si>
  <si>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</si>
  <si>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</si>
  <si>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</si>
  <si>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</si>
  <si>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</si>
  <si>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</si>
  <si>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</si>
  <si>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</si>
  <si>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</si>
  <si>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</si>
  <si>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</si>
  <si>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</si>
  <si>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</si>
  <si>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</si>
  <si>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</si>
  <si>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</si>
  <si>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</si>
  <si>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</si>
  <si>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</si>
  <si>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</si>
  <si>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</si>
  <si>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</si>
  <si>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</si>
  <si>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</si>
  <si>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</si>
  <si>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</si>
  <si>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</si>
  <si>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</si>
  <si>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</si>
  <si>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</si>
  <si>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</si>
  <si>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</si>
  <si>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</si>
  <si>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</si>
  <si>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</si>
  <si>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</si>
  <si>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</si>
  <si>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</si>
  <si>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</si>
  <si>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</si>
  <si>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</si>
  <si>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</si>
  <si>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</si>
  <si>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</si>
  <si>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</si>
  <si>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</si>
  <si>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</si>
  <si>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</si>
  <si>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</si>
  <si>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</si>
  <si>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</si>
  <si>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</si>
  <si>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</si>
  <si>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</si>
  <si>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</si>
  <si>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</si>
  <si>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</si>
  <si>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</si>
  <si>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</si>
  <si>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</si>
  <si>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</si>
  <si>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</si>
  <si>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</si>
  <si>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</si>
  <si>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</si>
  <si>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</si>
  <si>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</si>
  <si>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</si>
  <si>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</si>
  <si>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</si>
  <si>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</si>
  <si>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</si>
  <si>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</si>
  <si>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</si>
  <si>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</si>
  <si>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</si>
  <si>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</si>
  <si>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</si>
  <si>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</si>
  <si>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</si>
  <si>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</si>
  <si>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</si>
  <si>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</si>
  <si>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</si>
  <si>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</si>
  <si>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</si>
  <si>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</si>
  <si>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</si>
  <si>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</si>
  <si>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</si>
  <si>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</si>
  <si>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</si>
  <si>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</si>
  <si>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</si>
  <si>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</si>
  <si>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</si>
  <si>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</si>
  <si>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</si>
  <si>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</si>
  <si>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</si>
  <si>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</si>
  <si>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</si>
  <si>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</si>
  <si>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</si>
  <si>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</si>
  <si>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</si>
  <si>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</si>
  <si>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</si>
  <si>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</si>
  <si>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</si>
  <si>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</si>
  <si>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</si>
  <si>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</si>
  <si>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</si>
  <si>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</si>
  <si>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</si>
  <si>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</si>
  <si>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</si>
  <si>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</si>
  <si>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</si>
  <si>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</si>
  <si>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</si>
  <si>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</si>
  <si>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</si>
  <si>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</si>
  <si>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</si>
  <si>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</si>
  <si>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</si>
  <si>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</si>
  <si>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</si>
  <si>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</si>
  <si>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</si>
  <si>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</si>
  <si>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</si>
  <si>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</si>
  <si>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</si>
  <si>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</si>
  <si>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</si>
  <si>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</si>
  <si>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</si>
  <si>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</si>
  <si>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</si>
  <si>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</si>
  <si>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</si>
  <si>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</si>
  <si>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</si>
  <si>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</si>
  <si>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</si>
  <si>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</si>
  <si>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</si>
  <si>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</si>
  <si>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</si>
  <si>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</si>
  <si>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</si>
  <si>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</si>
  <si>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</si>
  <si>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</si>
  <si>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</si>
  <si>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</si>
  <si>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</si>
  <si>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</si>
  <si>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</si>
  <si>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</si>
  <si>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</si>
  <si>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</si>
  <si>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</si>
  <si>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</si>
  <si>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</si>
  <si>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</si>
  <si>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</si>
  <si>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</si>
  <si>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</si>
  <si>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</si>
  <si>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</si>
  <si>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</si>
  <si>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</si>
  <si>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</si>
  <si>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</si>
  <si>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</si>
  <si>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</si>
  <si>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</si>
  <si>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</si>
  <si>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</si>
  <si>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</si>
  <si>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</si>
  <si>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</si>
  <si>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</si>
  <si>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</si>
  <si>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</si>
  <si>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</si>
  <si>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</si>
  <si>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</si>
  <si>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</si>
  <si>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</si>
  <si>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</si>
  <si>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</si>
  <si>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</si>
  <si>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</si>
  <si>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</si>
  <si>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</si>
  <si>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</si>
  <si>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</si>
  <si>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</si>
  <si>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</si>
  <si>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</si>
  <si>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</si>
  <si>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</si>
  <si>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</si>
  <si>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</si>
  <si>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</si>
  <si>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</si>
  <si>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</si>
  <si>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</si>
  <si>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</si>
  <si>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</si>
  <si>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</si>
  <si>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</si>
  <si>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</si>
  <si>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</si>
  <si>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</si>
  <si>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</si>
  <si>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</si>
  <si>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</si>
  <si>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</si>
  <si>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</si>
  <si>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</si>
  <si>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</si>
  <si>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</si>
  <si>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</si>
  <si>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</si>
  <si>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</si>
  <si>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</si>
  <si>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</si>
  <si>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</si>
  <si>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</si>
  <si>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</si>
  <si>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</si>
  <si>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</si>
  <si>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</si>
  <si>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</si>
  <si>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</si>
  <si>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</si>
  <si>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</si>
  <si>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</si>
  <si>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</si>
  <si>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</si>
  <si>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</si>
  <si>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</si>
  <si>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</si>
  <si>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</si>
  <si>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</si>
  <si>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</si>
  <si>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</si>
  <si>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</si>
  <si>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</si>
  <si>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</si>
  <si>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</si>
  <si>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</si>
  <si>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</si>
  <si>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</si>
  <si>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</si>
  <si>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</si>
  <si>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</si>
  <si>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</si>
  <si>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</si>
  <si>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</si>
  <si>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</si>
  <si>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</si>
  <si>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</si>
  <si>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</si>
  <si>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</si>
  <si>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</si>
  <si>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</si>
  <si>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</si>
  <si>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</si>
  <si>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</si>
  <si>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</si>
  <si>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</si>
  <si>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</si>
  <si>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</si>
  <si>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</si>
  <si>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</si>
  <si>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</si>
  <si>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</si>
  <si>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</si>
  <si>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</si>
  <si>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</si>
  <si>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</si>
  <si>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</si>
  <si>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</si>
  <si>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</si>
  <si>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</si>
  <si>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</si>
  <si>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</si>
  <si>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</si>
  <si>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</si>
  <si>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</si>
  <si>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</si>
  <si>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24033</t>
  </si>
  <si>
    <t>HAACHT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</si>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</sst>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24033</v>
      </c>
      <c r="B6" s="394"/>
      <c r="C6" s="395"/>
    </row>
    <row r="7" spans="1:7" s="392" customFormat="1" ht="15.75" customHeight="1">
      <c r="A7" s="396" t="str">
        <f>txtMunicipality</f>
        <v>HAACHT</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0.20799098482755121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0.20799098482755121</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5602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1065</v>
      </c>
      <c r="C14" s="332"/>
      <c r="D14" s="332"/>
      <c r="E14" s="332"/>
      <c r="F14" s="332"/>
    </row>
    <row r="15" spans="1:6">
      <c r="A15" s="1299" t="s">
        <v>183</v>
      </c>
      <c r="B15" s="1300">
        <v>1</v>
      </c>
      <c r="C15" s="332"/>
      <c r="D15" s="332"/>
      <c r="E15" s="332"/>
      <c r="F15" s="332"/>
    </row>
    <row r="16" spans="1:6">
      <c r="A16" s="1299" t="s">
        <v>6</v>
      </c>
      <c r="B16" s="1300">
        <v>0</v>
      </c>
      <c r="C16" s="332"/>
      <c r="D16" s="332"/>
      <c r="E16" s="332"/>
      <c r="F16" s="332"/>
    </row>
    <row r="17" spans="1:6">
      <c r="A17" s="1299" t="s">
        <v>7</v>
      </c>
      <c r="B17" s="1300">
        <v>160</v>
      </c>
      <c r="C17" s="332"/>
      <c r="D17" s="332"/>
      <c r="E17" s="332"/>
      <c r="F17" s="332"/>
    </row>
    <row r="18" spans="1:6">
      <c r="A18" s="1299" t="s">
        <v>8</v>
      </c>
      <c r="B18" s="1300">
        <v>314</v>
      </c>
      <c r="C18" s="332"/>
      <c r="D18" s="332"/>
      <c r="E18" s="332"/>
      <c r="F18" s="332"/>
    </row>
    <row r="19" spans="1:6">
      <c r="A19" s="1299" t="s">
        <v>9</v>
      </c>
      <c r="B19" s="1300">
        <v>695</v>
      </c>
      <c r="C19" s="332"/>
      <c r="D19" s="332"/>
      <c r="E19" s="332"/>
      <c r="F19" s="332"/>
    </row>
    <row r="20" spans="1:6">
      <c r="A20" s="1299" t="s">
        <v>10</v>
      </c>
      <c r="B20" s="1300">
        <v>127</v>
      </c>
      <c r="C20" s="332"/>
      <c r="D20" s="332"/>
      <c r="E20" s="332"/>
      <c r="F20" s="332"/>
    </row>
    <row r="21" spans="1:6">
      <c r="A21" s="1299" t="s">
        <v>11</v>
      </c>
      <c r="B21" s="1300">
        <v>2254</v>
      </c>
      <c r="C21" s="332"/>
      <c r="D21" s="332"/>
      <c r="E21" s="332"/>
      <c r="F21" s="332"/>
    </row>
    <row r="22" spans="1:6">
      <c r="A22" s="1299" t="s">
        <v>12</v>
      </c>
      <c r="B22" s="1300">
        <v>2368</v>
      </c>
      <c r="C22" s="332"/>
      <c r="D22" s="332"/>
      <c r="E22" s="332"/>
      <c r="F22" s="332"/>
    </row>
    <row r="23" spans="1:6">
      <c r="A23" s="1299" t="s">
        <v>13</v>
      </c>
      <c r="B23" s="1300">
        <v>68</v>
      </c>
      <c r="C23" s="332"/>
      <c r="D23" s="332"/>
      <c r="E23" s="332"/>
      <c r="F23" s="332"/>
    </row>
    <row r="24" spans="1:6">
      <c r="A24" s="1299" t="s">
        <v>14</v>
      </c>
      <c r="B24" s="1300">
        <v>3</v>
      </c>
      <c r="C24" s="332"/>
      <c r="D24" s="332"/>
      <c r="E24" s="332"/>
      <c r="F24" s="332"/>
    </row>
    <row r="25" spans="1:6">
      <c r="A25" s="1299" t="s">
        <v>15</v>
      </c>
      <c r="B25" s="1300">
        <v>500</v>
      </c>
      <c r="C25" s="332"/>
      <c r="D25" s="332"/>
      <c r="E25" s="332"/>
      <c r="F25" s="332"/>
    </row>
    <row r="26" spans="1:6">
      <c r="A26" s="1299" t="s">
        <v>16</v>
      </c>
      <c r="B26" s="1300">
        <v>37</v>
      </c>
      <c r="C26" s="332"/>
      <c r="D26" s="332"/>
      <c r="E26" s="332"/>
      <c r="F26" s="332"/>
    </row>
    <row r="27" spans="1:6">
      <c r="A27" s="1299" t="s">
        <v>17</v>
      </c>
      <c r="B27" s="1300">
        <v>8</v>
      </c>
      <c r="C27" s="332"/>
      <c r="D27" s="332"/>
      <c r="E27" s="332"/>
      <c r="F27" s="332"/>
    </row>
    <row r="28" spans="1:6" s="44" customFormat="1">
      <c r="A28" s="1301" t="s">
        <v>18</v>
      </c>
      <c r="B28" s="1302">
        <v>2</v>
      </c>
      <c r="C28" s="338"/>
      <c r="D28" s="338"/>
      <c r="E28" s="338"/>
      <c r="F28" s="338"/>
    </row>
    <row r="29" spans="1:6">
      <c r="A29" s="1301" t="s">
        <v>950</v>
      </c>
      <c r="B29" s="1302">
        <v>83</v>
      </c>
      <c r="C29" s="338"/>
      <c r="D29" s="338"/>
      <c r="E29" s="338"/>
      <c r="F29" s="338"/>
    </row>
    <row r="30" spans="1:6">
      <c r="A30" s="1294" t="s">
        <v>951</v>
      </c>
      <c r="B30" s="1303">
        <v>10</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3</v>
      </c>
      <c r="D38" s="1300">
        <v>189648.76453025301</v>
      </c>
      <c r="E38" s="1300">
        <v>1</v>
      </c>
      <c r="F38" s="1300">
        <v>8612.7751882564007</v>
      </c>
    </row>
    <row r="39" spans="1:6">
      <c r="A39" s="1299" t="s">
        <v>29</v>
      </c>
      <c r="B39" s="1299" t="s">
        <v>30</v>
      </c>
      <c r="C39" s="1300">
        <v>1960</v>
      </c>
      <c r="D39" s="1300">
        <v>35885952.455666304</v>
      </c>
      <c r="E39" s="1300">
        <v>5588</v>
      </c>
      <c r="F39" s="1300">
        <v>26716683.429301798</v>
      </c>
    </row>
    <row r="40" spans="1:6">
      <c r="A40" s="1299" t="s">
        <v>29</v>
      </c>
      <c r="B40" s="1299" t="s">
        <v>28</v>
      </c>
      <c r="C40" s="1300">
        <v>0</v>
      </c>
      <c r="D40" s="1300">
        <v>0</v>
      </c>
      <c r="E40" s="1300">
        <v>0</v>
      </c>
      <c r="F40" s="1300">
        <v>0</v>
      </c>
    </row>
    <row r="41" spans="1:6">
      <c r="A41" s="1299" t="s">
        <v>31</v>
      </c>
      <c r="B41" s="1299" t="s">
        <v>32</v>
      </c>
      <c r="C41" s="1300">
        <v>10</v>
      </c>
      <c r="D41" s="1300">
        <v>240089.30984240901</v>
      </c>
      <c r="E41" s="1300">
        <v>55</v>
      </c>
      <c r="F41" s="1300">
        <v>620318.06834033295</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12</v>
      </c>
      <c r="F44" s="1300">
        <v>1007569.44688778</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6</v>
      </c>
      <c r="F47" s="1300">
        <v>56774.747792383903</v>
      </c>
    </row>
    <row r="48" spans="1:6">
      <c r="A48" s="1299" t="s">
        <v>31</v>
      </c>
      <c r="B48" s="1299" t="s">
        <v>28</v>
      </c>
      <c r="C48" s="1300">
        <v>18</v>
      </c>
      <c r="D48" s="1300">
        <v>912236.23161188501</v>
      </c>
      <c r="E48" s="1300">
        <v>23</v>
      </c>
      <c r="F48" s="1300">
        <v>7858013.4121869998</v>
      </c>
    </row>
    <row r="49" spans="1:6">
      <c r="A49" s="1299" t="s">
        <v>31</v>
      </c>
      <c r="B49" s="1299" t="s">
        <v>39</v>
      </c>
      <c r="C49" s="1300">
        <v>0</v>
      </c>
      <c r="D49" s="1300">
        <v>0</v>
      </c>
      <c r="E49" s="1300">
        <v>0</v>
      </c>
      <c r="F49" s="1300">
        <v>0</v>
      </c>
    </row>
    <row r="50" spans="1:6">
      <c r="A50" s="1299" t="s">
        <v>31</v>
      </c>
      <c r="B50" s="1299" t="s">
        <v>40</v>
      </c>
      <c r="C50" s="1300">
        <v>0</v>
      </c>
      <c r="D50" s="1300">
        <v>0</v>
      </c>
      <c r="E50" s="1300">
        <v>3</v>
      </c>
      <c r="F50" s="1300">
        <v>214917.078274264</v>
      </c>
    </row>
    <row r="51" spans="1:6">
      <c r="A51" s="1299" t="s">
        <v>41</v>
      </c>
      <c r="B51" s="1299" t="s">
        <v>42</v>
      </c>
      <c r="C51" s="1300">
        <v>0</v>
      </c>
      <c r="D51" s="1300">
        <v>0</v>
      </c>
      <c r="E51" s="1300">
        <v>25</v>
      </c>
      <c r="F51" s="1300">
        <v>314664.68072651402</v>
      </c>
    </row>
    <row r="52" spans="1:6">
      <c r="A52" s="1299" t="s">
        <v>41</v>
      </c>
      <c r="B52" s="1299" t="s">
        <v>28</v>
      </c>
      <c r="C52" s="1300">
        <v>2</v>
      </c>
      <c r="D52" s="1300">
        <v>207530.16722825399</v>
      </c>
      <c r="E52" s="1300">
        <v>10</v>
      </c>
      <c r="F52" s="1300">
        <v>152762.43731825199</v>
      </c>
    </row>
    <row r="53" spans="1:6">
      <c r="A53" s="1299" t="s">
        <v>43</v>
      </c>
      <c r="B53" s="1299" t="s">
        <v>44</v>
      </c>
      <c r="C53" s="1300">
        <v>42</v>
      </c>
      <c r="D53" s="1300">
        <v>2305566.6937989499</v>
      </c>
      <c r="E53" s="1300">
        <v>134</v>
      </c>
      <c r="F53" s="1300">
        <v>780006.82165433397</v>
      </c>
    </row>
    <row r="54" spans="1:6">
      <c r="A54" s="1299" t="s">
        <v>45</v>
      </c>
      <c r="B54" s="1299" t="s">
        <v>46</v>
      </c>
      <c r="C54" s="1300">
        <v>0</v>
      </c>
      <c r="D54" s="1300">
        <v>0</v>
      </c>
      <c r="E54" s="1300">
        <v>1</v>
      </c>
      <c r="F54" s="1300">
        <v>1158651</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11</v>
      </c>
      <c r="D57" s="1300">
        <v>481587.04082387401</v>
      </c>
      <c r="E57" s="1300">
        <v>52</v>
      </c>
      <c r="F57" s="1300">
        <v>1774757.44366408</v>
      </c>
    </row>
    <row r="58" spans="1:6">
      <c r="A58" s="1299" t="s">
        <v>48</v>
      </c>
      <c r="B58" s="1299" t="s">
        <v>50</v>
      </c>
      <c r="C58" s="1300">
        <v>8</v>
      </c>
      <c r="D58" s="1300">
        <v>314165.06421617197</v>
      </c>
      <c r="E58" s="1300">
        <v>28</v>
      </c>
      <c r="F58" s="1300">
        <v>316448.164075737</v>
      </c>
    </row>
    <row r="59" spans="1:6">
      <c r="A59" s="1299" t="s">
        <v>48</v>
      </c>
      <c r="B59" s="1299" t="s">
        <v>51</v>
      </c>
      <c r="C59" s="1300">
        <v>22</v>
      </c>
      <c r="D59" s="1300">
        <v>562234.90356166603</v>
      </c>
      <c r="E59" s="1300">
        <v>102</v>
      </c>
      <c r="F59" s="1300">
        <v>4041982.1912217</v>
      </c>
    </row>
    <row r="60" spans="1:6">
      <c r="A60" s="1299" t="s">
        <v>48</v>
      </c>
      <c r="B60" s="1299" t="s">
        <v>52</v>
      </c>
      <c r="C60" s="1300">
        <v>21</v>
      </c>
      <c r="D60" s="1300">
        <v>798928.81453174795</v>
      </c>
      <c r="E60" s="1300">
        <v>50</v>
      </c>
      <c r="F60" s="1300">
        <v>945084.77994546399</v>
      </c>
    </row>
    <row r="61" spans="1:6">
      <c r="A61" s="1299" t="s">
        <v>48</v>
      </c>
      <c r="B61" s="1299" t="s">
        <v>53</v>
      </c>
      <c r="C61" s="1300">
        <v>48</v>
      </c>
      <c r="D61" s="1300">
        <v>2567578.9021307202</v>
      </c>
      <c r="E61" s="1300">
        <v>237</v>
      </c>
      <c r="F61" s="1300">
        <v>3286325.5270434199</v>
      </c>
    </row>
    <row r="62" spans="1:6">
      <c r="A62" s="1299" t="s">
        <v>48</v>
      </c>
      <c r="B62" s="1299" t="s">
        <v>54</v>
      </c>
      <c r="C62" s="1300">
        <v>4</v>
      </c>
      <c r="D62" s="1300">
        <v>263808.58781909</v>
      </c>
      <c r="E62" s="1300">
        <v>10</v>
      </c>
      <c r="F62" s="1300">
        <v>179198.757178798</v>
      </c>
    </row>
    <row r="63" spans="1:6">
      <c r="A63" s="1299" t="s">
        <v>48</v>
      </c>
      <c r="B63" s="1299" t="s">
        <v>28</v>
      </c>
      <c r="C63" s="1300">
        <v>73</v>
      </c>
      <c r="D63" s="1300">
        <v>3521702.1386785698</v>
      </c>
      <c r="E63" s="1300">
        <v>101</v>
      </c>
      <c r="F63" s="1300">
        <v>2455559.2611133102</v>
      </c>
    </row>
    <row r="64" spans="1:6">
      <c r="A64" s="1299" t="s">
        <v>55</v>
      </c>
      <c r="B64" s="1299" t="s">
        <v>56</v>
      </c>
      <c r="C64" s="1300">
        <v>0</v>
      </c>
      <c r="D64" s="1300">
        <v>0</v>
      </c>
      <c r="E64" s="1300">
        <v>0</v>
      </c>
      <c r="F64" s="1300">
        <v>0</v>
      </c>
    </row>
    <row r="65" spans="1:6">
      <c r="A65" s="1299" t="s">
        <v>55</v>
      </c>
      <c r="B65" s="1299" t="s">
        <v>28</v>
      </c>
      <c r="C65" s="1300">
        <v>2</v>
      </c>
      <c r="D65" s="1300">
        <v>65287.071705742499</v>
      </c>
      <c r="E65" s="1300">
        <v>2</v>
      </c>
      <c r="F65" s="1300">
        <v>23639.018419675998</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8</v>
      </c>
      <c r="F68" s="1303">
        <v>171062.483929821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33384774</v>
      </c>
      <c r="E73" s="455"/>
      <c r="F73" s="332"/>
    </row>
    <row r="74" spans="1:6">
      <c r="A74" s="1299" t="s">
        <v>63</v>
      </c>
      <c r="B74" s="1299" t="s">
        <v>768</v>
      </c>
      <c r="C74" s="1313" t="s">
        <v>762</v>
      </c>
      <c r="D74" s="1314">
        <v>2848849.9222372472</v>
      </c>
      <c r="E74" s="455"/>
      <c r="F74" s="332"/>
    </row>
    <row r="75" spans="1:6">
      <c r="A75" s="1299" t="s">
        <v>64</v>
      </c>
      <c r="B75" s="1299" t="s">
        <v>767</v>
      </c>
      <c r="C75" s="1313" t="s">
        <v>763</v>
      </c>
      <c r="D75" s="1314">
        <v>25494747</v>
      </c>
      <c r="E75" s="455"/>
      <c r="F75" s="332"/>
    </row>
    <row r="76" spans="1:6">
      <c r="A76" s="1299" t="s">
        <v>64</v>
      </c>
      <c r="B76" s="1299" t="s">
        <v>768</v>
      </c>
      <c r="C76" s="1313" t="s">
        <v>764</v>
      </c>
      <c r="D76" s="1314">
        <v>1692024.922237247</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490540.15552550583</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69</v>
      </c>
      <c r="C89" s="332"/>
      <c r="D89" s="332"/>
      <c r="E89" s="332"/>
      <c r="F89" s="332"/>
    </row>
    <row r="90" spans="1:6">
      <c r="A90" s="1299" t="s">
        <v>566</v>
      </c>
      <c r="B90" s="1300">
        <v>0</v>
      </c>
      <c r="C90" s="332"/>
      <c r="D90" s="332"/>
      <c r="E90" s="332"/>
      <c r="F90" s="332"/>
    </row>
    <row r="91" spans="1:6">
      <c r="A91" s="1299" t="s">
        <v>67</v>
      </c>
      <c r="B91" s="1300">
        <v>2544.3438950706131</v>
      </c>
      <c r="C91" s="332"/>
      <c r="D91" s="332"/>
      <c r="E91" s="332"/>
      <c r="F91" s="332"/>
    </row>
    <row r="92" spans="1:6">
      <c r="A92" s="1294" t="s">
        <v>68</v>
      </c>
      <c r="B92" s="1295">
        <v>590.36874081487542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689</v>
      </c>
      <c r="C97" s="332"/>
      <c r="D97" s="332"/>
      <c r="E97" s="332"/>
      <c r="F97" s="332"/>
    </row>
    <row r="98" spans="1:6">
      <c r="A98" s="1299" t="s">
        <v>71</v>
      </c>
      <c r="B98" s="1300">
        <v>1</v>
      </c>
      <c r="C98" s="332"/>
      <c r="D98" s="332"/>
      <c r="E98" s="332"/>
      <c r="F98" s="332"/>
    </row>
    <row r="99" spans="1:6">
      <c r="A99" s="1299" t="s">
        <v>72</v>
      </c>
      <c r="B99" s="1300">
        <v>140</v>
      </c>
      <c r="C99" s="332"/>
      <c r="D99" s="332"/>
      <c r="E99" s="332"/>
      <c r="F99" s="332"/>
    </row>
    <row r="100" spans="1:6">
      <c r="A100" s="1299" t="s">
        <v>73</v>
      </c>
      <c r="B100" s="1300">
        <v>474</v>
      </c>
      <c r="C100" s="332"/>
      <c r="D100" s="332"/>
      <c r="E100" s="332"/>
      <c r="F100" s="332"/>
    </row>
    <row r="101" spans="1:6">
      <c r="A101" s="1299" t="s">
        <v>74</v>
      </c>
      <c r="B101" s="1300">
        <v>57</v>
      </c>
      <c r="C101" s="332"/>
      <c r="D101" s="332"/>
      <c r="E101" s="332"/>
      <c r="F101" s="332"/>
    </row>
    <row r="102" spans="1:6">
      <c r="A102" s="1299" t="s">
        <v>75</v>
      </c>
      <c r="B102" s="1300">
        <v>47</v>
      </c>
      <c r="C102" s="332"/>
      <c r="D102" s="332"/>
      <c r="E102" s="332"/>
      <c r="F102" s="332"/>
    </row>
    <row r="103" spans="1:6">
      <c r="A103" s="1299" t="s">
        <v>76</v>
      </c>
      <c r="B103" s="1300">
        <v>149</v>
      </c>
      <c r="C103" s="332"/>
      <c r="D103" s="332"/>
      <c r="E103" s="332"/>
      <c r="F103" s="332"/>
    </row>
    <row r="104" spans="1:6">
      <c r="A104" s="1299" t="s">
        <v>77</v>
      </c>
      <c r="B104" s="1300">
        <v>3452</v>
      </c>
      <c r="C104" s="332"/>
      <c r="D104" s="332"/>
      <c r="E104" s="332"/>
      <c r="F104" s="332"/>
    </row>
    <row r="105" spans="1:6">
      <c r="A105" s="1294" t="s">
        <v>78</v>
      </c>
      <c r="B105" s="1303">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18</v>
      </c>
      <c r="C123" s="1300">
        <v>12</v>
      </c>
      <c r="D123" s="332"/>
      <c r="E123" s="332"/>
      <c r="F123" s="332"/>
    </row>
    <row r="124" spans="1:6" s="44" customFormat="1">
      <c r="A124" s="1301" t="s">
        <v>88</v>
      </c>
      <c r="B124" s="1322">
        <v>1</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79</v>
      </c>
      <c r="C129" s="332"/>
      <c r="D129" s="332"/>
      <c r="E129" s="332"/>
      <c r="F129" s="332"/>
    </row>
    <row r="130" spans="1:6">
      <c r="A130" s="1299" t="s">
        <v>294</v>
      </c>
      <c r="B130" s="1300">
        <v>1</v>
      </c>
      <c r="C130" s="332"/>
      <c r="D130" s="332"/>
      <c r="E130" s="332"/>
      <c r="F130" s="332"/>
    </row>
    <row r="131" spans="1:6">
      <c r="A131" s="1299" t="s">
        <v>295</v>
      </c>
      <c r="B131" s="1300">
        <v>4</v>
      </c>
      <c r="C131" s="332"/>
      <c r="D131" s="332"/>
      <c r="E131" s="332"/>
      <c r="F131" s="332"/>
    </row>
    <row r="132" spans="1:6">
      <c r="A132" s="1294" t="s">
        <v>296</v>
      </c>
      <c r="B132" s="1295">
        <v>11</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54425.37218575766</v>
      </c>
      <c r="C3" s="44" t="s">
        <v>169</v>
      </c>
      <c r="D3" s="44"/>
      <c r="E3" s="157"/>
      <c r="F3" s="44"/>
      <c r="G3" s="44"/>
      <c r="H3" s="44"/>
      <c r="I3" s="44"/>
      <c r="J3" s="44"/>
      <c r="K3" s="97"/>
    </row>
    <row r="4" spans="1:11">
      <c r="A4" s="362" t="s">
        <v>170</v>
      </c>
      <c r="B4" s="50">
        <f>IF(ISERROR('SEAP template'!B78+'SEAP template'!C78),0,'SEAP template'!B78+'SEAP template'!C78)</f>
        <v>3203.7126358854885</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0.20799098482755121</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1158.6510000000001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1158.6510000000001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0.20799098482755121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240.98896256142706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26716.6834293018</v>
      </c>
      <c r="C5" s="18">
        <f>IF(ISERROR('Eigen informatie GS &amp; warmtenet'!B57),0,'Eigen informatie GS &amp; warmtenet'!B57)</f>
        <v>0</v>
      </c>
      <c r="D5" s="31">
        <f>(SUM(HH_hh_gas_kWh,HH_rest_gas_kWh)/1000)*0.902</f>
        <v>32369.129115011005</v>
      </c>
      <c r="E5" s="18">
        <f>B46*B57</f>
        <v>5661.0737319926866</v>
      </c>
      <c r="F5" s="18">
        <f>B51*B62</f>
        <v>48640.304076646345</v>
      </c>
      <c r="G5" s="19"/>
      <c r="H5" s="18"/>
      <c r="I5" s="18"/>
      <c r="J5" s="18">
        <f>B50*B61+C50*C61</f>
        <v>696.01339891745761</v>
      </c>
      <c r="K5" s="18"/>
      <c r="L5" s="18"/>
      <c r="M5" s="18"/>
      <c r="N5" s="18">
        <f>B48*B59+C48*C59</f>
        <v>7833.126009728534</v>
      </c>
      <c r="O5" s="18">
        <f>B69*B70*B71</f>
        <v>142.26333333333332</v>
      </c>
      <c r="P5" s="18">
        <f>B77*B78*B79/1000-B77*B78*B79/1000/B80</f>
        <v>572</v>
      </c>
    </row>
    <row r="6" spans="1:16">
      <c r="A6" s="17" t="s">
        <v>638</v>
      </c>
      <c r="B6" s="776">
        <f>kWh_PV_kleiner_dan_10kW</f>
        <v>2544.3438950706131</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29261.027324372415</v>
      </c>
      <c r="C8" s="22">
        <f>C5</f>
        <v>0</v>
      </c>
      <c r="D8" s="22">
        <f>D5</f>
        <v>32369.129115011005</v>
      </c>
      <c r="E8" s="22">
        <f>E5</f>
        <v>5661.0737319926866</v>
      </c>
      <c r="F8" s="22">
        <f>F5</f>
        <v>48640.304076646345</v>
      </c>
      <c r="G8" s="22"/>
      <c r="H8" s="22"/>
      <c r="I8" s="22"/>
      <c r="J8" s="22">
        <f>J5</f>
        <v>696.01339891745761</v>
      </c>
      <c r="K8" s="22"/>
      <c r="L8" s="22">
        <f>L5</f>
        <v>0</v>
      </c>
      <c r="M8" s="22">
        <f>M5</f>
        <v>0</v>
      </c>
      <c r="N8" s="22">
        <f>N5</f>
        <v>7833.126009728534</v>
      </c>
      <c r="O8" s="22">
        <f>O5</f>
        <v>142.26333333333332</v>
      </c>
      <c r="P8" s="22">
        <f>P5</f>
        <v>572</v>
      </c>
    </row>
    <row r="9" spans="1:16">
      <c r="B9" s="20"/>
      <c r="C9" s="20"/>
      <c r="D9" s="262"/>
      <c r="E9" s="20"/>
      <c r="F9" s="20"/>
      <c r="G9" s="20"/>
      <c r="H9" s="20"/>
      <c r="I9" s="20"/>
      <c r="J9" s="20"/>
      <c r="K9" s="20"/>
      <c r="L9" s="20"/>
      <c r="M9" s="20"/>
      <c r="N9" s="20"/>
      <c r="O9" s="20"/>
      <c r="P9" s="20"/>
    </row>
    <row r="10" spans="1:16">
      <c r="A10" s="25" t="s">
        <v>213</v>
      </c>
      <c r="B10" s="26">
        <f ca="1">'EF ele_warmte'!B12</f>
        <v>0.20799098482755121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6086.0298902621043</v>
      </c>
      <c r="C12" s="24">
        <f ca="1">C10*C8</f>
        <v>0</v>
      </c>
      <c r="D12" s="24">
        <f>D8*D10</f>
        <v>6538.5640812322235</v>
      </c>
      <c r="E12" s="24">
        <f>E10*E8</f>
        <v>1285.06373716234</v>
      </c>
      <c r="F12" s="24">
        <f>F10*F8</f>
        <v>12986.961188464575</v>
      </c>
      <c r="G12" s="24"/>
      <c r="H12" s="24"/>
      <c r="I12" s="24"/>
      <c r="J12" s="24">
        <f>J10*J8</f>
        <v>246.38874321677997</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689</v>
      </c>
      <c r="C18" s="169" t="s">
        <v>110</v>
      </c>
      <c r="D18" s="231"/>
      <c r="E18" s="16"/>
    </row>
    <row r="19" spans="1:7">
      <c r="A19" s="174" t="s">
        <v>71</v>
      </c>
      <c r="B19" s="38">
        <f>aantalw2001_ander</f>
        <v>1</v>
      </c>
      <c r="C19" s="169" t="s">
        <v>110</v>
      </c>
      <c r="D19" s="232"/>
      <c r="E19" s="16"/>
    </row>
    <row r="20" spans="1:7">
      <c r="A20" s="174" t="s">
        <v>72</v>
      </c>
      <c r="B20" s="38">
        <f>aantalw2001_propaan</f>
        <v>140</v>
      </c>
      <c r="C20" s="170">
        <f>IF(ISERROR(B20/SUM($B$20,$B$21,$B$22)*100),0,B20/SUM($B$20,$B$21,$B$22)*100)</f>
        <v>20.864381520119224</v>
      </c>
      <c r="D20" s="232"/>
      <c r="E20" s="16"/>
    </row>
    <row r="21" spans="1:7">
      <c r="A21" s="174" t="s">
        <v>73</v>
      </c>
      <c r="B21" s="38">
        <f>aantalw2001_elektriciteit</f>
        <v>474</v>
      </c>
      <c r="C21" s="170">
        <f>IF(ISERROR(B21/SUM($B$20,$B$21,$B$22)*100),0,B21/SUM($B$20,$B$21,$B$22)*100)</f>
        <v>70.640834575260797</v>
      </c>
      <c r="D21" s="232"/>
      <c r="E21" s="16"/>
    </row>
    <row r="22" spans="1:7">
      <c r="A22" s="174" t="s">
        <v>74</v>
      </c>
      <c r="B22" s="38">
        <f>aantalw2001_hout</f>
        <v>57</v>
      </c>
      <c r="C22" s="170">
        <f>IF(ISERROR(B22/SUM($B$20,$B$21,$B$22)*100),0,B22/SUM($B$20,$B$21,$B$22)*100)</f>
        <v>8.49478390461997</v>
      </c>
      <c r="D22" s="232"/>
      <c r="E22" s="16"/>
    </row>
    <row r="23" spans="1:7">
      <c r="A23" s="174" t="s">
        <v>75</v>
      </c>
      <c r="B23" s="38">
        <f>aantalw2001_niet_gespec</f>
        <v>47</v>
      </c>
      <c r="C23" s="169" t="s">
        <v>110</v>
      </c>
      <c r="D23" s="231"/>
      <c r="E23" s="16"/>
    </row>
    <row r="24" spans="1:7">
      <c r="A24" s="174" t="s">
        <v>76</v>
      </c>
      <c r="B24" s="38">
        <f>aantalw2001_steenkool</f>
        <v>149</v>
      </c>
      <c r="C24" s="169" t="s">
        <v>110</v>
      </c>
      <c r="D24" s="232"/>
      <c r="E24" s="16"/>
    </row>
    <row r="25" spans="1:7">
      <c r="A25" s="174" t="s">
        <v>77</v>
      </c>
      <c r="B25" s="38">
        <f>aantalw2001_stookolie</f>
        <v>3452</v>
      </c>
      <c r="C25" s="169" t="s">
        <v>110</v>
      </c>
      <c r="D25" s="231"/>
      <c r="E25" s="53"/>
    </row>
    <row r="26" spans="1:7">
      <c r="A26" s="174" t="s">
        <v>78</v>
      </c>
      <c r="B26" s="38">
        <f>aantalw2001_WP</f>
        <v>5</v>
      </c>
      <c r="C26" s="169" t="s">
        <v>110</v>
      </c>
      <c r="D26" s="231"/>
      <c r="E26" s="16"/>
    </row>
    <row r="27" spans="1:7" s="16" customFormat="1">
      <c r="A27" s="174"/>
      <c r="B27" s="30"/>
      <c r="C27" s="37"/>
      <c r="D27" s="231"/>
    </row>
    <row r="28" spans="1:7" s="16" customFormat="1">
      <c r="A28" s="233" t="s">
        <v>663</v>
      </c>
      <c r="B28" s="38">
        <f>aantalHuishoudens</f>
        <v>5602</v>
      </c>
      <c r="C28" s="37"/>
      <c r="D28" s="231"/>
    </row>
    <row r="29" spans="1:7" s="16" customFormat="1">
      <c r="A29" s="233" t="s">
        <v>664</v>
      </c>
      <c r="B29" s="38">
        <f>SUM(HH_hh_gas_aantal,HH_rest_gas_aantal)</f>
        <v>1960</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1960</v>
      </c>
      <c r="C32" s="170">
        <f>IF(ISERROR(B32/SUM($B$32,$B$34,$B$35,$B$36,$B$38,$B$39)*100),0,B32/SUM($B$32,$B$34,$B$35,$B$36,$B$38,$B$39)*100)</f>
        <v>35.175879396984925</v>
      </c>
      <c r="D32" s="236"/>
      <c r="G32" s="16"/>
    </row>
    <row r="33" spans="1:7">
      <c r="A33" s="174" t="s">
        <v>71</v>
      </c>
      <c r="B33" s="35" t="s">
        <v>110</v>
      </c>
      <c r="C33" s="170"/>
      <c r="D33" s="236"/>
      <c r="G33" s="16"/>
    </row>
    <row r="34" spans="1:7">
      <c r="A34" s="174" t="s">
        <v>72</v>
      </c>
      <c r="B34" s="34">
        <f>IF((($B$28-$B$32-$B$39-$B$77-$B$38)*C20/100)&lt;0,0,($B$28-$B$32-$B$39-$B$77-$B$38)*C20/100)</f>
        <v>267.48137108792844</v>
      </c>
      <c r="C34" s="170">
        <f>IF(ISERROR(B34/SUM($B$32,$B$34,$B$35,$B$36,$B$38,$B$39)*100),0,B34/SUM($B$32,$B$34,$B$35,$B$36,$B$38,$B$39)*100)</f>
        <v>4.800455331800582</v>
      </c>
      <c r="D34" s="236"/>
      <c r="G34" s="16"/>
    </row>
    <row r="35" spans="1:7">
      <c r="A35" s="174" t="s">
        <v>73</v>
      </c>
      <c r="B35" s="34">
        <f>IF((($B$28-$B$32-$B$39-$B$77-$B$38)*C21/100)&lt;0,0,($B$28-$B$32-$B$39-$B$77-$B$38)*C21/100)</f>
        <v>905.61549925484348</v>
      </c>
      <c r="C35" s="170">
        <f>IF(ISERROR(B35/SUM($B$32,$B$34,$B$35,$B$36,$B$38,$B$39)*100),0,B35/SUM($B$32,$B$34,$B$35,$B$36,$B$38,$B$39)*100)</f>
        <v>16.252970194810544</v>
      </c>
      <c r="D35" s="236"/>
      <c r="G35" s="16"/>
    </row>
    <row r="36" spans="1:7">
      <c r="A36" s="174" t="s">
        <v>74</v>
      </c>
      <c r="B36" s="34">
        <f>IF((($B$28-$B$32-$B$39-$B$77-$B$38)*C22/100)&lt;0,0,($B$28-$B$32-$B$39-$B$77-$B$38)*C22/100)</f>
        <v>108.90312965722802</v>
      </c>
      <c r="C36" s="170">
        <f>IF(ISERROR(B36/SUM($B$32,$B$34,$B$35,$B$36,$B$38,$B$39)*100),0,B36/SUM($B$32,$B$34,$B$35,$B$36,$B$38,$B$39)*100)</f>
        <v>1.9544710993759515</v>
      </c>
      <c r="D36" s="236"/>
      <c r="G36" s="16"/>
    </row>
    <row r="37" spans="1:7">
      <c r="A37" s="174" t="s">
        <v>75</v>
      </c>
      <c r="B37" s="35" t="s">
        <v>110</v>
      </c>
      <c r="C37" s="170"/>
      <c r="D37" s="176"/>
      <c r="G37" s="16"/>
    </row>
    <row r="38" spans="1:7">
      <c r="A38" s="174" t="s">
        <v>76</v>
      </c>
      <c r="B38" s="34">
        <f>IF((B24-(B29-B18)*0.1)&lt;0,0,B24-(B29-B18)*0.1)</f>
        <v>21.899999999999991</v>
      </c>
      <c r="C38" s="170">
        <f>IF(ISERROR(B38/SUM($B$32,$B$34,$B$35,$B$36,$B$38,$B$39)*100),0,B38/SUM($B$32,$B$34,$B$35,$B$36,$B$38,$B$39)*100)</f>
        <v>0.39303661162957632</v>
      </c>
      <c r="D38" s="237"/>
      <c r="G38" s="16"/>
    </row>
    <row r="39" spans="1:7">
      <c r="A39" s="174" t="s">
        <v>77</v>
      </c>
      <c r="B39" s="34">
        <f>IF((B25-(B29-B18))&lt;0,0,B25-(B29-B18)*0.9)</f>
        <v>2308.1</v>
      </c>
      <c r="C39" s="170">
        <f>IF(ISERROR(B39/SUM($B$32,$B$34,$B$35,$B$36,$B$38,$B$39)*100),0,B39/SUM($B$32,$B$34,$B$35,$B$36,$B$38,$B$39)*100)</f>
        <v>41.42318736539842</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1960</v>
      </c>
      <c r="C44" s="35" t="s">
        <v>110</v>
      </c>
      <c r="D44" s="177"/>
    </row>
    <row r="45" spans="1:7">
      <c r="A45" s="174" t="s">
        <v>71</v>
      </c>
      <c r="B45" s="34" t="str">
        <f t="shared" si="0"/>
        <v>-</v>
      </c>
      <c r="C45" s="35" t="s">
        <v>110</v>
      </c>
      <c r="D45" s="177"/>
    </row>
    <row r="46" spans="1:7">
      <c r="A46" s="174" t="s">
        <v>72</v>
      </c>
      <c r="B46" s="34">
        <f t="shared" si="0"/>
        <v>267.48137108792844</v>
      </c>
      <c r="C46" s="35" t="s">
        <v>110</v>
      </c>
      <c r="D46" s="177"/>
    </row>
    <row r="47" spans="1:7">
      <c r="A47" s="174" t="s">
        <v>73</v>
      </c>
      <c r="B47" s="34">
        <f t="shared" si="0"/>
        <v>905.61549925484348</v>
      </c>
      <c r="C47" s="35" t="s">
        <v>110</v>
      </c>
      <c r="D47" s="177"/>
    </row>
    <row r="48" spans="1:7">
      <c r="A48" s="174" t="s">
        <v>74</v>
      </c>
      <c r="B48" s="34">
        <f t="shared" si="0"/>
        <v>108.90312965722802</v>
      </c>
      <c r="C48" s="34">
        <f>B48*10</f>
        <v>1089.0312965722801</v>
      </c>
      <c r="D48" s="237"/>
    </row>
    <row r="49" spans="1:6">
      <c r="A49" s="174" t="s">
        <v>75</v>
      </c>
      <c r="B49" s="34" t="str">
        <f t="shared" si="0"/>
        <v>-</v>
      </c>
      <c r="C49" s="35" t="s">
        <v>110</v>
      </c>
      <c r="D49" s="237"/>
    </row>
    <row r="50" spans="1:6">
      <c r="A50" s="174" t="s">
        <v>76</v>
      </c>
      <c r="B50" s="34">
        <f t="shared" si="0"/>
        <v>21.899999999999991</v>
      </c>
      <c r="C50" s="34">
        <f>B50*2</f>
        <v>43.799999999999983</v>
      </c>
      <c r="D50" s="237"/>
    </row>
    <row r="51" spans="1:6">
      <c r="A51" s="174" t="s">
        <v>77</v>
      </c>
      <c r="B51" s="34">
        <f t="shared" si="0"/>
        <v>2308.1</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91</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30</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12999.356124242509</v>
      </c>
      <c r="C5" s="18">
        <f>IF(ISERROR('Eigen informatie GS &amp; warmtenet'!B58),0,'Eigen informatie GS &amp; warmtenet'!B58)</f>
        <v>0</v>
      </c>
      <c r="D5" s="31">
        <f>SUM(D6:D12)</f>
        <v>7676.0249174891796</v>
      </c>
      <c r="E5" s="18">
        <f>SUM(E6:E12)</f>
        <v>112.36337086093364</v>
      </c>
      <c r="F5" s="18">
        <f>SUM(F6:F12)</f>
        <v>2614.3925114844587</v>
      </c>
      <c r="G5" s="19"/>
      <c r="H5" s="18"/>
      <c r="I5" s="18"/>
      <c r="J5" s="18">
        <f>SUM(J6:J12)</f>
        <v>0</v>
      </c>
      <c r="K5" s="18"/>
      <c r="L5" s="18"/>
      <c r="M5" s="18"/>
      <c r="N5" s="18">
        <f>SUM(N6:N12)</f>
        <v>1209.4835522550077</v>
      </c>
      <c r="O5" s="18">
        <f>B38*B39*B40</f>
        <v>1.5633333333333335</v>
      </c>
      <c r="P5" s="18">
        <f>B46*B47*B48/1000-B46*B47*B48/1000/B49</f>
        <v>76.266666666666666</v>
      </c>
      <c r="R5" s="33"/>
    </row>
    <row r="6" spans="1:18">
      <c r="A6" s="33" t="s">
        <v>53</v>
      </c>
      <c r="B6" s="38">
        <f>B26</f>
        <v>3286.3255270434197</v>
      </c>
      <c r="C6" s="34"/>
      <c r="D6" s="38">
        <f>IF(ISERROR(TER_kantoor_gas_kWh/1000),0,TER_kantoor_gas_kWh/1000)*0.902</f>
        <v>2315.9561697219096</v>
      </c>
      <c r="E6" s="34">
        <f>$C$26*'E Balans VL '!I12/100/3.6*1000000</f>
        <v>5.3935262486944673</v>
      </c>
      <c r="F6" s="34">
        <f>$C$26*('E Balans VL '!L12+'E Balans VL '!N12)/100/3.6*1000000</f>
        <v>387.38045659776026</v>
      </c>
      <c r="G6" s="35"/>
      <c r="H6" s="34"/>
      <c r="I6" s="34"/>
      <c r="J6" s="34">
        <f>$C$26*('E Balans VL '!D12+'E Balans VL '!E12)/100/3.6*1000000</f>
        <v>0</v>
      </c>
      <c r="K6" s="34"/>
      <c r="L6" s="34"/>
      <c r="M6" s="34"/>
      <c r="N6" s="34">
        <f>$C$26*'E Balans VL '!Y12/100/3.6*1000000</f>
        <v>0.66398651071372983</v>
      </c>
      <c r="O6" s="34"/>
      <c r="P6" s="34"/>
      <c r="R6" s="33"/>
    </row>
    <row r="7" spans="1:18">
      <c r="A7" s="33" t="s">
        <v>52</v>
      </c>
      <c r="B7" s="38">
        <f t="shared" ref="B7:B12" si="0">B27</f>
        <v>945.08477994546399</v>
      </c>
      <c r="C7" s="34"/>
      <c r="D7" s="38">
        <f>IF(ISERROR(TER_horeca_gas_kWh/1000),0,TER_horeca_gas_kWh/1000)*0.902</f>
        <v>720.63379070763676</v>
      </c>
      <c r="E7" s="34">
        <f>$C$27*'E Balans VL '!I9/100/3.6*1000000</f>
        <v>49.043061299357461</v>
      </c>
      <c r="F7" s="34">
        <f>$C$27*('E Balans VL '!L9+'E Balans VL '!N9)/100/3.6*1000000</f>
        <v>215.66903254046997</v>
      </c>
      <c r="G7" s="35"/>
      <c r="H7" s="34"/>
      <c r="I7" s="34"/>
      <c r="J7" s="34">
        <f>$C$27*('E Balans VL '!D9+'E Balans VL '!E9)/100/3.6*1000000</f>
        <v>0</v>
      </c>
      <c r="K7" s="34"/>
      <c r="L7" s="34"/>
      <c r="M7" s="34"/>
      <c r="N7" s="34">
        <f>$C$27*'E Balans VL '!Y9/100/3.6*1000000</f>
        <v>9.9800519658245393E-2</v>
      </c>
      <c r="O7" s="34"/>
      <c r="P7" s="34"/>
      <c r="R7" s="33"/>
    </row>
    <row r="8" spans="1:18">
      <c r="A8" s="6" t="s">
        <v>51</v>
      </c>
      <c r="B8" s="38">
        <f t="shared" si="0"/>
        <v>4041.9821912216998</v>
      </c>
      <c r="C8" s="34"/>
      <c r="D8" s="38">
        <f>IF(ISERROR(TER_handel_gas_kWh/1000),0,TER_handel_gas_kWh/1000)*0.902</f>
        <v>507.13588301262274</v>
      </c>
      <c r="E8" s="34">
        <f>$C$28*'E Balans VL '!I13/100/3.6*1000000</f>
        <v>21.766570793324238</v>
      </c>
      <c r="F8" s="34">
        <f>$C$28*('E Balans VL '!L13+'E Balans VL '!N13)/100/3.6*1000000</f>
        <v>824.28028568228808</v>
      </c>
      <c r="G8" s="35"/>
      <c r="H8" s="34"/>
      <c r="I8" s="34"/>
      <c r="J8" s="34">
        <f>$C$28*('E Balans VL '!D13+'E Balans VL '!E13)/100/3.6*1000000</f>
        <v>0</v>
      </c>
      <c r="K8" s="34"/>
      <c r="L8" s="34"/>
      <c r="M8" s="34"/>
      <c r="N8" s="34">
        <f>$C$28*'E Balans VL '!Y13/100/3.6*1000000</f>
        <v>20.098642927305274</v>
      </c>
      <c r="O8" s="34"/>
      <c r="P8" s="34"/>
      <c r="R8" s="33"/>
    </row>
    <row r="9" spans="1:18">
      <c r="A9" s="33" t="s">
        <v>50</v>
      </c>
      <c r="B9" s="38">
        <f t="shared" si="0"/>
        <v>316.448164075737</v>
      </c>
      <c r="C9" s="34"/>
      <c r="D9" s="38">
        <f>IF(ISERROR(TER_gezond_gas_kWh/1000),0,TER_gezond_gas_kWh/1000)*0.902</f>
        <v>283.37688792298712</v>
      </c>
      <c r="E9" s="34">
        <f>$C$29*'E Balans VL '!I10/100/3.6*1000000</f>
        <v>0.31360372923268393</v>
      </c>
      <c r="F9" s="34">
        <f>$C$29*('E Balans VL '!L10+'E Balans VL '!N10)/100/3.6*1000000</f>
        <v>109.79839166588286</v>
      </c>
      <c r="G9" s="35"/>
      <c r="H9" s="34"/>
      <c r="I9" s="34"/>
      <c r="J9" s="34">
        <f>$C$29*('E Balans VL '!D10+'E Balans VL '!E10)/100/3.6*1000000</f>
        <v>0</v>
      </c>
      <c r="K9" s="34"/>
      <c r="L9" s="34"/>
      <c r="M9" s="34"/>
      <c r="N9" s="34">
        <f>$C$29*'E Balans VL '!Y10/100/3.6*1000000</f>
        <v>2.726806416067602</v>
      </c>
      <c r="O9" s="34"/>
      <c r="P9" s="34"/>
      <c r="R9" s="33"/>
    </row>
    <row r="10" spans="1:18">
      <c r="A10" s="33" t="s">
        <v>49</v>
      </c>
      <c r="B10" s="38">
        <f t="shared" si="0"/>
        <v>1774.75744366408</v>
      </c>
      <c r="C10" s="34"/>
      <c r="D10" s="38">
        <f>IF(ISERROR(TER_ander_gas_kWh/1000),0,TER_ander_gas_kWh/1000)*0.902</f>
        <v>434.39151082313435</v>
      </c>
      <c r="E10" s="34">
        <f>$C$30*'E Balans VL '!I14/100/3.6*1000000</f>
        <v>14.519289632914925</v>
      </c>
      <c r="F10" s="34">
        <f>$C$30*('E Balans VL '!L14+'E Balans VL '!N14)/100/3.6*1000000</f>
        <v>518.86682315936389</v>
      </c>
      <c r="G10" s="35"/>
      <c r="H10" s="34"/>
      <c r="I10" s="34"/>
      <c r="J10" s="34">
        <f>$C$30*('E Balans VL '!D14+'E Balans VL '!E14)/100/3.6*1000000</f>
        <v>0</v>
      </c>
      <c r="K10" s="34"/>
      <c r="L10" s="34"/>
      <c r="M10" s="34"/>
      <c r="N10" s="34">
        <f>$C$30*'E Balans VL '!Y14/100/3.6*1000000</f>
        <v>1023.8021771415292</v>
      </c>
      <c r="O10" s="34"/>
      <c r="P10" s="34"/>
      <c r="R10" s="33"/>
    </row>
    <row r="11" spans="1:18">
      <c r="A11" s="33" t="s">
        <v>54</v>
      </c>
      <c r="B11" s="38">
        <f t="shared" si="0"/>
        <v>179.19875717879799</v>
      </c>
      <c r="C11" s="34"/>
      <c r="D11" s="38">
        <f>IF(ISERROR(TER_onderwijs_gas_kWh/1000),0,TER_onderwijs_gas_kWh/1000)*0.902</f>
        <v>237.95534621281919</v>
      </c>
      <c r="E11" s="34">
        <f>$C$31*'E Balans VL '!I11/100/3.6*1000000</f>
        <v>0.11045055277876135</v>
      </c>
      <c r="F11" s="34">
        <f>$C$31*('E Balans VL '!L11+'E Balans VL '!N11)/100/3.6*1000000</f>
        <v>69.28114158993742</v>
      </c>
      <c r="G11" s="35"/>
      <c r="H11" s="34"/>
      <c r="I11" s="34"/>
      <c r="J11" s="34">
        <f>$C$31*('E Balans VL '!D11+'E Balans VL '!E11)/100/3.6*1000000</f>
        <v>0</v>
      </c>
      <c r="K11" s="34"/>
      <c r="L11" s="34"/>
      <c r="M11" s="34"/>
      <c r="N11" s="34">
        <f>$C$31*'E Balans VL '!Y11/100/3.6*1000000</f>
        <v>0.58289515562889327</v>
      </c>
      <c r="O11" s="34"/>
      <c r="P11" s="34"/>
      <c r="R11" s="33"/>
    </row>
    <row r="12" spans="1:18">
      <c r="A12" s="33" t="s">
        <v>259</v>
      </c>
      <c r="B12" s="38">
        <f t="shared" si="0"/>
        <v>2455.5592611133102</v>
      </c>
      <c r="C12" s="34"/>
      <c r="D12" s="38">
        <f>IF(ISERROR(TER_rest_gas_kWh/1000),0,TER_rest_gas_kWh/1000)*0.902</f>
        <v>3176.5753290880702</v>
      </c>
      <c r="E12" s="34">
        <f>$C$32*'E Balans VL '!I8/100/3.6*1000000</f>
        <v>21.216868604631113</v>
      </c>
      <c r="F12" s="34">
        <f>$C$32*('E Balans VL '!L8+'E Balans VL '!N8)/100/3.6*1000000</f>
        <v>489.11638024875634</v>
      </c>
      <c r="G12" s="35"/>
      <c r="H12" s="34"/>
      <c r="I12" s="34"/>
      <c r="J12" s="34">
        <f>$C$32*('E Balans VL '!D8+'E Balans VL '!E8)/100/3.6*1000000</f>
        <v>0</v>
      </c>
      <c r="K12" s="34"/>
      <c r="L12" s="34"/>
      <c r="M12" s="34"/>
      <c r="N12" s="34">
        <f>$C$32*'E Balans VL '!Y8/100/3.6*1000000</f>
        <v>161.50924358410472</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12999.356124242509</v>
      </c>
      <c r="C16" s="22">
        <f t="shared" ca="1" si="1"/>
        <v>0</v>
      </c>
      <c r="D16" s="22">
        <f t="shared" ca="1" si="1"/>
        <v>7676.0249174891796</v>
      </c>
      <c r="E16" s="22">
        <f t="shared" si="1"/>
        <v>112.36337086093364</v>
      </c>
      <c r="F16" s="22">
        <f t="shared" ca="1" si="1"/>
        <v>2614.3925114844587</v>
      </c>
      <c r="G16" s="22">
        <f t="shared" si="1"/>
        <v>0</v>
      </c>
      <c r="H16" s="22">
        <f t="shared" si="1"/>
        <v>0</v>
      </c>
      <c r="I16" s="22">
        <f t="shared" si="1"/>
        <v>0</v>
      </c>
      <c r="J16" s="22">
        <f t="shared" si="1"/>
        <v>0</v>
      </c>
      <c r="K16" s="22">
        <f t="shared" si="1"/>
        <v>0</v>
      </c>
      <c r="L16" s="22">
        <f t="shared" ca="1" si="1"/>
        <v>0</v>
      </c>
      <c r="M16" s="22">
        <f t="shared" si="1"/>
        <v>0</v>
      </c>
      <c r="N16" s="22">
        <f t="shared" ca="1" si="1"/>
        <v>1209.4835522550077</v>
      </c>
      <c r="O16" s="22">
        <f>O5</f>
        <v>1.5633333333333335</v>
      </c>
      <c r="P16" s="22">
        <f>P5</f>
        <v>76.266666666666666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0.20799098482755121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2703.7488824052589</v>
      </c>
      <c r="C20" s="24">
        <f t="shared" ref="C20:P20" ca="1" si="2">C16*C18</f>
        <v>0</v>
      </c>
      <c r="D20" s="24">
        <f t="shared" ca="1" si="2"/>
        <v>1550.5570333328144</v>
      </c>
      <c r="E20" s="24">
        <f t="shared" si="2"/>
        <v>25.506485185431938</v>
      </c>
      <c r="F20" s="24">
        <f t="shared" ca="1" si="2"/>
        <v>698.04280056635048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3286.3255270434197</v>
      </c>
      <c r="C26" s="40">
        <f>IF(ISERROR(B26*3.6/1000000/'E Balans VL '!Z12*100),0,B26*3.6/1000000/'E Balans VL '!Z12*100)</f>
        <v>6.9832060723617514E-2</v>
      </c>
      <c r="D26" s="240" t="s">
        <v>703</v>
      </c>
      <c r="F26" s="6"/>
    </row>
    <row r="27" spans="1:18">
      <c r="A27" s="234" t="s">
        <v>52</v>
      </c>
      <c r="B27" s="34">
        <f>IF(ISERROR(TER_horeca_ele_kWh/1000),0,TER_horeca_ele_kWh/1000)</f>
        <v>945.08477994546399</v>
      </c>
      <c r="C27" s="40">
        <f>IF(ISERROR(B27*3.6/1000000/'E Balans VL '!Z9*100),0,B27*3.6/1000000/'E Balans VL '!Z9*100)</f>
        <v>7.4385480490617689E-2</v>
      </c>
      <c r="D27" s="240" t="s">
        <v>703</v>
      </c>
      <c r="F27" s="6"/>
    </row>
    <row r="28" spans="1:18">
      <c r="A28" s="174" t="s">
        <v>51</v>
      </c>
      <c r="B28" s="34">
        <f>IF(ISERROR(TER_handel_ele_kWh/1000),0,TER_handel_ele_kWh/1000)</f>
        <v>4041.9821912216998</v>
      </c>
      <c r="C28" s="40">
        <f>IF(ISERROR(B28*3.6/1000000/'E Balans VL '!Z13*100),0,B28*3.6/1000000/'E Balans VL '!Z13*100)</f>
        <v>0.1132180843595867</v>
      </c>
      <c r="D28" s="240" t="s">
        <v>703</v>
      </c>
      <c r="F28" s="6"/>
    </row>
    <row r="29" spans="1:18">
      <c r="A29" s="234" t="s">
        <v>50</v>
      </c>
      <c r="B29" s="34">
        <f>IF(ISERROR(TER_gezond_ele_kWh/1000),0,TER_gezond_ele_kWh/1000)</f>
        <v>316.448164075737</v>
      </c>
      <c r="C29" s="40">
        <f>IF(ISERROR(B29*3.6/1000000/'E Balans VL '!Z10*100),0,B29*3.6/1000000/'E Balans VL '!Z10*100)</f>
        <v>4.0483289192382477E-2</v>
      </c>
      <c r="D29" s="240" t="s">
        <v>703</v>
      </c>
      <c r="F29" s="6"/>
    </row>
    <row r="30" spans="1:18">
      <c r="A30" s="234" t="s">
        <v>49</v>
      </c>
      <c r="B30" s="34">
        <f>IF(ISERROR(TER_ander_ele_kWh/1000),0,TER_ander_ele_kWh/1000)</f>
        <v>1774.75744366408</v>
      </c>
      <c r="C30" s="40">
        <f>IF(ISERROR(B30*3.6/1000000/'E Balans VL '!Z14*100),0,B30*3.6/1000000/'E Balans VL '!Z14*100)</f>
        <v>0.13273690241861652</v>
      </c>
      <c r="D30" s="240" t="s">
        <v>703</v>
      </c>
      <c r="F30" s="6"/>
    </row>
    <row r="31" spans="1:18">
      <c r="A31" s="234" t="s">
        <v>54</v>
      </c>
      <c r="B31" s="34">
        <f>IF(ISERROR(TER_onderwijs_ele_kWh/1000),0,TER_onderwijs_ele_kWh/1000)</f>
        <v>179.19875717879799</v>
      </c>
      <c r="C31" s="40">
        <f>IF(ISERROR(B31*3.6/1000000/'E Balans VL '!Z11*100),0,B31*3.6/1000000/'E Balans VL '!Z11*100)</f>
        <v>3.7838049700025529E-2</v>
      </c>
      <c r="D31" s="240" t="s">
        <v>703</v>
      </c>
    </row>
    <row r="32" spans="1:18">
      <c r="A32" s="234" t="s">
        <v>259</v>
      </c>
      <c r="B32" s="34">
        <f>IF(ISERROR(TER_rest_ele_kWh/1000),0,TER_rest_ele_kWh/1000)</f>
        <v>2455.5592611133102</v>
      </c>
      <c r="C32" s="40">
        <f>IF(ISERROR(B32*3.6/1000000/'E Balans VL '!Z8*100),0,B32*3.6/1000000/'E Balans VL '!Z8*100)</f>
        <v>2.0228730375712673E-2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4</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9757.5927534817602</v>
      </c>
      <c r="C5" s="18">
        <f>IF(ISERROR('Eigen informatie GS &amp; warmtenet'!B59),0,'Eigen informatie GS &amp; warmtenet'!B59)</f>
        <v>0</v>
      </c>
      <c r="D5" s="31">
        <f>SUM(D6:D15)</f>
        <v>1039.3976383917732</v>
      </c>
      <c r="E5" s="18">
        <f>SUM(E6:E15)</f>
        <v>87.417991842680976</v>
      </c>
      <c r="F5" s="18">
        <f>SUM(F6:F15)</f>
        <v>2207.0345308148671</v>
      </c>
      <c r="G5" s="19"/>
      <c r="H5" s="18"/>
      <c r="I5" s="18"/>
      <c r="J5" s="18">
        <f>SUM(J6:J15)</f>
        <v>56.09834354996125</v>
      </c>
      <c r="K5" s="18"/>
      <c r="L5" s="18"/>
      <c r="M5" s="18"/>
      <c r="N5" s="18">
        <f>SUM(N6:N15)</f>
        <v>315.75540818997581</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1007.56944688778</v>
      </c>
      <c r="C8" s="34"/>
      <c r="D8" s="38">
        <f>IF( ISERROR(IND_metaal_Gas_kWH/1000),0,IND_metaal_Gas_kWH/1000)*0.902</f>
        <v>0</v>
      </c>
      <c r="E8" s="34">
        <f>C30*'E Balans VL '!I18/100/3.6*1000000</f>
        <v>9.1757533763447334</v>
      </c>
      <c r="F8" s="34">
        <f>C30*'E Balans VL '!L18/100/3.6*1000000+C30*'E Balans VL '!N18/100/3.6*1000000</f>
        <v>132.89075843069796</v>
      </c>
      <c r="G8" s="35"/>
      <c r="H8" s="34"/>
      <c r="I8" s="34"/>
      <c r="J8" s="41">
        <f>C30*'E Balans VL '!D18/100/3.6*1000000+C30*'E Balans VL '!E18/100/3.6*1000000</f>
        <v>16.522675990801542</v>
      </c>
      <c r="K8" s="34"/>
      <c r="L8" s="34"/>
      <c r="M8" s="34"/>
      <c r="N8" s="34">
        <f>C30*'E Balans VL '!Y18/100/3.6*1000000</f>
        <v>3.4626159330172581</v>
      </c>
      <c r="O8" s="34"/>
      <c r="P8" s="34"/>
      <c r="R8" s="33"/>
    </row>
    <row r="9" spans="1:18">
      <c r="A9" s="6" t="s">
        <v>32</v>
      </c>
      <c r="B9" s="38">
        <f t="shared" si="0"/>
        <v>620.31806834033296</v>
      </c>
      <c r="C9" s="34"/>
      <c r="D9" s="38">
        <f>IF( ISERROR(IND_andere_gas_kWh/1000),0,IND_andere_gas_kWh/1000)*0.902</f>
        <v>216.56055747785294</v>
      </c>
      <c r="E9" s="34">
        <f>C31*'E Balans VL '!I19/100/3.6*1000000</f>
        <v>3.5855311338750382</v>
      </c>
      <c r="F9" s="34">
        <f>C31*'E Balans VL '!L19/100/3.6*1000000+C31*'E Balans VL '!N19/100/3.6*1000000</f>
        <v>493.49287188903389</v>
      </c>
      <c r="G9" s="35"/>
      <c r="H9" s="34"/>
      <c r="I9" s="34"/>
      <c r="J9" s="41">
        <f>C31*'E Balans VL '!D19/100/3.6*1000000+C31*'E Balans VL '!E19/100/3.6*1000000</f>
        <v>5.8675198967051784E-2</v>
      </c>
      <c r="K9" s="34"/>
      <c r="L9" s="34"/>
      <c r="M9" s="34"/>
      <c r="N9" s="34">
        <f>C31*'E Balans VL '!Y19/100/3.6*1000000</f>
        <v>46.998481140701443</v>
      </c>
      <c r="O9" s="34"/>
      <c r="P9" s="34"/>
      <c r="R9" s="33"/>
    </row>
    <row r="10" spans="1:18">
      <c r="A10" s="6" t="s">
        <v>40</v>
      </c>
      <c r="B10" s="38">
        <f t="shared" si="0"/>
        <v>214.91707827426401</v>
      </c>
      <c r="C10" s="34"/>
      <c r="D10" s="38">
        <f>IF( ISERROR(IND_voed_gas_kWh/1000),0,IND_voed_gas_kWh/1000)*0.902</f>
        <v>0</v>
      </c>
      <c r="E10" s="34">
        <f>C32*'E Balans VL '!I20/100/3.6*1000000</f>
        <v>2.1131971350328955</v>
      </c>
      <c r="F10" s="34">
        <f>C32*'E Balans VL '!L20/100/3.6*1000000+C32*'E Balans VL '!N20/100/3.6*1000000</f>
        <v>23.86934677855341</v>
      </c>
      <c r="G10" s="35"/>
      <c r="H10" s="34"/>
      <c r="I10" s="34"/>
      <c r="J10" s="41">
        <f>C32*'E Balans VL '!D20/100/3.6*1000000+C32*'E Balans VL '!E20/100/3.6*1000000</f>
        <v>8.4708577196161098E-4</v>
      </c>
      <c r="K10" s="34"/>
      <c r="L10" s="34"/>
      <c r="M10" s="34"/>
      <c r="N10" s="34">
        <f>C32*'E Balans VL '!Y20/100/3.6*1000000</f>
        <v>3.1824163909861101</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56.774747792383906</v>
      </c>
      <c r="C13" s="34"/>
      <c r="D13" s="38">
        <f>IF( ISERROR(IND_papier_gas_kWh/1000),0,IND_papier_gas_kWh/1000)*0.902</f>
        <v>0</v>
      </c>
      <c r="E13" s="34">
        <f>C35*'E Balans VL '!I23/100/3.6*1000000</f>
        <v>1.9338302278708257</v>
      </c>
      <c r="F13" s="34">
        <f>C35*'E Balans VL '!L23/100/3.6*1000000+C35*'E Balans VL '!N23/100/3.6*1000000</f>
        <v>9.3778558606534084</v>
      </c>
      <c r="G13" s="35"/>
      <c r="H13" s="34"/>
      <c r="I13" s="34"/>
      <c r="J13" s="41">
        <f>C35*'E Balans VL '!D23/100/3.6*1000000+C35*'E Balans VL '!E23/100/3.6*1000000</f>
        <v>0</v>
      </c>
      <c r="K13" s="34"/>
      <c r="L13" s="34"/>
      <c r="M13" s="34"/>
      <c r="N13" s="34">
        <f>C35*'E Balans VL '!Y23/100/3.6*1000000</f>
        <v>20.891584606892021</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7858.0134121869996</v>
      </c>
      <c r="C15" s="34"/>
      <c r="D15" s="38">
        <f>IF( ISERROR(IND_rest_gas_kWh/1000),0,IND_rest_gas_kWh/1000)*0.902</f>
        <v>822.83708091392032</v>
      </c>
      <c r="E15" s="34">
        <f>C37*'E Balans VL '!I15/100/3.6*1000000</f>
        <v>70.609679969557476</v>
      </c>
      <c r="F15" s="34">
        <f>C37*'E Balans VL '!L15/100/3.6*1000000+C37*'E Balans VL '!N15/100/3.6*1000000</f>
        <v>1547.4036978559286</v>
      </c>
      <c r="G15" s="35"/>
      <c r="H15" s="34"/>
      <c r="I15" s="34"/>
      <c r="J15" s="41">
        <f>C37*'E Balans VL '!D15/100/3.6*1000000+C37*'E Balans VL '!E15/100/3.6*1000000</f>
        <v>39.516145274420694</v>
      </c>
      <c r="K15" s="34"/>
      <c r="L15" s="34"/>
      <c r="M15" s="34"/>
      <c r="N15" s="34">
        <f>C37*'E Balans VL '!Y15/100/3.6*1000000</f>
        <v>241.22031011837896</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9757.5927534817602</v>
      </c>
      <c r="C18" s="22">
        <f>C5+C16</f>
        <v>0</v>
      </c>
      <c r="D18" s="22">
        <f>MAX((D5+D16),0)</f>
        <v>1039.3976383917732</v>
      </c>
      <c r="E18" s="22">
        <f>MAX((E5+E16),0)</f>
        <v>87.417991842680976</v>
      </c>
      <c r="F18" s="22">
        <f>MAX((F5+F16),0)</f>
        <v>2207.0345308148671</v>
      </c>
      <c r="G18" s="22"/>
      <c r="H18" s="22"/>
      <c r="I18" s="22"/>
      <c r="J18" s="22">
        <f>MAX((J5+J16),0)</f>
        <v>56.09834354996125</v>
      </c>
      <c r="K18" s="22"/>
      <c r="L18" s="22">
        <f>MAX((L5+L16),0)</f>
        <v>0</v>
      </c>
      <c r="M18" s="22"/>
      <c r="N18" s="22">
        <f>MAX((N5+N16),0)</f>
        <v>315.75540818997581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0.20799098482755121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2029.4913263428484</v>
      </c>
      <c r="C22" s="24">
        <f ca="1">C18*C20</f>
        <v>0</v>
      </c>
      <c r="D22" s="24">
        <f>D18*D20</f>
        <v>209.95832295513819</v>
      </c>
      <c r="E22" s="24">
        <f>E18*E20</f>
        <v>19.843884148288581</v>
      </c>
      <c r="F22" s="24">
        <f>F18*F20</f>
        <v>589.27821972756954</v>
      </c>
      <c r="G22" s="24"/>
      <c r="H22" s="24"/>
      <c r="I22" s="24"/>
      <c r="J22" s="24">
        <f>J18*J20</f>
        <v>19.85881361668628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1007.56944688778</v>
      </c>
      <c r="C30" s="40">
        <f>IF(ISERROR(B30*3.6/1000000/'E Balans VL '!Z18*100),0,B30*3.6/1000000/'E Balans VL '!Z18*100)</f>
        <v>5.6064502160220131E-2</v>
      </c>
      <c r="D30" s="240" t="s">
        <v>703</v>
      </c>
    </row>
    <row r="31" spans="1:18">
      <c r="A31" s="6" t="s">
        <v>32</v>
      </c>
      <c r="B31" s="38">
        <f>IF( ISERROR(IND_ander_ele_kWh/1000),0,IND_ander_ele_kWh/1000)</f>
        <v>620.31806834033296</v>
      </c>
      <c r="C31" s="40">
        <f>IF(ISERROR(B31*3.6/1000000/'E Balans VL '!Z19*100),0,B31*3.6/1000000/'E Balans VL '!Z19*100)</f>
        <v>2.8836957854114189E-2</v>
      </c>
      <c r="D31" s="240" t="s">
        <v>703</v>
      </c>
    </row>
    <row r="32" spans="1:18">
      <c r="A32" s="174" t="s">
        <v>40</v>
      </c>
      <c r="B32" s="38">
        <f>IF( ISERROR(IND_voed_ele_kWh/1000),0,IND_voed_ele_kWh/1000)</f>
        <v>214.91707827426401</v>
      </c>
      <c r="C32" s="40">
        <f>IF(ISERROR(B32*3.6/1000000/'E Balans VL '!Z20*100),0,B32*3.6/1000000/'E Balans VL '!Z20*100)</f>
        <v>7.5968846735737288E-3</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56.774747792383906</v>
      </c>
      <c r="C35" s="40">
        <f>IF(ISERROR(B35*3.6/1000000/'E Balans VL '!Z22*100),0,B35*3.6/1000000/'E Balans VL '!Z22*100)</f>
        <v>1.1410123312469555E-2</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7858.0134121869996</v>
      </c>
      <c r="C37" s="40">
        <f>IF(ISERROR(B37*3.6/1000000/'E Balans VL '!Z15*100),0,B37*3.6/1000000/'E Balans VL '!Z15*100)</f>
        <v>5.9339609303131209E-2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467.42711804476602</v>
      </c>
      <c r="C5" s="18">
        <f>'Eigen informatie GS &amp; warmtenet'!B60</f>
        <v>0</v>
      </c>
      <c r="D5" s="31">
        <f>IF(ISERROR(SUM(LB_lb_gas_kWh,LB_rest_gas_kWh)/1000),0,SUM(LB_lb_gas_kWh,LB_rest_gas_kWh)/1000)*0.902</f>
        <v>187.19221083988509</v>
      </c>
      <c r="E5" s="18">
        <f>B17*'E Balans VL '!I25/3.6*1000000/100</f>
        <v>4.4034766384242712</v>
      </c>
      <c r="F5" s="18">
        <f>B17*('E Balans VL '!L25/3.6*1000000+'E Balans VL '!N25/3.6*1000000)/100</f>
        <v>1525.3698116169287</v>
      </c>
      <c r="G5" s="19"/>
      <c r="H5" s="18"/>
      <c r="I5" s="18"/>
      <c r="J5" s="18">
        <f>('E Balans VL '!D25+'E Balans VL '!E25)/3.6*1000000*landbouw!B17/100</f>
        <v>57.823008067202998</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467.42711804476602</v>
      </c>
      <c r="C8" s="22">
        <f>C5+C6</f>
        <v>0</v>
      </c>
      <c r="D8" s="22">
        <f>MAX((D5+D6),0)</f>
        <v>187.19221083988509</v>
      </c>
      <c r="E8" s="22">
        <f>MAX((E5+E6),0)</f>
        <v>4.4034766384242712</v>
      </c>
      <c r="F8" s="22">
        <f>MAX((F5+F6),0)</f>
        <v>1525.3698116169287</v>
      </c>
      <c r="G8" s="22"/>
      <c r="H8" s="22"/>
      <c r="I8" s="22"/>
      <c r="J8" s="22">
        <f>MAX((J5+J6),0)</f>
        <v>57.823008067202998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0.20799098482755121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97.220626617234913</v>
      </c>
      <c r="C12" s="24">
        <f ca="1">C8*C10</f>
        <v>0</v>
      </c>
      <c r="D12" s="24">
        <f>D8*D10</f>
        <v>37.812826589656794</v>
      </c>
      <c r="E12" s="24">
        <f>E8*E10</f>
        <v>0.99958919692230963</v>
      </c>
      <c r="F12" s="24">
        <f>F8*F10</f>
        <v>407.27373970171999</v>
      </c>
      <c r="G12" s="24"/>
      <c r="H12" s="24"/>
      <c r="I12" s="24"/>
      <c r="J12" s="24">
        <f>J8*J10</f>
        <v>20.46934485578986</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6.3282162536684144E-2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73.228716388851126</v>
      </c>
      <c r="C26" s="250">
        <f>B26*'GWP N2O_CH4'!B5</f>
        <v>1537.8030441658736</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29.660138663067048</v>
      </c>
      <c r="C27" s="250">
        <f>B27*'GWP N2O_CH4'!B5</f>
        <v>622.86291192440797</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1.3674664466611068</v>
      </c>
      <c r="C28" s="250">
        <f>B28*'GWP N2O_CH4'!B4</f>
        <v>423.91459846494314</v>
      </c>
      <c r="D28" s="51"/>
    </row>
    <row r="29" spans="1:4">
      <c r="A29" s="42" t="s">
        <v>276</v>
      </c>
      <c r="B29" s="250">
        <f>B34*'ha_N2O bodem landbouw'!B4</f>
        <v>5.8738635696595978</v>
      </c>
      <c r="C29" s="250">
        <f>B29*'GWP N2O_CH4'!B4</f>
        <v>1820.8977065944753</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1.5857582530155465E-3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4.7197582627563899E-6</v>
      </c>
      <c r="C5" s="443" t="s">
        <v>210</v>
      </c>
      <c r="D5" s="428">
        <f>SUM(D6:D11)</f>
        <v>1.2432462309818969E-5</v>
      </c>
      <c r="E5" s="428">
        <f>SUM(E6:E11)</f>
        <v>7.760292655214667E-4</v>
      </c>
      <c r="F5" s="441" t="s">
        <v>210</v>
      </c>
      <c r="G5" s="428">
        <f>SUM(G6:G11)</f>
        <v>0.16928187722151117</v>
      </c>
      <c r="H5" s="428">
        <f>SUM(H6:H11)</f>
        <v>3.1288958232255581E-2</v>
      </c>
      <c r="I5" s="443" t="s">
        <v>210</v>
      </c>
      <c r="J5" s="443" t="s">
        <v>210</v>
      </c>
      <c r="K5" s="443" t="s">
        <v>210</v>
      </c>
      <c r="L5" s="443" t="s">
        <v>210</v>
      </c>
      <c r="M5" s="428">
        <f>SUM(M6:M11)</f>
        <v>8.96551516453316E-3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2.6761097960826599E-6</v>
      </c>
      <c r="C6" s="429"/>
      <c r="D6" s="429">
        <f>vkm_GW_PW*SUMIFS(TableVerdeelsleutelVkm[CNG],TableVerdeelsleutelVkm[Voertuigtype],"Lichte voertuigen")*SUMIFS(TableECFTransport[EnergieConsumptieFactor (PJ per km)],TableECFTransport[Index],CONCATENATE($A6,"_CNG_CNG"))</f>
        <v>5.414473299567824E-6</v>
      </c>
      <c r="E6" s="431">
        <f>vkm_GW_PW*SUMIFS(TableVerdeelsleutelVkm[LPG],TableVerdeelsleutelVkm[Voertuigtype],"Lichte voertuigen")*SUMIFS(TableECFTransport[EnergieConsumptieFactor (PJ per km)],TableECFTransport[Index],CONCATENATE($A6,"_LPG_LPG"))</f>
        <v>3.4955489271082119E-4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5.5817211851296109E-2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1.3986796939288145E-2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3.124298883628366E-3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2.7593097072407299E-2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7.5471762612379137E-7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1.227803460833065E-3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2.0436484666737296E-6</v>
      </c>
      <c r="C8" s="429"/>
      <c r="D8" s="431">
        <f>vkm_NGW_PW*SUMIFS(TableVerdeelsleutelVkm[CNG],TableVerdeelsleutelVkm[Voertuigtype],"Lichte voertuigen")*SUMIFS(TableECFTransport[EnergieConsumptieFactor (PJ per km)],TableECFTransport[Index],CONCATENATE($A8,"_CNG_CNG"))</f>
        <v>7.0179890102511446E-6</v>
      </c>
      <c r="E8" s="431">
        <f>vkm_NGW_PW*SUMIFS(TableVerdeelsleutelVkm[LPG],TableVerdeelsleutelVkm[Voertuigtype],"Lichte voertuigen")*SUMIFS(TableECFTransport[EnergieConsumptieFactor (PJ per km)],TableECFTransport[Index],CONCATENATE($A8,"_LPG_LPG"))</f>
        <v>4.2647437281064556E-4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6.4829549788669533E-2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1.7300738210745452E-2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3.6771068877582023E-3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2.1042018509138217E-2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6.683645958614841E-7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9.3630593231352739E-4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1.3110439618767749</v>
      </c>
      <c r="C14" s="22"/>
      <c r="D14" s="22">
        <f t="shared" ref="D14:M14" si="0">((D5)*10^9/3600)+D12</f>
        <v>3.4534617527274913</v>
      </c>
      <c r="E14" s="22">
        <f t="shared" si="0"/>
        <v>215.5636848670741</v>
      </c>
      <c r="F14" s="22"/>
      <c r="G14" s="22">
        <f t="shared" si="0"/>
        <v>47022.743672641991</v>
      </c>
      <c r="H14" s="22">
        <f t="shared" si="0"/>
        <v>8691.3772867376611</v>
      </c>
      <c r="I14" s="22"/>
      <c r="J14" s="22"/>
      <c r="K14" s="22"/>
      <c r="L14" s="22"/>
      <c r="M14" s="22">
        <f t="shared" si="0"/>
        <v>2490.4208790369889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0.20799098482755121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0.27268532478296492</v>
      </c>
      <c r="C18" s="24"/>
      <c r="D18" s="24">
        <f t="shared" ref="D18:M18" si="1">D14*D16</f>
        <v>0.69759927405095334</v>
      </c>
      <c r="E18" s="24">
        <f t="shared" si="1"/>
        <v>48.932956464825821</v>
      </c>
      <c r="F18" s="24"/>
      <c r="G18" s="24">
        <f t="shared" si="1"/>
        <v>12555.072560595412</v>
      </c>
      <c r="H18" s="24">
        <f t="shared" si="1"/>
        <v>2164.1529443976774</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6.4270312147222657E-3</v>
      </c>
      <c r="H50" s="321">
        <f t="shared" si="2"/>
        <v>0</v>
      </c>
      <c r="I50" s="321">
        <f t="shared" si="2"/>
        <v>0</v>
      </c>
      <c r="J50" s="321">
        <f t="shared" si="2"/>
        <v>0</v>
      </c>
      <c r="K50" s="321">
        <f t="shared" si="2"/>
        <v>0</v>
      </c>
      <c r="L50" s="321">
        <f t="shared" si="2"/>
        <v>0</v>
      </c>
      <c r="M50" s="321">
        <f t="shared" si="2"/>
        <v>2.819935012011842E-4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6.4270312147222657E-3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2.819935012011842E-4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1785.2864485339626</v>
      </c>
      <c r="H54" s="22">
        <f t="shared" si="3"/>
        <v>0</v>
      </c>
      <c r="I54" s="22">
        <f t="shared" si="3"/>
        <v>0</v>
      </c>
      <c r="J54" s="22">
        <f t="shared" si="3"/>
        <v>0</v>
      </c>
      <c r="K54" s="22">
        <f t="shared" si="3"/>
        <v>0</v>
      </c>
      <c r="L54" s="22">
        <f t="shared" si="3"/>
        <v>0</v>
      </c>
      <c r="M54" s="22">
        <f t="shared" si="3"/>
        <v>78.331528111440051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0.20799098482755121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476.67148175856806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14158.007124242509</v>
      </c>
      <c r="D10" s="684">
        <f ca="1">tertiair!C16</f>
        <v>0</v>
      </c>
      <c r="E10" s="684">
        <f ca="1">tertiair!D16</f>
        <v>7676.0249174891796</v>
      </c>
      <c r="F10" s="684">
        <f>tertiair!E16</f>
        <v>112.36337086093364</v>
      </c>
      <c r="G10" s="684">
        <f ca="1">tertiair!F16</f>
        <v>2614.3925114844587</v>
      </c>
      <c r="H10" s="684">
        <f>tertiair!G16</f>
        <v>0</v>
      </c>
      <c r="I10" s="684">
        <f>tertiair!H16</f>
        <v>0</v>
      </c>
      <c r="J10" s="684">
        <f>tertiair!I16</f>
        <v>0</v>
      </c>
      <c r="K10" s="684">
        <f>tertiair!J16</f>
        <v>0</v>
      </c>
      <c r="L10" s="684">
        <f>tertiair!K16</f>
        <v>0</v>
      </c>
      <c r="M10" s="684">
        <f ca="1">tertiair!L16</f>
        <v>0</v>
      </c>
      <c r="N10" s="684">
        <f>tertiair!M16</f>
        <v>0</v>
      </c>
      <c r="O10" s="684">
        <f ca="1">tertiair!N16</f>
        <v>1209.4835522550077</v>
      </c>
      <c r="P10" s="684">
        <f>tertiair!O16</f>
        <v>1.5633333333333335</v>
      </c>
      <c r="Q10" s="685">
        <f>tertiair!P16</f>
        <v>76.266666666666666</v>
      </c>
      <c r="R10" s="687">
        <f ca="1">SUM(C10:Q10)</f>
        <v>25848.101476332093</v>
      </c>
      <c r="S10" s="68"/>
    </row>
    <row r="11" spans="1:19" s="453" customFormat="1">
      <c r="A11" s="799" t="s">
        <v>224</v>
      </c>
      <c r="B11" s="804"/>
      <c r="C11" s="684">
        <f>huishoudens!B8</f>
        <v>29261.027324372415</v>
      </c>
      <c r="D11" s="684">
        <f>huishoudens!C8</f>
        <v>0</v>
      </c>
      <c r="E11" s="684">
        <f>huishoudens!D8</f>
        <v>32369.129115011005</v>
      </c>
      <c r="F11" s="684">
        <f>huishoudens!E8</f>
        <v>5661.0737319926866</v>
      </c>
      <c r="G11" s="684">
        <f>huishoudens!F8</f>
        <v>48640.304076646345</v>
      </c>
      <c r="H11" s="684">
        <f>huishoudens!G8</f>
        <v>0</v>
      </c>
      <c r="I11" s="684">
        <f>huishoudens!H8</f>
        <v>0</v>
      </c>
      <c r="J11" s="684">
        <f>huishoudens!I8</f>
        <v>0</v>
      </c>
      <c r="K11" s="684">
        <f>huishoudens!J8</f>
        <v>696.01339891745761</v>
      </c>
      <c r="L11" s="684">
        <f>huishoudens!K8</f>
        <v>0</v>
      </c>
      <c r="M11" s="684">
        <f>huishoudens!L8</f>
        <v>0</v>
      </c>
      <c r="N11" s="684">
        <f>huishoudens!M8</f>
        <v>0</v>
      </c>
      <c r="O11" s="684">
        <f>huishoudens!N8</f>
        <v>7833.126009728534</v>
      </c>
      <c r="P11" s="684">
        <f>huishoudens!O8</f>
        <v>142.26333333333332</v>
      </c>
      <c r="Q11" s="685">
        <f>huishoudens!P8</f>
        <v>572</v>
      </c>
      <c r="R11" s="687">
        <f>SUM(C11:Q11)</f>
        <v>125174.93699000179</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9757.5927534817602</v>
      </c>
      <c r="D13" s="684">
        <f>industrie!C18</f>
        <v>0</v>
      </c>
      <c r="E13" s="684">
        <f>industrie!D18</f>
        <v>1039.3976383917732</v>
      </c>
      <c r="F13" s="684">
        <f>industrie!E18</f>
        <v>87.417991842680976</v>
      </c>
      <c r="G13" s="684">
        <f>industrie!F18</f>
        <v>2207.0345308148671</v>
      </c>
      <c r="H13" s="684">
        <f>industrie!G18</f>
        <v>0</v>
      </c>
      <c r="I13" s="684">
        <f>industrie!H18</f>
        <v>0</v>
      </c>
      <c r="J13" s="684">
        <f>industrie!I18</f>
        <v>0</v>
      </c>
      <c r="K13" s="684">
        <f>industrie!J18</f>
        <v>56.09834354996125</v>
      </c>
      <c r="L13" s="684">
        <f>industrie!K18</f>
        <v>0</v>
      </c>
      <c r="M13" s="684">
        <f>industrie!L18</f>
        <v>0</v>
      </c>
      <c r="N13" s="684">
        <f>industrie!M18</f>
        <v>0</v>
      </c>
      <c r="O13" s="684">
        <f>industrie!N18</f>
        <v>315.75540818997581</v>
      </c>
      <c r="P13" s="684">
        <f>industrie!O18</f>
        <v>0</v>
      </c>
      <c r="Q13" s="685">
        <f>industrie!P18</f>
        <v>0</v>
      </c>
      <c r="R13" s="687">
        <f>SUM(C13:Q13)</f>
        <v>13463.296666271021</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53176.627202096686</v>
      </c>
      <c r="D16" s="717">
        <f t="shared" ref="D16:R16" ca="1" si="0">SUM(D9:D15)</f>
        <v>0</v>
      </c>
      <c r="E16" s="717">
        <f t="shared" ca="1" si="0"/>
        <v>41084.55167089196</v>
      </c>
      <c r="F16" s="717">
        <f t="shared" si="0"/>
        <v>5860.8550946963014</v>
      </c>
      <c r="G16" s="717">
        <f t="shared" ca="1" si="0"/>
        <v>53461.731118945674</v>
      </c>
      <c r="H16" s="717">
        <f t="shared" si="0"/>
        <v>0</v>
      </c>
      <c r="I16" s="717">
        <f t="shared" si="0"/>
        <v>0</v>
      </c>
      <c r="J16" s="717">
        <f t="shared" si="0"/>
        <v>0</v>
      </c>
      <c r="K16" s="717">
        <f t="shared" si="0"/>
        <v>752.11174246741882</v>
      </c>
      <c r="L16" s="717">
        <f t="shared" si="0"/>
        <v>0</v>
      </c>
      <c r="M16" s="717">
        <f t="shared" ca="1" si="0"/>
        <v>0</v>
      </c>
      <c r="N16" s="717">
        <f t="shared" si="0"/>
        <v>0</v>
      </c>
      <c r="O16" s="717">
        <f t="shared" ca="1" si="0"/>
        <v>9358.3649701735176</v>
      </c>
      <c r="P16" s="717">
        <f t="shared" si="0"/>
        <v>143.82666666666665</v>
      </c>
      <c r="Q16" s="717">
        <f t="shared" si="0"/>
        <v>648.26666666666665</v>
      </c>
      <c r="R16" s="717">
        <f t="shared" ca="1" si="0"/>
        <v>164486.3351326049</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1785.2864485339626</v>
      </c>
      <c r="I19" s="684">
        <f>transport!H54</f>
        <v>0</v>
      </c>
      <c r="J19" s="684">
        <f>transport!I54</f>
        <v>0</v>
      </c>
      <c r="K19" s="684">
        <f>transport!J54</f>
        <v>0</v>
      </c>
      <c r="L19" s="684">
        <f>transport!K54</f>
        <v>0</v>
      </c>
      <c r="M19" s="684">
        <f>transport!L54</f>
        <v>0</v>
      </c>
      <c r="N19" s="684">
        <f>transport!M54</f>
        <v>78.331528111440051</v>
      </c>
      <c r="O19" s="684">
        <f>transport!N54</f>
        <v>0</v>
      </c>
      <c r="P19" s="684">
        <f>transport!O54</f>
        <v>0</v>
      </c>
      <c r="Q19" s="685">
        <f>transport!P54</f>
        <v>0</v>
      </c>
      <c r="R19" s="687">
        <f>SUM(C19:Q19)</f>
        <v>1863.6179766454027</v>
      </c>
      <c r="S19" s="68"/>
    </row>
    <row r="20" spans="1:19" s="453" customFormat="1">
      <c r="A20" s="799" t="s">
        <v>306</v>
      </c>
      <c r="B20" s="804"/>
      <c r="C20" s="684">
        <f>transport!B14</f>
        <v>1.3110439618767749</v>
      </c>
      <c r="D20" s="684">
        <f>transport!C14</f>
        <v>0</v>
      </c>
      <c r="E20" s="684">
        <f>transport!D14</f>
        <v>3.4534617527274913</v>
      </c>
      <c r="F20" s="684">
        <f>transport!E14</f>
        <v>215.5636848670741</v>
      </c>
      <c r="G20" s="684">
        <f>transport!F14</f>
        <v>0</v>
      </c>
      <c r="H20" s="684">
        <f>transport!G14</f>
        <v>47022.743672641991</v>
      </c>
      <c r="I20" s="684">
        <f>transport!H14</f>
        <v>8691.3772867376611</v>
      </c>
      <c r="J20" s="684">
        <f>transport!I14</f>
        <v>0</v>
      </c>
      <c r="K20" s="684">
        <f>transport!J14</f>
        <v>0</v>
      </c>
      <c r="L20" s="684">
        <f>transport!K14</f>
        <v>0</v>
      </c>
      <c r="M20" s="684">
        <f>transport!L14</f>
        <v>0</v>
      </c>
      <c r="N20" s="684">
        <f>transport!M14</f>
        <v>2490.4208790369889</v>
      </c>
      <c r="O20" s="684">
        <f>transport!N14</f>
        <v>0</v>
      </c>
      <c r="P20" s="684">
        <f>transport!O14</f>
        <v>0</v>
      </c>
      <c r="Q20" s="685">
        <f>transport!P14</f>
        <v>0</v>
      </c>
      <c r="R20" s="687">
        <f>SUM(C20:Q20)</f>
        <v>58424.870028998317</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1.3110439618767749</v>
      </c>
      <c r="D22" s="802">
        <f t="shared" ref="D22:R22" si="1">SUM(D18:D21)</f>
        <v>0</v>
      </c>
      <c r="E22" s="802">
        <f t="shared" si="1"/>
        <v>3.4534617527274913</v>
      </c>
      <c r="F22" s="802">
        <f t="shared" si="1"/>
        <v>215.5636848670741</v>
      </c>
      <c r="G22" s="802">
        <f t="shared" si="1"/>
        <v>0</v>
      </c>
      <c r="H22" s="802">
        <f t="shared" si="1"/>
        <v>48808.030121175951</v>
      </c>
      <c r="I22" s="802">
        <f t="shared" si="1"/>
        <v>8691.3772867376611</v>
      </c>
      <c r="J22" s="802">
        <f t="shared" si="1"/>
        <v>0</v>
      </c>
      <c r="K22" s="802">
        <f t="shared" si="1"/>
        <v>0</v>
      </c>
      <c r="L22" s="802">
        <f t="shared" si="1"/>
        <v>0</v>
      </c>
      <c r="M22" s="802">
        <f t="shared" si="1"/>
        <v>0</v>
      </c>
      <c r="N22" s="802">
        <f t="shared" si="1"/>
        <v>2568.752407148429</v>
      </c>
      <c r="O22" s="802">
        <f t="shared" si="1"/>
        <v>0</v>
      </c>
      <c r="P22" s="802">
        <f t="shared" si="1"/>
        <v>0</v>
      </c>
      <c r="Q22" s="802">
        <f t="shared" si="1"/>
        <v>0</v>
      </c>
      <c r="R22" s="802">
        <f t="shared" si="1"/>
        <v>60288.488005643718</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467.42711804476602</v>
      </c>
      <c r="D24" s="684">
        <f>+landbouw!C8</f>
        <v>0</v>
      </c>
      <c r="E24" s="684">
        <f>+landbouw!D8</f>
        <v>187.19221083988509</v>
      </c>
      <c r="F24" s="684">
        <f>+landbouw!E8</f>
        <v>4.4034766384242712</v>
      </c>
      <c r="G24" s="684">
        <f>+landbouw!F8</f>
        <v>1525.3698116169287</v>
      </c>
      <c r="H24" s="684">
        <f>+landbouw!G8</f>
        <v>0</v>
      </c>
      <c r="I24" s="684">
        <f>+landbouw!H8</f>
        <v>0</v>
      </c>
      <c r="J24" s="684">
        <f>+landbouw!I8</f>
        <v>0</v>
      </c>
      <c r="K24" s="684">
        <f>+landbouw!J8</f>
        <v>57.823008067202998</v>
      </c>
      <c r="L24" s="684">
        <f>+landbouw!K8</f>
        <v>0</v>
      </c>
      <c r="M24" s="684">
        <f>+landbouw!L8</f>
        <v>0</v>
      </c>
      <c r="N24" s="684">
        <f>+landbouw!M8</f>
        <v>0</v>
      </c>
      <c r="O24" s="684">
        <f>+landbouw!N8</f>
        <v>0</v>
      </c>
      <c r="P24" s="684">
        <f>+landbouw!O8</f>
        <v>0</v>
      </c>
      <c r="Q24" s="685">
        <f>+landbouw!P8</f>
        <v>0</v>
      </c>
      <c r="R24" s="687">
        <f>SUM(C24:Q24)</f>
        <v>2242.2156252072073</v>
      </c>
      <c r="S24" s="68"/>
    </row>
    <row r="25" spans="1:19" s="453" customFormat="1" ht="15" thickBot="1">
      <c r="A25" s="821" t="s">
        <v>896</v>
      </c>
      <c r="B25" s="990"/>
      <c r="C25" s="991">
        <f>IF(Onbekend_ele_kWh="---",0,Onbekend_ele_kWh)/1000+IF(REST_rest_ele_kWh="---",0,REST_rest_ele_kWh)/1000</f>
        <v>780.00682165433398</v>
      </c>
      <c r="D25" s="991"/>
      <c r="E25" s="991">
        <f>IF(onbekend_gas_kWh="---",0,onbekend_gas_kWh)/1000+IF(REST_rest_gas_kWh="---",0,REST_rest_gas_kWh)/1000</f>
        <v>2305.5666937989499</v>
      </c>
      <c r="F25" s="991"/>
      <c r="G25" s="991"/>
      <c r="H25" s="991"/>
      <c r="I25" s="991"/>
      <c r="J25" s="991"/>
      <c r="K25" s="991"/>
      <c r="L25" s="991"/>
      <c r="M25" s="991"/>
      <c r="N25" s="991"/>
      <c r="O25" s="991"/>
      <c r="P25" s="991"/>
      <c r="Q25" s="992"/>
      <c r="R25" s="687">
        <f>SUM(C25:Q25)</f>
        <v>3085.573515453284</v>
      </c>
      <c r="S25" s="68"/>
    </row>
    <row r="26" spans="1:19" s="453" customFormat="1" ht="15.75" thickBot="1">
      <c r="A26" s="690" t="s">
        <v>897</v>
      </c>
      <c r="B26" s="807"/>
      <c r="C26" s="802">
        <f>SUM(C24:C25)</f>
        <v>1247.4339396990999</v>
      </c>
      <c r="D26" s="802">
        <f t="shared" ref="D26:R26" si="2">SUM(D24:D25)</f>
        <v>0</v>
      </c>
      <c r="E26" s="802">
        <f t="shared" si="2"/>
        <v>2492.7589046388348</v>
      </c>
      <c r="F26" s="802">
        <f t="shared" si="2"/>
        <v>4.4034766384242712</v>
      </c>
      <c r="G26" s="802">
        <f t="shared" si="2"/>
        <v>1525.3698116169287</v>
      </c>
      <c r="H26" s="802">
        <f t="shared" si="2"/>
        <v>0</v>
      </c>
      <c r="I26" s="802">
        <f t="shared" si="2"/>
        <v>0</v>
      </c>
      <c r="J26" s="802">
        <f t="shared" si="2"/>
        <v>0</v>
      </c>
      <c r="K26" s="802">
        <f t="shared" si="2"/>
        <v>57.823008067202998</v>
      </c>
      <c r="L26" s="802">
        <f t="shared" si="2"/>
        <v>0</v>
      </c>
      <c r="M26" s="802">
        <f t="shared" si="2"/>
        <v>0</v>
      </c>
      <c r="N26" s="802">
        <f t="shared" si="2"/>
        <v>0</v>
      </c>
      <c r="O26" s="802">
        <f t="shared" si="2"/>
        <v>0</v>
      </c>
      <c r="P26" s="802">
        <f t="shared" si="2"/>
        <v>0</v>
      </c>
      <c r="Q26" s="802">
        <f t="shared" si="2"/>
        <v>0</v>
      </c>
      <c r="R26" s="802">
        <f t="shared" si="2"/>
        <v>5327.7891406604913</v>
      </c>
      <c r="S26" s="68"/>
    </row>
    <row r="27" spans="1:19" s="453" customFormat="1" ht="17.25" thickTop="1" thickBot="1">
      <c r="A27" s="691" t="s">
        <v>115</v>
      </c>
      <c r="B27" s="794"/>
      <c r="C27" s="692">
        <f ca="1">C22+C16+C26</f>
        <v>54425.37218575766</v>
      </c>
      <c r="D27" s="692">
        <f t="shared" ref="D27:R27" ca="1" si="3">D22+D16+D26</f>
        <v>0</v>
      </c>
      <c r="E27" s="692">
        <f t="shared" ca="1" si="3"/>
        <v>43580.764037283516</v>
      </c>
      <c r="F27" s="692">
        <f t="shared" si="3"/>
        <v>6080.8222562017991</v>
      </c>
      <c r="G27" s="692">
        <f t="shared" ca="1" si="3"/>
        <v>54987.100930562599</v>
      </c>
      <c r="H27" s="692">
        <f t="shared" si="3"/>
        <v>48808.030121175951</v>
      </c>
      <c r="I27" s="692">
        <f t="shared" si="3"/>
        <v>8691.3772867376611</v>
      </c>
      <c r="J27" s="692">
        <f t="shared" si="3"/>
        <v>0</v>
      </c>
      <c r="K27" s="692">
        <f t="shared" si="3"/>
        <v>809.9347505346218</v>
      </c>
      <c r="L27" s="692">
        <f t="shared" si="3"/>
        <v>0</v>
      </c>
      <c r="M27" s="692">
        <f t="shared" ca="1" si="3"/>
        <v>0</v>
      </c>
      <c r="N27" s="692">
        <f t="shared" si="3"/>
        <v>2568.752407148429</v>
      </c>
      <c r="O27" s="692">
        <f t="shared" ca="1" si="3"/>
        <v>9358.3649701735176</v>
      </c>
      <c r="P27" s="692">
        <f t="shared" si="3"/>
        <v>143.82666666666665</v>
      </c>
      <c r="Q27" s="692">
        <f t="shared" si="3"/>
        <v>648.26666666666665</v>
      </c>
      <c r="R27" s="692">
        <f t="shared" ca="1" si="3"/>
        <v>230102.6122789091</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2944.7378449666858</v>
      </c>
      <c r="D40" s="684">
        <f ca="1">tertiair!C20</f>
        <v>0</v>
      </c>
      <c r="E40" s="684">
        <f ca="1">tertiair!D20</f>
        <v>1550.5570333328144</v>
      </c>
      <c r="F40" s="684">
        <f>tertiair!E20</f>
        <v>25.506485185431938</v>
      </c>
      <c r="G40" s="684">
        <f ca="1">tertiair!F20</f>
        <v>698.04280056635048</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5218.8441640512829</v>
      </c>
    </row>
    <row r="41" spans="1:18">
      <c r="A41" s="812" t="s">
        <v>224</v>
      </c>
      <c r="B41" s="819"/>
      <c r="C41" s="684">
        <f ca="1">huishoudens!B12</f>
        <v>6086.0298902621043</v>
      </c>
      <c r="D41" s="684">
        <f ca="1">huishoudens!C12</f>
        <v>0</v>
      </c>
      <c r="E41" s="684">
        <f>huishoudens!D12</f>
        <v>6538.5640812322235</v>
      </c>
      <c r="F41" s="684">
        <f>huishoudens!E12</f>
        <v>1285.06373716234</v>
      </c>
      <c r="G41" s="684">
        <f>huishoudens!F12</f>
        <v>12986.961188464575</v>
      </c>
      <c r="H41" s="684">
        <f>huishoudens!G12</f>
        <v>0</v>
      </c>
      <c r="I41" s="684">
        <f>huishoudens!H12</f>
        <v>0</v>
      </c>
      <c r="J41" s="684">
        <f>huishoudens!I12</f>
        <v>0</v>
      </c>
      <c r="K41" s="684">
        <f>huishoudens!J12</f>
        <v>246.38874321677997</v>
      </c>
      <c r="L41" s="684">
        <f>huishoudens!K12</f>
        <v>0</v>
      </c>
      <c r="M41" s="684">
        <f>huishoudens!L12</f>
        <v>0</v>
      </c>
      <c r="N41" s="684">
        <f>huishoudens!M12</f>
        <v>0</v>
      </c>
      <c r="O41" s="684">
        <f>huishoudens!N12</f>
        <v>0</v>
      </c>
      <c r="P41" s="684">
        <f>huishoudens!O12</f>
        <v>0</v>
      </c>
      <c r="Q41" s="759">
        <f>huishoudens!P12</f>
        <v>0</v>
      </c>
      <c r="R41" s="840">
        <f t="shared" ca="1" si="4"/>
        <v>27143.007640338019</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2029.4913263428484</v>
      </c>
      <c r="D43" s="684">
        <f ca="1">industrie!C22</f>
        <v>0</v>
      </c>
      <c r="E43" s="684">
        <f>industrie!D22</f>
        <v>209.95832295513819</v>
      </c>
      <c r="F43" s="684">
        <f>industrie!E22</f>
        <v>19.843884148288581</v>
      </c>
      <c r="G43" s="684">
        <f>industrie!F22</f>
        <v>589.27821972756954</v>
      </c>
      <c r="H43" s="684">
        <f>industrie!G22</f>
        <v>0</v>
      </c>
      <c r="I43" s="684">
        <f>industrie!H22</f>
        <v>0</v>
      </c>
      <c r="J43" s="684">
        <f>industrie!I22</f>
        <v>0</v>
      </c>
      <c r="K43" s="684">
        <f>industrie!J22</f>
        <v>19.85881361668628</v>
      </c>
      <c r="L43" s="684">
        <f>industrie!K22</f>
        <v>0</v>
      </c>
      <c r="M43" s="684">
        <f>industrie!L22</f>
        <v>0</v>
      </c>
      <c r="N43" s="684">
        <f>industrie!M22</f>
        <v>0</v>
      </c>
      <c r="O43" s="684">
        <f>industrie!N22</f>
        <v>0</v>
      </c>
      <c r="P43" s="684">
        <f>industrie!O22</f>
        <v>0</v>
      </c>
      <c r="Q43" s="759">
        <f>industrie!P22</f>
        <v>0</v>
      </c>
      <c r="R43" s="839">
        <f t="shared" ca="1" si="4"/>
        <v>2868.430566790531</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11060.259061571638</v>
      </c>
      <c r="D46" s="717">
        <f t="shared" ref="D46:Q46" ca="1" si="5">SUM(D39:D45)</f>
        <v>0</v>
      </c>
      <c r="E46" s="717">
        <f t="shared" ca="1" si="5"/>
        <v>8299.0794375201767</v>
      </c>
      <c r="F46" s="717">
        <f t="shared" si="5"/>
        <v>1330.4141064960606</v>
      </c>
      <c r="G46" s="717">
        <f t="shared" ca="1" si="5"/>
        <v>14274.282208758495</v>
      </c>
      <c r="H46" s="717">
        <f t="shared" si="5"/>
        <v>0</v>
      </c>
      <c r="I46" s="717">
        <f t="shared" si="5"/>
        <v>0</v>
      </c>
      <c r="J46" s="717">
        <f t="shared" si="5"/>
        <v>0</v>
      </c>
      <c r="K46" s="717">
        <f t="shared" si="5"/>
        <v>266.24755683346626</v>
      </c>
      <c r="L46" s="717">
        <f t="shared" si="5"/>
        <v>0</v>
      </c>
      <c r="M46" s="717">
        <f t="shared" ca="1" si="5"/>
        <v>0</v>
      </c>
      <c r="N46" s="717">
        <f t="shared" si="5"/>
        <v>0</v>
      </c>
      <c r="O46" s="717">
        <f t="shared" ca="1" si="5"/>
        <v>0</v>
      </c>
      <c r="P46" s="717">
        <f t="shared" si="5"/>
        <v>0</v>
      </c>
      <c r="Q46" s="717">
        <f t="shared" si="5"/>
        <v>0</v>
      </c>
      <c r="R46" s="717">
        <f ca="1">SUM(R39:R45)</f>
        <v>35230.282371179834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476.67148175856806</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476.67148175856806</v>
      </c>
    </row>
    <row r="50" spans="1:18">
      <c r="A50" s="815" t="s">
        <v>306</v>
      </c>
      <c r="B50" s="825"/>
      <c r="C50" s="997">
        <f ca="1">transport!B18</f>
        <v>0.27268532478296492</v>
      </c>
      <c r="D50" s="997">
        <f>transport!C18</f>
        <v>0</v>
      </c>
      <c r="E50" s="997">
        <f>transport!D18</f>
        <v>0.69759927405095334</v>
      </c>
      <c r="F50" s="997">
        <f>transport!E18</f>
        <v>48.932956464825821</v>
      </c>
      <c r="G50" s="997">
        <f>transport!F18</f>
        <v>0</v>
      </c>
      <c r="H50" s="997">
        <f>transport!G18</f>
        <v>12555.072560595412</v>
      </c>
      <c r="I50" s="997">
        <f>transport!H18</f>
        <v>2164.1529443976774</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14769.128746056749</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0.27268532478296492</v>
      </c>
      <c r="D52" s="717">
        <f t="shared" ref="D52:Q52" ca="1" si="6">SUM(D48:D51)</f>
        <v>0</v>
      </c>
      <c r="E52" s="717">
        <f t="shared" si="6"/>
        <v>0.69759927405095334</v>
      </c>
      <c r="F52" s="717">
        <f t="shared" si="6"/>
        <v>48.932956464825821</v>
      </c>
      <c r="G52" s="717">
        <f t="shared" si="6"/>
        <v>0</v>
      </c>
      <c r="H52" s="717">
        <f t="shared" si="6"/>
        <v>13031.744042353981</v>
      </c>
      <c r="I52" s="717">
        <f t="shared" si="6"/>
        <v>2164.1529443976774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15245.800227815318</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97.220626617234913</v>
      </c>
      <c r="D54" s="997">
        <f ca="1">+landbouw!C12</f>
        <v>0</v>
      </c>
      <c r="E54" s="997">
        <f>+landbouw!D12</f>
        <v>37.812826589656794</v>
      </c>
      <c r="F54" s="997">
        <f>+landbouw!E12</f>
        <v>0.99958919692230963</v>
      </c>
      <c r="G54" s="997">
        <f>+landbouw!F12</f>
        <v>407.27373970171999</v>
      </c>
      <c r="H54" s="997">
        <f>+landbouw!G12</f>
        <v>0</v>
      </c>
      <c r="I54" s="997">
        <f>+landbouw!H12</f>
        <v>0</v>
      </c>
      <c r="J54" s="997">
        <f>+landbouw!I12</f>
        <v>0</v>
      </c>
      <c r="K54" s="997">
        <f>+landbouw!J12</f>
        <v>20.46934485578986</v>
      </c>
      <c r="L54" s="997">
        <f>+landbouw!K12</f>
        <v>0</v>
      </c>
      <c r="M54" s="997">
        <f>+landbouw!L12</f>
        <v>0</v>
      </c>
      <c r="N54" s="997">
        <f>+landbouw!M12</f>
        <v>0</v>
      </c>
      <c r="O54" s="997">
        <f>+landbouw!N12</f>
        <v>0</v>
      </c>
      <c r="P54" s="997">
        <f>+landbouw!O12</f>
        <v>0</v>
      </c>
      <c r="Q54" s="998">
        <f>+landbouw!P12</f>
        <v>0</v>
      </c>
      <c r="R54" s="716">
        <f ca="1">SUM(C54:Q54)</f>
        <v>563.77612696132383</v>
      </c>
    </row>
    <row r="55" spans="1:18" ht="15" thickBot="1">
      <c r="A55" s="815" t="s">
        <v>896</v>
      </c>
      <c r="B55" s="825"/>
      <c r="C55" s="997">
        <f ca="1">C25*'EF ele_warmte'!B12</f>
        <v>162.23438700809302</v>
      </c>
      <c r="D55" s="997"/>
      <c r="E55" s="997">
        <f>E25*EF_CO2_aardgas</f>
        <v>465.72447214738793</v>
      </c>
      <c r="F55" s="997"/>
      <c r="G55" s="997"/>
      <c r="H55" s="997"/>
      <c r="I55" s="997"/>
      <c r="J55" s="997"/>
      <c r="K55" s="997"/>
      <c r="L55" s="997"/>
      <c r="M55" s="997"/>
      <c r="N55" s="997"/>
      <c r="O55" s="997"/>
      <c r="P55" s="997"/>
      <c r="Q55" s="998"/>
      <c r="R55" s="716">
        <f ca="1">SUM(C55:Q55)</f>
        <v>627.95885915548092</v>
      </c>
    </row>
    <row r="56" spans="1:18" ht="15.75" thickBot="1">
      <c r="A56" s="813" t="s">
        <v>897</v>
      </c>
      <c r="B56" s="826"/>
      <c r="C56" s="717">
        <f ca="1">SUM(C54:C55)</f>
        <v>259.45501362532792</v>
      </c>
      <c r="D56" s="717">
        <f t="shared" ref="D56:Q56" ca="1" si="7">SUM(D54:D55)</f>
        <v>0</v>
      </c>
      <c r="E56" s="717">
        <f t="shared" si="7"/>
        <v>503.53729873704469</v>
      </c>
      <c r="F56" s="717">
        <f t="shared" si="7"/>
        <v>0.99958919692230963</v>
      </c>
      <c r="G56" s="717">
        <f t="shared" si="7"/>
        <v>407.27373970171999</v>
      </c>
      <c r="H56" s="717">
        <f t="shared" si="7"/>
        <v>0</v>
      </c>
      <c r="I56" s="717">
        <f t="shared" si="7"/>
        <v>0</v>
      </c>
      <c r="J56" s="717">
        <f t="shared" si="7"/>
        <v>0</v>
      </c>
      <c r="K56" s="717">
        <f t="shared" si="7"/>
        <v>20.46934485578986</v>
      </c>
      <c r="L56" s="717">
        <f t="shared" si="7"/>
        <v>0</v>
      </c>
      <c r="M56" s="717">
        <f t="shared" si="7"/>
        <v>0</v>
      </c>
      <c r="N56" s="717">
        <f t="shared" si="7"/>
        <v>0</v>
      </c>
      <c r="O56" s="717">
        <f t="shared" si="7"/>
        <v>0</v>
      </c>
      <c r="P56" s="717">
        <f t="shared" si="7"/>
        <v>0</v>
      </c>
      <c r="Q56" s="718">
        <f t="shared" si="7"/>
        <v>0</v>
      </c>
      <c r="R56" s="719">
        <f ca="1">SUM(R54:R55)</f>
        <v>1191.7349861168047</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11319.986760521748</v>
      </c>
      <c r="D61" s="725">
        <f t="shared" ref="D61:Q61" ca="1" si="8">D46+D52+D56</f>
        <v>0</v>
      </c>
      <c r="E61" s="725">
        <f t="shared" ca="1" si="8"/>
        <v>8803.3143355312732</v>
      </c>
      <c r="F61" s="725">
        <f t="shared" si="8"/>
        <v>1380.3466521578086</v>
      </c>
      <c r="G61" s="725">
        <f t="shared" ca="1" si="8"/>
        <v>14681.555948460216</v>
      </c>
      <c r="H61" s="725">
        <f t="shared" si="8"/>
        <v>13031.744042353981</v>
      </c>
      <c r="I61" s="725">
        <f t="shared" si="8"/>
        <v>2164.1529443976774</v>
      </c>
      <c r="J61" s="725">
        <f t="shared" si="8"/>
        <v>0</v>
      </c>
      <c r="K61" s="725">
        <f t="shared" si="8"/>
        <v>286.71690168925613</v>
      </c>
      <c r="L61" s="725">
        <f t="shared" si="8"/>
        <v>0</v>
      </c>
      <c r="M61" s="725">
        <f t="shared" ca="1" si="8"/>
        <v>0</v>
      </c>
      <c r="N61" s="725">
        <f t="shared" si="8"/>
        <v>0</v>
      </c>
      <c r="O61" s="725">
        <f t="shared" ca="1" si="8"/>
        <v>0</v>
      </c>
      <c r="P61" s="725">
        <f t="shared" si="8"/>
        <v>0</v>
      </c>
      <c r="Q61" s="725">
        <f t="shared" si="8"/>
        <v>0</v>
      </c>
      <c r="R61" s="725">
        <f ca="1">R46+R52+R56</f>
        <v>51667.817585111959</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0.20799098482755118</v>
      </c>
      <c r="D63" s="769">
        <f t="shared" ca="1" si="9"/>
        <v>0</v>
      </c>
      <c r="E63" s="999">
        <f t="shared" ca="1" si="9"/>
        <v>0.20200000000000007</v>
      </c>
      <c r="F63" s="769">
        <f t="shared" si="9"/>
        <v>0.22700000000000004</v>
      </c>
      <c r="G63" s="769">
        <f t="shared" ca="1" si="9"/>
        <v>0.26700000000000002</v>
      </c>
      <c r="H63" s="769">
        <f t="shared" si="9"/>
        <v>0.26700000000000007</v>
      </c>
      <c r="I63" s="769">
        <f t="shared" si="9"/>
        <v>0.24899999999999997</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69</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3134.7126358854885</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3203.7126358854885</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69</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3134.7126358854885</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3203.7126358854885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29261.027324372415</v>
      </c>
      <c r="C4" s="457">
        <f>huishoudens!C8</f>
        <v>0</v>
      </c>
      <c r="D4" s="457">
        <f>huishoudens!D8</f>
        <v>32369.129115011005</v>
      </c>
      <c r="E4" s="457">
        <f>huishoudens!E8</f>
        <v>5661.0737319926866</v>
      </c>
      <c r="F4" s="457">
        <f>huishoudens!F8</f>
        <v>48640.304076646345</v>
      </c>
      <c r="G4" s="457">
        <f>huishoudens!G8</f>
        <v>0</v>
      </c>
      <c r="H4" s="457">
        <f>huishoudens!H8</f>
        <v>0</v>
      </c>
      <c r="I4" s="457">
        <f>huishoudens!I8</f>
        <v>0</v>
      </c>
      <c r="J4" s="457">
        <f>huishoudens!J8</f>
        <v>696.01339891745761</v>
      </c>
      <c r="K4" s="457">
        <f>huishoudens!K8</f>
        <v>0</v>
      </c>
      <c r="L4" s="457">
        <f>huishoudens!L8</f>
        <v>0</v>
      </c>
      <c r="M4" s="457">
        <f>huishoudens!M8</f>
        <v>0</v>
      </c>
      <c r="N4" s="457">
        <f>huishoudens!N8</f>
        <v>7833.126009728534</v>
      </c>
      <c r="O4" s="457">
        <f>huishoudens!O8</f>
        <v>142.26333333333332</v>
      </c>
      <c r="P4" s="458">
        <f>huishoudens!P8</f>
        <v>572</v>
      </c>
      <c r="Q4" s="459">
        <f>SUM(B4:P4)</f>
        <v>125174.93699000179</v>
      </c>
    </row>
    <row r="5" spans="1:17">
      <c r="A5" s="456" t="s">
        <v>155</v>
      </c>
      <c r="B5" s="457">
        <f ca="1">tertiair!B16</f>
        <v>12999.356124242509</v>
      </c>
      <c r="C5" s="457">
        <f ca="1">tertiair!C16</f>
        <v>0</v>
      </c>
      <c r="D5" s="457">
        <f ca="1">tertiair!D16</f>
        <v>7676.0249174891796</v>
      </c>
      <c r="E5" s="457">
        <f>tertiair!E16</f>
        <v>112.36337086093364</v>
      </c>
      <c r="F5" s="457">
        <f ca="1">tertiair!F16</f>
        <v>2614.3925114844587</v>
      </c>
      <c r="G5" s="457">
        <f>tertiair!G16</f>
        <v>0</v>
      </c>
      <c r="H5" s="457">
        <f>tertiair!H16</f>
        <v>0</v>
      </c>
      <c r="I5" s="457">
        <f>tertiair!I16</f>
        <v>0</v>
      </c>
      <c r="J5" s="457">
        <f>tertiair!J16</f>
        <v>0</v>
      </c>
      <c r="K5" s="457">
        <f>tertiair!K16</f>
        <v>0</v>
      </c>
      <c r="L5" s="457">
        <f ca="1">tertiair!L16</f>
        <v>0</v>
      </c>
      <c r="M5" s="457">
        <f>tertiair!M16</f>
        <v>0</v>
      </c>
      <c r="N5" s="457">
        <f ca="1">tertiair!N16</f>
        <v>1209.4835522550077</v>
      </c>
      <c r="O5" s="457">
        <f>tertiair!O16</f>
        <v>1.5633333333333335</v>
      </c>
      <c r="P5" s="458">
        <f>tertiair!P16</f>
        <v>76.266666666666666</v>
      </c>
      <c r="Q5" s="456">
        <f t="shared" ref="Q5:Q14" ca="1" si="0">SUM(B5:P5)</f>
        <v>24689.450476332087</v>
      </c>
    </row>
    <row r="6" spans="1:17">
      <c r="A6" s="456" t="s">
        <v>193</v>
      </c>
      <c r="B6" s="457">
        <f>'openbare verlichting'!B8</f>
        <v>1158.6510000000001</v>
      </c>
      <c r="C6" s="457"/>
      <c r="D6" s="457"/>
      <c r="E6" s="457"/>
      <c r="F6" s="457"/>
      <c r="G6" s="457"/>
      <c r="H6" s="457"/>
      <c r="I6" s="457"/>
      <c r="J6" s="457"/>
      <c r="K6" s="457"/>
      <c r="L6" s="457"/>
      <c r="M6" s="457"/>
      <c r="N6" s="457"/>
      <c r="O6" s="457"/>
      <c r="P6" s="458"/>
      <c r="Q6" s="456">
        <f t="shared" si="0"/>
        <v>1158.6510000000001</v>
      </c>
    </row>
    <row r="7" spans="1:17">
      <c r="A7" s="456" t="s">
        <v>111</v>
      </c>
      <c r="B7" s="457">
        <f>landbouw!B8</f>
        <v>467.42711804476602</v>
      </c>
      <c r="C7" s="457">
        <f>landbouw!C8</f>
        <v>0</v>
      </c>
      <c r="D7" s="457">
        <f>landbouw!D8</f>
        <v>187.19221083988509</v>
      </c>
      <c r="E7" s="457">
        <f>landbouw!E8</f>
        <v>4.4034766384242712</v>
      </c>
      <c r="F7" s="457">
        <f>landbouw!F8</f>
        <v>1525.3698116169287</v>
      </c>
      <c r="G7" s="457">
        <f>landbouw!G8</f>
        <v>0</v>
      </c>
      <c r="H7" s="457">
        <f>landbouw!H8</f>
        <v>0</v>
      </c>
      <c r="I7" s="457">
        <f>landbouw!I8</f>
        <v>0</v>
      </c>
      <c r="J7" s="457">
        <f>landbouw!J8</f>
        <v>57.823008067202998</v>
      </c>
      <c r="K7" s="457">
        <f>landbouw!K8</f>
        <v>0</v>
      </c>
      <c r="L7" s="457">
        <f>landbouw!L8</f>
        <v>0</v>
      </c>
      <c r="M7" s="457">
        <f>landbouw!M8</f>
        <v>0</v>
      </c>
      <c r="N7" s="457">
        <f>landbouw!N8</f>
        <v>0</v>
      </c>
      <c r="O7" s="457">
        <f>landbouw!O8</f>
        <v>0</v>
      </c>
      <c r="P7" s="458">
        <f>landbouw!P8</f>
        <v>0</v>
      </c>
      <c r="Q7" s="456">
        <f t="shared" si="0"/>
        <v>2242.2156252072073</v>
      </c>
    </row>
    <row r="8" spans="1:17">
      <c r="A8" s="456" t="s">
        <v>682</v>
      </c>
      <c r="B8" s="457">
        <f>industrie!B18</f>
        <v>9757.5927534817602</v>
      </c>
      <c r="C8" s="457">
        <f>industrie!C18</f>
        <v>0</v>
      </c>
      <c r="D8" s="457">
        <f>industrie!D18</f>
        <v>1039.3976383917732</v>
      </c>
      <c r="E8" s="457">
        <f>industrie!E18</f>
        <v>87.417991842680976</v>
      </c>
      <c r="F8" s="457">
        <f>industrie!F18</f>
        <v>2207.0345308148671</v>
      </c>
      <c r="G8" s="457">
        <f>industrie!G18</f>
        <v>0</v>
      </c>
      <c r="H8" s="457">
        <f>industrie!H18</f>
        <v>0</v>
      </c>
      <c r="I8" s="457">
        <f>industrie!I18</f>
        <v>0</v>
      </c>
      <c r="J8" s="457">
        <f>industrie!J18</f>
        <v>56.09834354996125</v>
      </c>
      <c r="K8" s="457">
        <f>industrie!K18</f>
        <v>0</v>
      </c>
      <c r="L8" s="457">
        <f>industrie!L18</f>
        <v>0</v>
      </c>
      <c r="M8" s="457">
        <f>industrie!M18</f>
        <v>0</v>
      </c>
      <c r="N8" s="457">
        <f>industrie!N18</f>
        <v>315.75540818997581</v>
      </c>
      <c r="O8" s="457">
        <f>industrie!O18</f>
        <v>0</v>
      </c>
      <c r="P8" s="458">
        <f>industrie!P18</f>
        <v>0</v>
      </c>
      <c r="Q8" s="456">
        <f t="shared" si="0"/>
        <v>13463.296666271021</v>
      </c>
    </row>
    <row r="9" spans="1:17" s="462" customFormat="1">
      <c r="A9" s="460" t="s">
        <v>578</v>
      </c>
      <c r="B9" s="461">
        <f>transport!B14</f>
        <v>1.3110439618767749</v>
      </c>
      <c r="C9" s="461">
        <f>transport!C14</f>
        <v>0</v>
      </c>
      <c r="D9" s="461">
        <f>transport!D14</f>
        <v>3.4534617527274913</v>
      </c>
      <c r="E9" s="461">
        <f>transport!E14</f>
        <v>215.5636848670741</v>
      </c>
      <c r="F9" s="461">
        <f>transport!F14</f>
        <v>0</v>
      </c>
      <c r="G9" s="461">
        <f>transport!G14</f>
        <v>47022.743672641991</v>
      </c>
      <c r="H9" s="461">
        <f>transport!H14</f>
        <v>8691.3772867376611</v>
      </c>
      <c r="I9" s="461">
        <f>transport!I14</f>
        <v>0</v>
      </c>
      <c r="J9" s="461">
        <f>transport!J14</f>
        <v>0</v>
      </c>
      <c r="K9" s="461">
        <f>transport!K14</f>
        <v>0</v>
      </c>
      <c r="L9" s="461">
        <f>transport!L14</f>
        <v>0</v>
      </c>
      <c r="M9" s="461">
        <f>transport!M14</f>
        <v>2490.4208790369889</v>
      </c>
      <c r="N9" s="461">
        <f>transport!N14</f>
        <v>0</v>
      </c>
      <c r="O9" s="461">
        <f>transport!O14</f>
        <v>0</v>
      </c>
      <c r="P9" s="461">
        <f>transport!P14</f>
        <v>0</v>
      </c>
      <c r="Q9" s="460">
        <f>SUM(B9:P9)</f>
        <v>58424.870028998317</v>
      </c>
    </row>
    <row r="10" spans="1:17">
      <c r="A10" s="456" t="s">
        <v>568</v>
      </c>
      <c r="B10" s="457">
        <f>transport!B54</f>
        <v>0</v>
      </c>
      <c r="C10" s="457">
        <f>transport!C54</f>
        <v>0</v>
      </c>
      <c r="D10" s="457">
        <f>transport!D54</f>
        <v>0</v>
      </c>
      <c r="E10" s="457">
        <f>transport!E54</f>
        <v>0</v>
      </c>
      <c r="F10" s="457">
        <f>transport!F54</f>
        <v>0</v>
      </c>
      <c r="G10" s="457">
        <f>transport!G54</f>
        <v>1785.2864485339626</v>
      </c>
      <c r="H10" s="457">
        <f>transport!H54</f>
        <v>0</v>
      </c>
      <c r="I10" s="457">
        <f>transport!I54</f>
        <v>0</v>
      </c>
      <c r="J10" s="457">
        <f>transport!J54</f>
        <v>0</v>
      </c>
      <c r="K10" s="457">
        <f>transport!K54</f>
        <v>0</v>
      </c>
      <c r="L10" s="457">
        <f>transport!L54</f>
        <v>0</v>
      </c>
      <c r="M10" s="457">
        <f>transport!M54</f>
        <v>78.331528111440051</v>
      </c>
      <c r="N10" s="457">
        <f>transport!N54</f>
        <v>0</v>
      </c>
      <c r="O10" s="457">
        <f>transport!O54</f>
        <v>0</v>
      </c>
      <c r="P10" s="458">
        <f>transport!P54</f>
        <v>0</v>
      </c>
      <c r="Q10" s="456">
        <f t="shared" si="0"/>
        <v>1863.6179766454027</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780.00682165433398</v>
      </c>
      <c r="C14" s="464"/>
      <c r="D14" s="464">
        <f>'SEAP template'!E25</f>
        <v>2305.5666937989499</v>
      </c>
      <c r="E14" s="464"/>
      <c r="F14" s="464"/>
      <c r="G14" s="464"/>
      <c r="H14" s="464"/>
      <c r="I14" s="464"/>
      <c r="J14" s="464"/>
      <c r="K14" s="464"/>
      <c r="L14" s="464"/>
      <c r="M14" s="464"/>
      <c r="N14" s="464"/>
      <c r="O14" s="464"/>
      <c r="P14" s="465"/>
      <c r="Q14" s="456">
        <f t="shared" si="0"/>
        <v>3085.573515453284</v>
      </c>
    </row>
    <row r="15" spans="1:17" s="469" customFormat="1">
      <c r="A15" s="466" t="s">
        <v>572</v>
      </c>
      <c r="B15" s="467">
        <f ca="1">SUM(B4:B14)</f>
        <v>54425.372185757667</v>
      </c>
      <c r="C15" s="467">
        <f t="shared" ref="C15:Q15" ca="1" si="1">SUM(C4:C14)</f>
        <v>0</v>
      </c>
      <c r="D15" s="467">
        <f t="shared" ca="1" si="1"/>
        <v>43580.764037283523</v>
      </c>
      <c r="E15" s="467">
        <f t="shared" si="1"/>
        <v>6080.8222562017991</v>
      </c>
      <c r="F15" s="467">
        <f t="shared" ca="1" si="1"/>
        <v>54987.100930562599</v>
      </c>
      <c r="G15" s="467">
        <f t="shared" si="1"/>
        <v>48808.030121175951</v>
      </c>
      <c r="H15" s="467">
        <f t="shared" si="1"/>
        <v>8691.3772867376611</v>
      </c>
      <c r="I15" s="467">
        <f t="shared" si="1"/>
        <v>0</v>
      </c>
      <c r="J15" s="467">
        <f t="shared" si="1"/>
        <v>809.9347505346218</v>
      </c>
      <c r="K15" s="467">
        <f t="shared" si="1"/>
        <v>0</v>
      </c>
      <c r="L15" s="467">
        <f t="shared" ca="1" si="1"/>
        <v>0</v>
      </c>
      <c r="M15" s="467">
        <f t="shared" si="1"/>
        <v>2568.752407148429</v>
      </c>
      <c r="N15" s="467">
        <f t="shared" ca="1" si="1"/>
        <v>9358.3649701735176</v>
      </c>
      <c r="O15" s="467">
        <f t="shared" si="1"/>
        <v>143.82666666666665</v>
      </c>
      <c r="P15" s="467">
        <f t="shared" si="1"/>
        <v>648.26666666666665</v>
      </c>
      <c r="Q15" s="467">
        <f t="shared" ca="1" si="1"/>
        <v>230102.61227890913</v>
      </c>
    </row>
    <row r="17" spans="1:17">
      <c r="A17" s="470" t="s">
        <v>573</v>
      </c>
      <c r="B17" s="774">
        <f ca="1">huishoudens!B10</f>
        <v>0.20799098482755121</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6086.0298902621043</v>
      </c>
      <c r="C22" s="457">
        <f t="shared" ref="C22:C32" ca="1" si="3">C4*$C$17</f>
        <v>0</v>
      </c>
      <c r="D22" s="457">
        <f t="shared" ref="D22:D32" si="4">D4*$D$17</f>
        <v>6538.5640812322235</v>
      </c>
      <c r="E22" s="457">
        <f t="shared" ref="E22:E32" si="5">E4*$E$17</f>
        <v>1285.06373716234</v>
      </c>
      <c r="F22" s="457">
        <f t="shared" ref="F22:F32" si="6">F4*$F$17</f>
        <v>12986.961188464575</v>
      </c>
      <c r="G22" s="457">
        <f t="shared" ref="G22:G32" si="7">G4*$G$17</f>
        <v>0</v>
      </c>
      <c r="H22" s="457">
        <f t="shared" ref="H22:H32" si="8">H4*$H$17</f>
        <v>0</v>
      </c>
      <c r="I22" s="457">
        <f t="shared" ref="I22:I32" si="9">I4*$I$17</f>
        <v>0</v>
      </c>
      <c r="J22" s="457">
        <f t="shared" ref="J22:J32" si="10">J4*$J$17</f>
        <v>246.38874321677997</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27143.007640338019</v>
      </c>
    </row>
    <row r="23" spans="1:17">
      <c r="A23" s="456" t="s">
        <v>155</v>
      </c>
      <c r="B23" s="457">
        <f t="shared" ca="1" si="2"/>
        <v>2703.7488824052589</v>
      </c>
      <c r="C23" s="457">
        <f t="shared" ca="1" si="3"/>
        <v>0</v>
      </c>
      <c r="D23" s="457">
        <f t="shared" ca="1" si="4"/>
        <v>1550.5570333328144</v>
      </c>
      <c r="E23" s="457">
        <f t="shared" si="5"/>
        <v>25.506485185431938</v>
      </c>
      <c r="F23" s="457">
        <f t="shared" ca="1" si="6"/>
        <v>698.04280056635048</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4977.855201489856</v>
      </c>
    </row>
    <row r="24" spans="1:17">
      <c r="A24" s="456" t="s">
        <v>193</v>
      </c>
      <c r="B24" s="457">
        <f t="shared" ca="1" si="2"/>
        <v>240.98896256142706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240.98896256142706</v>
      </c>
    </row>
    <row r="25" spans="1:17">
      <c r="A25" s="456" t="s">
        <v>111</v>
      </c>
      <c r="B25" s="457">
        <f t="shared" ca="1" si="2"/>
        <v>97.220626617234913</v>
      </c>
      <c r="C25" s="457">
        <f t="shared" ca="1" si="3"/>
        <v>0</v>
      </c>
      <c r="D25" s="457">
        <f t="shared" si="4"/>
        <v>37.812826589656794</v>
      </c>
      <c r="E25" s="457">
        <f t="shared" si="5"/>
        <v>0.99958919692230963</v>
      </c>
      <c r="F25" s="457">
        <f t="shared" si="6"/>
        <v>407.27373970171999</v>
      </c>
      <c r="G25" s="457">
        <f t="shared" si="7"/>
        <v>0</v>
      </c>
      <c r="H25" s="457">
        <f t="shared" si="8"/>
        <v>0</v>
      </c>
      <c r="I25" s="457">
        <f t="shared" si="9"/>
        <v>0</v>
      </c>
      <c r="J25" s="457">
        <f t="shared" si="10"/>
        <v>20.46934485578986</v>
      </c>
      <c r="K25" s="457">
        <f t="shared" si="11"/>
        <v>0</v>
      </c>
      <c r="L25" s="457">
        <f t="shared" si="12"/>
        <v>0</v>
      </c>
      <c r="M25" s="457">
        <f t="shared" si="13"/>
        <v>0</v>
      </c>
      <c r="N25" s="457">
        <f t="shared" si="14"/>
        <v>0</v>
      </c>
      <c r="O25" s="457">
        <f t="shared" si="15"/>
        <v>0</v>
      </c>
      <c r="P25" s="458">
        <f t="shared" si="16"/>
        <v>0</v>
      </c>
      <c r="Q25" s="456">
        <f t="shared" ca="1" si="17"/>
        <v>563.77612696132383</v>
      </c>
    </row>
    <row r="26" spans="1:17">
      <c r="A26" s="456" t="s">
        <v>682</v>
      </c>
      <c r="B26" s="457">
        <f t="shared" ca="1" si="2"/>
        <v>2029.4913263428484</v>
      </c>
      <c r="C26" s="457">
        <f t="shared" ca="1" si="3"/>
        <v>0</v>
      </c>
      <c r="D26" s="457">
        <f t="shared" si="4"/>
        <v>209.95832295513819</v>
      </c>
      <c r="E26" s="457">
        <f t="shared" si="5"/>
        <v>19.843884148288581</v>
      </c>
      <c r="F26" s="457">
        <f t="shared" si="6"/>
        <v>589.27821972756954</v>
      </c>
      <c r="G26" s="457">
        <f t="shared" si="7"/>
        <v>0</v>
      </c>
      <c r="H26" s="457">
        <f t="shared" si="8"/>
        <v>0</v>
      </c>
      <c r="I26" s="457">
        <f t="shared" si="9"/>
        <v>0</v>
      </c>
      <c r="J26" s="457">
        <f t="shared" si="10"/>
        <v>19.85881361668628</v>
      </c>
      <c r="K26" s="457">
        <f t="shared" si="11"/>
        <v>0</v>
      </c>
      <c r="L26" s="457">
        <f t="shared" si="12"/>
        <v>0</v>
      </c>
      <c r="M26" s="457">
        <f t="shared" si="13"/>
        <v>0</v>
      </c>
      <c r="N26" s="457">
        <f t="shared" si="14"/>
        <v>0</v>
      </c>
      <c r="O26" s="457">
        <f t="shared" si="15"/>
        <v>0</v>
      </c>
      <c r="P26" s="458">
        <f t="shared" si="16"/>
        <v>0</v>
      </c>
      <c r="Q26" s="456">
        <f t="shared" ca="1" si="17"/>
        <v>2868.430566790531</v>
      </c>
    </row>
    <row r="27" spans="1:17" s="462" customFormat="1">
      <c r="A27" s="460" t="s">
        <v>578</v>
      </c>
      <c r="B27" s="768">
        <f t="shared" ca="1" si="2"/>
        <v>0.27268532478296492</v>
      </c>
      <c r="C27" s="461">
        <f t="shared" ca="1" si="3"/>
        <v>0</v>
      </c>
      <c r="D27" s="461">
        <f t="shared" si="4"/>
        <v>0.69759927405095334</v>
      </c>
      <c r="E27" s="461">
        <f t="shared" si="5"/>
        <v>48.932956464825821</v>
      </c>
      <c r="F27" s="461">
        <f t="shared" si="6"/>
        <v>0</v>
      </c>
      <c r="G27" s="461">
        <f t="shared" si="7"/>
        <v>12555.072560595412</v>
      </c>
      <c r="H27" s="461">
        <f t="shared" si="8"/>
        <v>2164.1529443976774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14769.128746056749</v>
      </c>
    </row>
    <row r="28" spans="1:17">
      <c r="A28" s="456" t="s">
        <v>568</v>
      </c>
      <c r="B28" s="457">
        <f t="shared" ca="1" si="2"/>
        <v>0</v>
      </c>
      <c r="C28" s="457">
        <f t="shared" ca="1" si="3"/>
        <v>0</v>
      </c>
      <c r="D28" s="457">
        <f t="shared" si="4"/>
        <v>0</v>
      </c>
      <c r="E28" s="457">
        <f t="shared" si="5"/>
        <v>0</v>
      </c>
      <c r="F28" s="457">
        <f t="shared" si="6"/>
        <v>0</v>
      </c>
      <c r="G28" s="457">
        <f t="shared" si="7"/>
        <v>476.67148175856806</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476.67148175856806</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162.23438700809302</v>
      </c>
      <c r="C32" s="457">
        <f t="shared" ca="1" si="3"/>
        <v>0</v>
      </c>
      <c r="D32" s="457">
        <f t="shared" si="4"/>
        <v>465.72447214738793</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627.95885915548092</v>
      </c>
    </row>
    <row r="33" spans="1:17" s="469" customFormat="1">
      <c r="A33" s="466" t="s">
        <v>572</v>
      </c>
      <c r="B33" s="467">
        <f ca="1">SUM(B22:B32)</f>
        <v>11319.986760521748</v>
      </c>
      <c r="C33" s="467">
        <f t="shared" ref="C33:Q33" ca="1" si="18">SUM(C22:C32)</f>
        <v>0</v>
      </c>
      <c r="D33" s="467">
        <f t="shared" ca="1" si="18"/>
        <v>8803.3143355312714</v>
      </c>
      <c r="E33" s="467">
        <f t="shared" si="18"/>
        <v>1380.3466521578086</v>
      </c>
      <c r="F33" s="467">
        <f t="shared" ca="1" si="18"/>
        <v>14681.555948460216</v>
      </c>
      <c r="G33" s="467">
        <f t="shared" si="18"/>
        <v>13031.744042353981</v>
      </c>
      <c r="H33" s="467">
        <f t="shared" si="18"/>
        <v>2164.1529443976774</v>
      </c>
      <c r="I33" s="467">
        <f t="shared" si="18"/>
        <v>0</v>
      </c>
      <c r="J33" s="467">
        <f t="shared" si="18"/>
        <v>286.71690168925613</v>
      </c>
      <c r="K33" s="467">
        <f t="shared" si="18"/>
        <v>0</v>
      </c>
      <c r="L33" s="467">
        <f t="shared" ca="1" si="18"/>
        <v>0</v>
      </c>
      <c r="M33" s="467">
        <f t="shared" si="18"/>
        <v>0</v>
      </c>
      <c r="N33" s="467">
        <f t="shared" ca="1" si="18"/>
        <v>0</v>
      </c>
      <c r="O33" s="467">
        <f t="shared" si="18"/>
        <v>0</v>
      </c>
      <c r="P33" s="467">
        <f t="shared" si="18"/>
        <v>0</v>
      </c>
      <c r="Q33" s="467">
        <f t="shared" ca="1" si="18"/>
        <v>51667.817585111945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69</v>
      </c>
      <c r="C5" s="1026"/>
      <c r="D5" s="1026"/>
      <c r="E5" s="1026"/>
      <c r="F5" s="1026"/>
      <c r="G5" s="1026"/>
      <c r="H5" s="1026"/>
      <c r="I5" s="1026"/>
      <c r="J5" s="1026"/>
      <c r="K5" s="1026"/>
      <c r="L5" s="1026"/>
      <c r="M5" s="1026"/>
      <c r="N5" s="1026"/>
      <c r="O5" s="1026"/>
      <c r="P5" s="1027">
        <f>'SEAP template'!Q73</f>
        <v>0</v>
      </c>
    </row>
    <row r="6" spans="1:16">
      <c r="A6" s="1028" t="s">
        <v>250</v>
      </c>
      <c r="B6" s="1026">
        <f>'SEAP template'!B74</f>
        <v>3134.7126358854885</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3203.7126358854885</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0.20799098482755121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0.20799098482755121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2020-06-20T16:28:33Z</dcterms:modified>
</cp:coreProperties>
</file>