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I49" i="18" l="1"/>
  <c r="H17" i="18" s="1"/>
  <c r="H20" i="18" s="1"/>
  <c r="B49" i="18"/>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G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B38" i="13"/>
  <c r="C24" i="14"/>
  <c r="C26" i="14" s="1"/>
  <c r="B7" i="48"/>
  <c r="P4" i="48"/>
  <c r="P22" i="48" s="1"/>
  <c r="Q11" i="14"/>
  <c r="P11" i="14"/>
  <c r="O4" i="48"/>
  <c r="O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D16" i="14"/>
  <c r="Q63"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O15" i="48"/>
  <c r="F10" i="14"/>
  <c r="E5" i="48"/>
  <c r="E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E8" i="48" l="1"/>
  <c r="E26" i="48" s="1"/>
  <c r="E33" i="48" s="1"/>
  <c r="F13" i="14"/>
  <c r="F16" i="14" s="1"/>
  <c r="F27" i="14" s="1"/>
  <c r="Q5"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K63" i="14" s="1"/>
  <c r="C12" i="13"/>
  <c r="D41" i="14" s="1"/>
  <c r="D46" i="14" s="1"/>
  <c r="D61" i="14" s="1"/>
  <c r="D63" i="14" s="1"/>
  <c r="J26" i="48" l="1"/>
  <c r="J33" i="48" s="1"/>
  <c r="J15" i="48"/>
  <c r="F63" i="14"/>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<sst xmlns="http://schemas.openxmlformats.org/spreadsheetml/2006/main" count="2498" uniqueCount="954">
  <si>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</si>
  <si>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</si>
  <si>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</si>
  <si>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</si>
  <si>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</si>
  <si>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</si>
  <si>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</si>
  <si>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</si>
  <si>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</si>
  <si>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</si>
  <si>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</si>
  <si>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</si>
  <si>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</si>
  <si>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</si>
  <si>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</si>
  <si>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</si>
  <si>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</si>
  <si>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</si>
  <si>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</si>
  <si>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</si>
  <si>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</si>
  <si>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</si>
  <si>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</si>
  <si>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</si>
  <si>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</si>
  <si>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</si>
  <si>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</si>
  <si>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</si>
  <si>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</si>
  <si>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</si>
  <si>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</si>
  <si>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</si>
  <si>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</si>
  <si>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</si>
  <si>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</si>
  <si>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</si>
  <si>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</si>
  <si>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</si>
  <si>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</si>
  <si>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</si>
  <si>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</si>
  <si>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</si>
  <si>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</si>
  <si>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</si>
  <si>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</si>
  <si>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</si>
  <si>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</si>
  <si>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</si>
  <si>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</si>
  <si>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</si>
  <si>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</si>
  <si>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</si>
  <si>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</si>
  <si>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</si>
  <si>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</si>
  <si>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</si>
  <si>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</si>
  <si>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</si>
  <si>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</si>
  <si>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</si>
  <si>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</si>
  <si>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</si>
  <si>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</si>
  <si>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</si>
  <si>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</si>
  <si>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</si>
  <si>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</si>
  <si>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</si>
  <si>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</si>
  <si>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</si>
  <si>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</si>
  <si>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</si>
  <si>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</si>
  <si>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</si>
  <si>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</si>
  <si>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</si>
  <si>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</si>
  <si>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</si>
  <si>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</si>
  <si>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</si>
  <si>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</si>
  <si>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</si>
  <si>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</si>
  <si>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</si>
  <si>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</si>
  <si>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</si>
  <si>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</si>
  <si>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</si>
  <si>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</si>
  <si>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</si>
  <si>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</si>
  <si>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</si>
  <si>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</si>
  <si>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</si>
  <si>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</si>
  <si>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</si>
  <si>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</si>
  <si>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</si>
  <si>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</si>
  <si>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</si>
  <si>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</si>
  <si>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</si>
  <si>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</si>
  <si>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</si>
  <si>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</si>
  <si>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</si>
  <si>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</si>
  <si>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</si>
  <si>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</si>
  <si>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</si>
  <si>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</si>
  <si>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</si>
  <si>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</si>
  <si>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</si>
  <si>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</si>
  <si>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</si>
  <si>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</si>
  <si>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</si>
  <si>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</si>
  <si>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</si>
  <si>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</si>
  <si>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</si>
  <si>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</si>
  <si>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</si>
  <si>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</si>
  <si>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</si>
  <si>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</si>
  <si>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</si>
  <si>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</si>
  <si>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</si>
  <si>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</si>
  <si>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</si>
  <si>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</si>
  <si>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</si>
  <si>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</si>
  <si>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</si>
  <si>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</si>
  <si>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</si>
  <si>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</si>
  <si>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</si>
  <si>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</si>
  <si>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</si>
  <si>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</si>
  <si>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</si>
  <si>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</si>
  <si>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</si>
  <si>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</si>
  <si>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</si>
  <si>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</si>
  <si>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</si>
  <si>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</si>
  <si>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</si>
  <si>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</si>
  <si>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</si>
  <si>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</si>
  <si>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</si>
  <si>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</si>
  <si>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</si>
  <si>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</si>
  <si>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</si>
  <si>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</si>
  <si>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</si>
  <si>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</si>
  <si>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</si>
  <si>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</si>
  <si>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</si>
  <si>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</si>
  <si>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</si>
  <si>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</si>
  <si>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</si>
  <si>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</si>
  <si>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</si>
  <si>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</si>
  <si>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</si>
  <si>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</si>
  <si>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</si>
  <si>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</si>
  <si>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</si>
  <si>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</si>
  <si>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</si>
  <si>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</si>
  <si>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</si>
  <si>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</si>
  <si>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</si>
  <si>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</si>
  <si>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</si>
  <si>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</si>
  <si>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</si>
  <si>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</si>
  <si>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</si>
  <si>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</si>
  <si>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</si>
  <si>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</si>
  <si>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</si>
  <si>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</si>
  <si>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</si>
  <si>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</si>
  <si>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</si>
  <si>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</si>
  <si>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</si>
  <si>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</si>
  <si>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</si>
  <si>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</si>
  <si>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</si>
  <si>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</si>
  <si>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</si>
  <si>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</si>
  <si>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</si>
  <si>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</si>
  <si>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</si>
  <si>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</si>
  <si>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</si>
  <si>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</si>
  <si>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</si>
  <si>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</si>
  <si>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</si>
  <si>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</si>
  <si>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</si>
  <si>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</si>
  <si>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</si>
  <si>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</si>
  <si>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</si>
  <si>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</si>
  <si>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</si>
  <si>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</si>
  <si>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</si>
  <si>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</si>
  <si>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</si>
  <si>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</si>
  <si>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</si>
  <si>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</si>
  <si>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</si>
  <si>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</si>
  <si>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</si>
  <si>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</si>
  <si>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</si>
  <si>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</si>
  <si>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</si>
  <si>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</si>
  <si>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</si>
  <si>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</si>
  <si>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</si>
  <si>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</si>
  <si>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</si>
  <si>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</si>
  <si>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</si>
  <si>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</si>
  <si>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</si>
  <si>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</si>
  <si>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</si>
  <si>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</si>
  <si>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</si>
  <si>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</si>
  <si>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</si>
  <si>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</si>
  <si>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</si>
  <si>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</si>
  <si>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</si>
  <si>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</si>
  <si>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</si>
  <si>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</si>
  <si>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</si>
  <si>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</si>
  <si>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</si>
  <si>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</si>
  <si>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</si>
  <si>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</si>
  <si>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</si>
  <si>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</si>
  <si>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</si>
  <si>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</si>
  <si>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</si>
  <si>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</si>
  <si>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</si>
  <si>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</si>
  <si>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</si>
  <si>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</si>
  <si>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</si>
  <si>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</si>
  <si>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</si>
  <si>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</si>
  <si>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</si>
  <si>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</si>
  <si>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</si>
  <si>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</si>
  <si>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</si>
  <si>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</si>
  <si>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</si>
  <si>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</si>
  <si>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</si>
  <si>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</si>
  <si>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</si>
  <si>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</si>
  <si>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</si>
  <si>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</si>
  <si>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</si>
  <si>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</si>
  <si>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</si>
  <si>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</si>
  <si>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</si>
  <si>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</si>
  <si>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</si>
  <si>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</si>
  <si>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</si>
  <si>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</si>
  <si>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</si>
  <si>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</si>
  <si>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</si>
  <si>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</si>
  <si>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</si>
  <si>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</si>
  <si>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</si>
  <si>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</si>
  <si>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</si>
  <si>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</si>
  <si>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</si>
  <si>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</si>
  <si>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</si>
  <si>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</si>
  <si>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</si>
  <si>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</si>
  <si>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</si>
  <si>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</si>
  <si>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</si>
  <si>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</si>
  <si>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</si>
  <si>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</si>
  <si>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</si>
  <si>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</si>
  <si>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</si>
  <si>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</si>
  <si>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</si>
  <si>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</si>
  <si>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</si>
  <si>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</si>
  <si>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</si>
  <si>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</si>
  <si>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</si>
  <si>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</si>
  <si>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</si>
  <si>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</si>
  <si>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</si>
  <si>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</si>
  <si>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</si>
  <si>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</si>
  <si>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</si>
  <si>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</si>
  <si>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</si>
  <si>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</si>
  <si>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</si>
  <si>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</si>
  <si>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</si>
  <si>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</si>
  <si>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</si>
  <si>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</si>
  <si>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</si>
  <si>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</si>
  <si>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</si>
  <si>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</si>
  <si>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</si>
  <si>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</si>
  <si>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</si>
  <si>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</si>
  <si>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</si>
  <si>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</si>
  <si>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</si>
  <si>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</si>
  <si>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</si>
  <si>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</si>
  <si>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</si>
  <si>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</si>
  <si>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</si>
  <si>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</si>
  <si>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</si>
  <si>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</si>
  <si>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</si>
  <si>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</si>
  <si>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</si>
  <si>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</si>
  <si>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</si>
  <si>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</si>
  <si>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</si>
  <si>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</si>
  <si>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</si>
  <si>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</si>
  <si>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</si>
  <si>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</si>
  <si>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</si>
  <si>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</si>
  <si>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</si>
  <si>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</si>
  <si>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</si>
  <si>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</si>
  <si>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</si>
  <si>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</si>
  <si>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</si>
  <si>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</si>
  <si>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</si>
  <si>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</si>
  <si>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</si>
  <si>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</si>
  <si>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</si>
  <si>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</si>
  <si>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</si>
  <si>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</si>
  <si>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</si>
  <si>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</si>
  <si>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</si>
  <si>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</si>
  <si>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</si>
  <si>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</si>
  <si>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</si>
  <si>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</si>
  <si>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</si>
  <si>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</si>
  <si>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</si>
  <si>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</si>
  <si>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</si>
  <si>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</si>
  <si>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</si>
  <si>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</si>
  <si>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</si>
  <si>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</si>
  <si>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</si>
  <si>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</si>
  <si>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</si>
  <si>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</si>
  <si>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</si>
  <si>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</si>
  <si>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</si>
  <si>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</si>
  <si>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</si>
  <si>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</si>
  <si>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</si>
  <si>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</si>
  <si>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</si>
  <si>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</si>
  <si>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</si>
  <si>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</si>
  <si>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</si>
  <si>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</si>
  <si>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</si>
  <si>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</si>
  <si>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</si>
  <si>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</si>
  <si>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</si>
  <si>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</si>
  <si>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</si>
  <si>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</si>
  <si>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</si>
  <si>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</si>
  <si>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</si>
  <si>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</si>
  <si>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</si>
  <si>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</si>
  <si>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</si>
  <si>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</si>
  <si>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</si>
  <si>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</si>
  <si>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</si>
  <si>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</si>
  <si>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</si>
  <si>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</si>
  <si>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</si>
  <si>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</si>
  <si>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</si>
  <si>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</si>
  <si>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</si>
  <si>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</si>
  <si>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</si>
  <si>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</si>
  <si>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</si>
  <si>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</si>
  <si>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</si>
  <si>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</si>
  <si>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</si>
  <si>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</si>
  <si>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</si>
  <si>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</si>
  <si>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</si>
  <si>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</si>
  <si>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</si>
  <si>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</si>
  <si>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</si>
  <si>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</si>
  <si>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</si>
  <si>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</si>
  <si>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</si>
  <si>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</si>
  <si>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</si>
  <si>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</si>
  <si>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</si>
  <si>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</si>
  <si>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</si>
  <si>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</si>
  <si>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</si>
  <si>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</si>
  <si>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</si>
  <si>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</si>
  <si>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</si>
  <si>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</si>
  <si>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</si>
  <si>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</si>
  <si>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</si>
  <si>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</si>
  <si>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</si>
  <si>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</si>
  <si>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</si>
  <si>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</si>
  <si>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</si>
  <si>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</si>
  <si>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</si>
  <si>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</si>
  <si>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</si>
  <si>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</si>
  <si>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</si>
  <si>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</si>
  <si>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</si>
  <si>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</si>
  <si>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</si>
  <si>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</si>
  <si>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</si>
  <si>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</si>
  <si>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</si>
  <si>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</si>
  <si>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</si>
  <si>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</si>
  <si>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</si>
  <si>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</si>
  <si>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</si>
  <si>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</si>
  <si>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</si>
  <si>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</si>
  <si>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</si>
  <si>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</si>
  <si>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</si>
  <si>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</si>
  <si>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</si>
  <si>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</si>
  <si>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</si>
  <si>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</si>
  <si>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</si>
  <si>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</si>
  <si>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</si>
  <si>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</si>
  <si>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</si>
  <si>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</si>
  <si>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</si>
  <si>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</si>
  <si>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</si>
  <si>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</si>
  <si>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</si>
  <si>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</si>
  <si>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</si>
  <si>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</si>
  <si>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</si>
  <si>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</si>
  <si>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</si>
  <si>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</si>
  <si>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</si>
  <si>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</si>
  <si>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</si>
  <si>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</si>
  <si>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</si>
  <si>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</si>
  <si>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</si>
  <si>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</si>
  <si>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</si>
  <si>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</si>
  <si>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</si>
  <si>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</si>
  <si>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</si>
  <si>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</si>
  <si>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</si>
  <si>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</si>
  <si>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</si>
  <si>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</si>
  <si>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</si>
  <si>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</si>
  <si>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</si>
  <si>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</si>
  <si>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</si>
  <si>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</si>
  <si>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</si>
  <si>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</si>
  <si>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</si>
  <si>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</si>
  <si>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</si>
  <si>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</si>
  <si>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</si>
  <si>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</si>
  <si>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</si>
  <si>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</si>
  <si>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</si>
  <si>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</si>
  <si>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</si>
  <si>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</si>
  <si>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</si>
  <si>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</si>
  <si>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</si>
  <si>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</si>
  <si>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</si>
  <si>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</si>
  <si>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</si>
  <si>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</si>
  <si>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</si>
  <si>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</si>
  <si>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</si>
  <si>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</si>
  <si>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</si>
  <si>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</si>
  <si>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</si>
  <si>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</si>
  <si>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</si>
  <si>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</si>
  <si>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</si>
  <si>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</si>
  <si>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</si>
  <si>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</si>
  <si>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</si>
  <si>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</si>
  <si>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</si>
  <si>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</si>
  <si>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</si>
  <si>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</si>
  <si>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</si>
  <si>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</si>
  <si>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</si>
  <si>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</si>
  <si>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</si>
  <si>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</si>
  <si>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</si>
  <si>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</si>
  <si>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</si>
  <si>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</si>
  <si>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</si>
  <si>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</si>
  <si>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</si>
  <si>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</si>
  <si>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</si>
  <si>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</si>
  <si>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</si>
  <si>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</si>
  <si>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</si>
  <si>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</si>
  <si>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</si>
  <si>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</si>
  <si>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</si>
  <si>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</si>
  <si>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</si>
  <si>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</si>
  <si>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</si>
  <si>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</si>
  <si>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</si>
  <si>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</si>
  <si>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</si>
  <si>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</si>
  <si>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</si>
  <si>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</si>
  <si>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</si>
  <si>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</si>
  <si>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</si>
  <si>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</si>
  <si>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</si>
  <si>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</si>
  <si>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</si>
  <si>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</si>
  <si>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</si>
  <si>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</si>
  <si>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</si>
  <si>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</si>
  <si>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</si>
  <si>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</si>
  <si>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</si>
  <si>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</si>
  <si>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</si>
  <si>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</si>
  <si>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</si>
  <si>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</si>
  <si>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</si>
  <si>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</si>
  <si>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</si>
  <si>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</si>
  <si>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</si>
  <si>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</si>
  <si>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</si>
  <si>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</si>
  <si>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</si>
  <si>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</si>
  <si>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</si>
  <si>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</si>
  <si>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</si>
  <si>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</si>
  <si>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</si>
  <si>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</si>
  <si>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</si>
  <si>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</si>
  <si>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</si>
  <si>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</si>
  <si>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</si>
  <si>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</si>
  <si>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</si>
  <si>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</si>
  <si>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</si>
  <si>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</si>
  <si>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</si>
  <si>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</si>
  <si>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</si>
  <si>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</si>
  <si>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</si>
  <si>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</si>
  <si>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</si>
  <si>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</si>
  <si>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</si>
  <si>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</si>
  <si>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</si>
  <si>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</si>
  <si>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</si>
  <si>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</si>
  <si>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</si>
  <si>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</si>
  <si>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</si>
  <si>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</si>
  <si>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</si>
  <si>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</si>
  <si>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</si>
  <si>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</si>
  <si>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</si>
  <si>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</si>
  <si>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</si>
  <si>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</si>
  <si>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</si>
  <si>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</si>
  <si>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</si>
  <si>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</si>
  <si>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</si>
  <si>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</si>
  <si>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</si>
  <si>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</si>
  <si>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</si>
  <si>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</si>
  <si>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</si>
  <si>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</si>
  <si>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</si>
  <si>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</si>
  <si>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</si>
  <si>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</si>
  <si>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</si>
  <si>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</si>
  <si>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</si>
  <si>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</si>
  <si>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</si>
  <si>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</si>
  <si>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</si>
  <si>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</si>
  <si>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</si>
  <si>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</si>
  <si>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</si>
  <si>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</si>
  <si>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</si>
  <si>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</si>
  <si>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</si>
  <si>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</si>
  <si>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</si>
  <si>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</si>
  <si>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</si>
  <si>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</si>
  <si>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</si>
  <si>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</si>
  <si>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</si>
  <si>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</si>
  <si>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</si>
  <si>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</si>
  <si>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</si>
  <si>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</si>
  <si>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</si>
  <si>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</si>
  <si>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</si>
  <si>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</si>
  <si>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</si>
  <si>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</si>
  <si>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</si>
  <si>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</si>
  <si>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</si>
  <si>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</si>
  <si>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</si>
  <si>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</si>
  <si>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</si>
  <si>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</si>
  <si>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</si>
  <si>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</si>
  <si>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</si>
  <si>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</si>
  <si>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</si>
  <si>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</si>
  <si>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</si>
  <si>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</si>
  <si>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</si>
  <si>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</si>
  <si>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</si>
  <si>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</si>
  <si>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</si>
  <si>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</si>
  <si>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</si>
  <si>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</si>
  <si>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</si>
  <si>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</si>
  <si>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</si>
  <si>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</si>
  <si>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</si>
  <si>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</si>
  <si>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</si>
  <si>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</si>
  <si>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</si>
  <si>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</si>
  <si>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</si>
  <si>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</si>
  <si>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</si>
  <si>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</si>
  <si>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</si>
  <si>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</si>
  <si>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</si>
  <si>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</si>
  <si>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</si>
  <si>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</si>
  <si>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</si>
  <si>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</si>
  <si>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</si>
  <si>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</si>
  <si>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</si>
  <si>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</si>
  <si>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</si>
  <si>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</si>
  <si>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</si>
  <si>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</si>
  <si>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</si>
  <si>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</si>
  <si>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</si>
  <si>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</si>
  <si>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</si>
  <si>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</si>
  <si>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</si>
  <si>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</si>
  <si>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</si>
  <si>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</si>
  <si>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</si>
  <si>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</si>
  <si>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</si>
  <si>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</si>
  <si>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</si>
  <si>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</si>
  <si>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</si>
  <si>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</si>
  <si>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</si>
  <si>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</si>
  <si>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</si>
  <si>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</si>
  <si>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</si>
  <si>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</si>
  <si>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</si>
  <si>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</si>
  <si>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</si>
  <si>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</si>
  <si>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</si>
  <si>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</si>
  <si>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</si>
  <si>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</si>
  <si>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</si>
  <si>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</si>
  <si>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</si>
  <si>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</si>
  <si>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</si>
  <si>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</si>
  <si>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</si>
  <si>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</si>
  <si>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</si>
  <si>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</si>
  <si>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</si>
  <si>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</si>
  <si>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</si>
  <si>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</si>
  <si>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</si>
  <si>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</si>
  <si>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</si>
  <si>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</si>
  <si>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</si>
  <si>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</si>
  <si>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</si>
  <si>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</si>
  <si>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</si>
  <si>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</si>
  <si>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</si>
  <si>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</si>
  <si>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</si>
  <si>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</si>
  <si>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</si>
  <si>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</si>
  <si>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</si>
  <si>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</si>
  <si>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</si>
  <si>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</si>
  <si>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</si>
  <si>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</si>
  <si>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</si>
  <si>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</si>
  <si>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</si>
  <si>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</si>
  <si>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</si>
  <si>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</si>
  <si>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</si>
  <si>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</si>
  <si>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</si>
  <si>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</si>
  <si>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</si>
  <si>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</si>
  <si>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</si>
  <si>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</si>
  <si>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</si>
  <si>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</si>
  <si>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</si>
  <si>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</si>
  <si>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</si>
  <si>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</si>
  <si>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</si>
  <si>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</si>
  <si>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</si>
  <si>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</si>
  <si>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</si>
  <si>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</si>
  <si>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</si>
  <si>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</si>
  <si>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</si>
  <si>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</si>
  <si>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</si>
  <si>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</si>
  <si>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</si>
  <si>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</si>
  <si>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</si>
  <si>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</si>
  <si>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</si>
  <si>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</si>
  <si>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</si>
  <si>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</si>
  <si>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</si>
  <si>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</si>
  <si>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</si>
  <si>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</si>
  <si>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</si>
  <si>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23103</t>
  </si>
  <si>
    <t>WEZEMBEEK-OPPEM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</si>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</sst>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23103</v>
      </c>
      <c r="B6" s="394"/>
      <c r="C6" s="395"/>
    </row>
    <row r="7" spans="1:7" s="392" customFormat="1" ht="15.75" customHeight="1">
      <c r="A7" s="396" t="str">
        <f>txtMunicipality</f>
        <v>WEZEMBEEK-OPPEM</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10266.576818973317</v>
      </c>
      <c r="D10" s="684">
        <f ca="1">tertiair!C16</f>
        <v>0</v>
      </c>
      <c r="E10" s="684">
        <f ca="1">tertiair!D16</f>
        <v>17332.799208717268</v>
      </c>
      <c r="F10" s="684">
        <f>tertiair!E16</f>
        <v>66.834020937025954</v>
      </c>
      <c r="G10" s="684">
        <f ca="1">tertiair!F16</f>
        <v>1724.7599847115453</v>
      </c>
      <c r="H10" s="684">
        <f>tertiair!G16</f>
        <v>0</v>
      </c>
      <c r="I10" s="684">
        <f>tertiair!H16</f>
        <v>0</v>
      </c>
      <c r="J10" s="684">
        <f>tertiair!I16</f>
        <v>0</v>
      </c>
      <c r="K10" s="684">
        <f>tertiair!J16</f>
        <v>0</v>
      </c>
      <c r="L10" s="684">
        <f>tertiair!K16</f>
        <v>0</v>
      </c>
      <c r="M10" s="684">
        <f ca="1">tertiair!L16</f>
        <v>0</v>
      </c>
      <c r="N10" s="684">
        <f>tertiair!M16</f>
        <v>0</v>
      </c>
      <c r="O10" s="684">
        <f ca="1">tertiair!N16</f>
        <v>596.42214874176375</v>
      </c>
      <c r="P10" s="684">
        <f>tertiair!O16</f>
        <v>0</v>
      </c>
      <c r="Q10" s="685">
        <f>tertiair!P16</f>
        <v>0</v>
      </c>
      <c r="R10" s="687">
        <f ca="1">SUM(C10:Q10)</f>
        <v>29987.392182080919</v>
      </c>
      <c r="S10" s="68"/>
    </row>
    <row r="11" spans="1:19" s="453" customFormat="1">
      <c r="A11" s="799" t="s">
        <v>224</v>
      </c>
      <c r="B11" s="804"/>
      <c r="C11" s="684">
        <f>huishoudens!B8</f>
        <v>22747.11865544564</v>
      </c>
      <c r="D11" s="684">
        <f>huishoudens!C8</f>
        <v>0</v>
      </c>
      <c r="E11" s="684">
        <f>huishoudens!D8</f>
        <v>93366.940452375449</v>
      </c>
      <c r="F11" s="684">
        <f>huishoudens!E8</f>
        <v>1999.1291618364992</v>
      </c>
      <c r="G11" s="684">
        <f>huishoudens!F8</f>
        <v>6615.0476364365859</v>
      </c>
      <c r="H11" s="684">
        <f>huishoudens!G8</f>
        <v>0</v>
      </c>
      <c r="I11" s="684">
        <f>huishoudens!H8</f>
        <v>0</v>
      </c>
      <c r="J11" s="684">
        <f>huishoudens!I8</f>
        <v>0</v>
      </c>
      <c r="K11" s="684">
        <f>huishoudens!J8</f>
        <v>0</v>
      </c>
      <c r="L11" s="684">
        <f>huishoudens!K8</f>
        <v>0</v>
      </c>
      <c r="M11" s="684">
        <f>huishoudens!L8</f>
        <v>0</v>
      </c>
      <c r="N11" s="684">
        <f>huishoudens!M8</f>
        <v>0</v>
      </c>
      <c r="O11" s="684">
        <f>huishoudens!N8</f>
        <v>2767.9564769616495</v>
      </c>
      <c r="P11" s="684">
        <f>huishoudens!O8</f>
        <v>59.406666666666666</v>
      </c>
      <c r="Q11" s="685">
        <f>huishoudens!P8</f>
        <v>95.333333333333343</v>
      </c>
      <c r="R11" s="687">
        <f>SUM(C11:Q11)</f>
        <v>127650.93238305581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291.5648240554242</v>
      </c>
      <c r="D13" s="684">
        <f>industrie!C18</f>
        <v>0</v>
      </c>
      <c r="E13" s="684">
        <f>industrie!D18</f>
        <v>774.24216657094462</v>
      </c>
      <c r="F13" s="684">
        <f>industrie!E18</f>
        <v>2.1672621705765684</v>
      </c>
      <c r="G13" s="684">
        <f>industrie!F18</f>
        <v>139.71062265677199</v>
      </c>
      <c r="H13" s="684">
        <f>industrie!G18</f>
        <v>0</v>
      </c>
      <c r="I13" s="684">
        <f>industrie!H18</f>
        <v>0</v>
      </c>
      <c r="J13" s="684">
        <f>industrie!I18</f>
        <v>0</v>
      </c>
      <c r="K13" s="684">
        <f>industrie!J18</f>
        <v>1.3590388006227654</v>
      </c>
      <c r="L13" s="684">
        <f>industrie!K18</f>
        <v>0</v>
      </c>
      <c r="M13" s="684">
        <f>industrie!L18</f>
        <v>0</v>
      </c>
      <c r="N13" s="684">
        <f>industrie!M18</f>
        <v>0</v>
      </c>
      <c r="O13" s="684">
        <f>industrie!N18</f>
        <v>13.96683693176873</v>
      </c>
      <c r="P13" s="684">
        <f>industrie!O18</f>
        <v>0</v>
      </c>
      <c r="Q13" s="685">
        <f>industrie!P18</f>
        <v>0</v>
      </c>
      <c r="R13" s="687">
        <f>SUM(C13:Q13)</f>
        <v>1223.0107511861088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33305.260298474379</v>
      </c>
      <c r="D16" s="717">
        <f t="shared" ref="D16:R16" ca="1" si="0">SUM(D9:D15)</f>
        <v>0</v>
      </c>
      <c r="E16" s="717">
        <f t="shared" ca="1" si="0"/>
        <v>111473.98182766367</v>
      </c>
      <c r="F16" s="717">
        <f t="shared" si="0"/>
        <v>2068.1304449441018</v>
      </c>
      <c r="G16" s="717">
        <f t="shared" ca="1" si="0"/>
        <v>8479.5182438049032</v>
      </c>
      <c r="H16" s="717">
        <f t="shared" si="0"/>
        <v>0</v>
      </c>
      <c r="I16" s="717">
        <f t="shared" si="0"/>
        <v>0</v>
      </c>
      <c r="J16" s="717">
        <f t="shared" si="0"/>
        <v>0</v>
      </c>
      <c r="K16" s="717">
        <f t="shared" si="0"/>
        <v>1.3590388006227654</v>
      </c>
      <c r="L16" s="717">
        <f t="shared" si="0"/>
        <v>0</v>
      </c>
      <c r="M16" s="717">
        <f t="shared" ca="1" si="0"/>
        <v>0</v>
      </c>
      <c r="N16" s="717">
        <f t="shared" si="0"/>
        <v>0</v>
      </c>
      <c r="O16" s="717">
        <f t="shared" ca="1" si="0"/>
        <v>3378.3454626351822</v>
      </c>
      <c r="P16" s="717">
        <f t="shared" si="0"/>
        <v>59.406666666666666</v>
      </c>
      <c r="Q16" s="717">
        <f t="shared" si="0"/>
        <v>95.333333333333343</v>
      </c>
      <c r="R16" s="717">
        <f t="shared" ca="1" si="0"/>
        <v>158861.33531632286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602.07551110655243</v>
      </c>
      <c r="I19" s="684">
        <f>transport!H54</f>
        <v>0</v>
      </c>
      <c r="J19" s="684">
        <f>transport!I54</f>
        <v>0</v>
      </c>
      <c r="K19" s="684">
        <f>transport!J54</f>
        <v>0</v>
      </c>
      <c r="L19" s="684">
        <f>transport!K54</f>
        <v>0</v>
      </c>
      <c r="M19" s="684">
        <f>transport!L54</f>
        <v>0</v>
      </c>
      <c r="N19" s="684">
        <f>transport!M54</f>
        <v>26.416766263016513</v>
      </c>
      <c r="O19" s="684">
        <f>transport!N54</f>
        <v>0</v>
      </c>
      <c r="P19" s="684">
        <f>transport!O54</f>
        <v>0</v>
      </c>
      <c r="Q19" s="685">
        <f>transport!P54</f>
        <v>0</v>
      </c>
      <c r="R19" s="687">
        <f>SUM(C19:Q19)</f>
        <v>628.49227736956891</v>
      </c>
      <c r="S19" s="68"/>
    </row>
    <row r="20" spans="1:19" s="453" customFormat="1">
      <c r="A20" s="799" t="s">
        <v>306</v>
      </c>
      <c r="B20" s="804"/>
      <c r="C20" s="684">
        <f>transport!B14</f>
        <v>2.2055433793608445</v>
      </c>
      <c r="D20" s="684">
        <f>transport!C14</f>
        <v>0</v>
      </c>
      <c r="E20" s="684">
        <f>transport!D14</f>
        <v>4.8217453357470124</v>
      </c>
      <c r="F20" s="684">
        <f>transport!E14</f>
        <v>360.144961806232</v>
      </c>
      <c r="G20" s="684">
        <f>transport!F14</f>
        <v>0</v>
      </c>
      <c r="H20" s="684">
        <f>transport!G14</f>
        <v>74897.735868043383</v>
      </c>
      <c r="I20" s="684">
        <f>transport!H14</f>
        <v>12759.659350355922</v>
      </c>
      <c r="J20" s="684">
        <f>transport!I14</f>
        <v>0</v>
      </c>
      <c r="K20" s="684">
        <f>transport!J14</f>
        <v>0</v>
      </c>
      <c r="L20" s="684">
        <f>transport!K14</f>
        <v>0</v>
      </c>
      <c r="M20" s="684">
        <f>transport!L14</f>
        <v>0</v>
      </c>
      <c r="N20" s="684">
        <f>transport!M14</f>
        <v>3917.0858524340974</v>
      </c>
      <c r="O20" s="684">
        <f>transport!N14</f>
        <v>0</v>
      </c>
      <c r="P20" s="684">
        <f>transport!O14</f>
        <v>0</v>
      </c>
      <c r="Q20" s="685">
        <f>transport!P14</f>
        <v>0</v>
      </c>
      <c r="R20" s="687">
        <f>SUM(C20:Q20)</f>
        <v>91941.653321354752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2.2055433793608445</v>
      </c>
      <c r="D22" s="802">
        <f t="shared" ref="D22:R22" si="1">SUM(D18:D21)</f>
        <v>0</v>
      </c>
      <c r="E22" s="802">
        <f t="shared" si="1"/>
        <v>4.8217453357470124</v>
      </c>
      <c r="F22" s="802">
        <f t="shared" si="1"/>
        <v>360.144961806232</v>
      </c>
      <c r="G22" s="802">
        <f t="shared" si="1"/>
        <v>0</v>
      </c>
      <c r="H22" s="802">
        <f t="shared" si="1"/>
        <v>75499.811379149935</v>
      </c>
      <c r="I22" s="802">
        <f t="shared" si="1"/>
        <v>12759.659350355922</v>
      </c>
      <c r="J22" s="802">
        <f t="shared" si="1"/>
        <v>0</v>
      </c>
      <c r="K22" s="802">
        <f t="shared" si="1"/>
        <v>0</v>
      </c>
      <c r="L22" s="802">
        <f t="shared" si="1"/>
        <v>0</v>
      </c>
      <c r="M22" s="802">
        <f t="shared" si="1"/>
        <v>0</v>
      </c>
      <c r="N22" s="802">
        <f t="shared" si="1"/>
        <v>3943.502618697114</v>
      </c>
      <c r="O22" s="802">
        <f t="shared" si="1"/>
        <v>0</v>
      </c>
      <c r="P22" s="802">
        <f t="shared" si="1"/>
        <v>0</v>
      </c>
      <c r="Q22" s="802">
        <f t="shared" si="1"/>
        <v>0</v>
      </c>
      <c r="R22" s="802">
        <f t="shared" si="1"/>
        <v>92570.145598724324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78.506841425364598</v>
      </c>
      <c r="D24" s="684">
        <f>+landbouw!C8</f>
        <v>0</v>
      </c>
      <c r="E24" s="684">
        <f>+landbouw!D8</f>
        <v>139.39306540160646</v>
      </c>
      <c r="F24" s="684">
        <f>+landbouw!E8</f>
        <v>0.73958704753617543</v>
      </c>
      <c r="G24" s="684">
        <f>+landbouw!F8</f>
        <v>256.19387770347487</v>
      </c>
      <c r="H24" s="684">
        <f>+landbouw!G8</f>
        <v>0</v>
      </c>
      <c r="I24" s="684">
        <f>+landbouw!H8</f>
        <v>0</v>
      </c>
      <c r="J24" s="684">
        <f>+landbouw!I8</f>
        <v>0</v>
      </c>
      <c r="K24" s="684">
        <f>+landbouw!J8</f>
        <v>9.7116781415209434</v>
      </c>
      <c r="L24" s="684">
        <f>+landbouw!K8</f>
        <v>0</v>
      </c>
      <c r="M24" s="684">
        <f>+landbouw!L8</f>
        <v>0</v>
      </c>
      <c r="N24" s="684">
        <f>+landbouw!M8</f>
        <v>0</v>
      </c>
      <c r="O24" s="684">
        <f>+landbouw!N8</f>
        <v>0</v>
      </c>
      <c r="P24" s="684">
        <f>+landbouw!O8</f>
        <v>0</v>
      </c>
      <c r="Q24" s="685">
        <f>+landbouw!P8</f>
        <v>0</v>
      </c>
      <c r="R24" s="687">
        <f>SUM(C24:Q24)</f>
        <v>484.54504971950308</v>
      </c>
      <c r="S24" s="68"/>
    </row>
    <row r="25" spans="1:19" s="453" customFormat="1" ht="15" thickBot="1">
      <c r="A25" s="821" t="s">
        <v>896</v>
      </c>
      <c r="B25" s="990"/>
      <c r="C25" s="991">
        <f>IF(Onbekend_ele_kWh="---",0,Onbekend_ele_kWh)/1000+IF(REST_rest_ele_kWh="---",0,REST_rest_ele_kWh)/1000</f>
        <v>556.04699295051694</v>
      </c>
      <c r="D25" s="991"/>
      <c r="E25" s="991">
        <f>IF(onbekend_gas_kWh="---",0,onbekend_gas_kWh)/1000+IF(REST_rest_gas_kWh="---",0,REST_rest_gas_kWh)/1000</f>
        <v>3175.9956594458904</v>
      </c>
      <c r="F25" s="991"/>
      <c r="G25" s="991"/>
      <c r="H25" s="991"/>
      <c r="I25" s="991"/>
      <c r="J25" s="991"/>
      <c r="K25" s="991"/>
      <c r="L25" s="991"/>
      <c r="M25" s="991"/>
      <c r="N25" s="991"/>
      <c r="O25" s="991"/>
      <c r="P25" s="991"/>
      <c r="Q25" s="992"/>
      <c r="R25" s="687">
        <f>SUM(C25:Q25)</f>
        <v>3732.0426523964074</v>
      </c>
      <c r="S25" s="68"/>
    </row>
    <row r="26" spans="1:19" s="453" customFormat="1" ht="15.75" thickBot="1">
      <c r="A26" s="690" t="s">
        <v>897</v>
      </c>
      <c r="B26" s="807"/>
      <c r="C26" s="802">
        <f>SUM(C24:C25)</f>
        <v>634.55383437588148</v>
      </c>
      <c r="D26" s="802">
        <f t="shared" ref="D26:R26" si="2">SUM(D24:D25)</f>
        <v>0</v>
      </c>
      <c r="E26" s="802">
        <f t="shared" si="2"/>
        <v>3315.3887248474966</v>
      </c>
      <c r="F26" s="802">
        <f t="shared" si="2"/>
        <v>0.73958704753617543</v>
      </c>
      <c r="G26" s="802">
        <f t="shared" si="2"/>
        <v>256.19387770347487</v>
      </c>
      <c r="H26" s="802">
        <f t="shared" si="2"/>
        <v>0</v>
      </c>
      <c r="I26" s="802">
        <f t="shared" si="2"/>
        <v>0</v>
      </c>
      <c r="J26" s="802">
        <f t="shared" si="2"/>
        <v>0</v>
      </c>
      <c r="K26" s="802">
        <f t="shared" si="2"/>
        <v>9.7116781415209434</v>
      </c>
      <c r="L26" s="802">
        <f t="shared" si="2"/>
        <v>0</v>
      </c>
      <c r="M26" s="802">
        <f t="shared" si="2"/>
        <v>0</v>
      </c>
      <c r="N26" s="802">
        <f t="shared" si="2"/>
        <v>0</v>
      </c>
      <c r="O26" s="802">
        <f t="shared" si="2"/>
        <v>0</v>
      </c>
      <c r="P26" s="802">
        <f t="shared" si="2"/>
        <v>0</v>
      </c>
      <c r="Q26" s="802">
        <f t="shared" si="2"/>
        <v>0</v>
      </c>
      <c r="R26" s="802">
        <f t="shared" si="2"/>
        <v>4216.5877021159104</v>
      </c>
      <c r="S26" s="68"/>
    </row>
    <row r="27" spans="1:19" s="453" customFormat="1" ht="17.25" thickTop="1" thickBot="1">
      <c r="A27" s="691" t="s">
        <v>115</v>
      </c>
      <c r="B27" s="794"/>
      <c r="C27" s="692">
        <f ca="1">C22+C16+C26</f>
        <v>33942.019676229618</v>
      </c>
      <c r="D27" s="692">
        <f t="shared" ref="D27:R27" ca="1" si="3">D22+D16+D26</f>
        <v>0</v>
      </c>
      <c r="E27" s="692">
        <f t="shared" ca="1" si="3"/>
        <v>114794.19229784691</v>
      </c>
      <c r="F27" s="692">
        <f t="shared" si="3"/>
        <v>2429.0149937978699</v>
      </c>
      <c r="G27" s="692">
        <f t="shared" ca="1" si="3"/>
        <v>8735.7121215083789</v>
      </c>
      <c r="H27" s="692">
        <f t="shared" si="3"/>
        <v>75499.811379149935</v>
      </c>
      <c r="I27" s="692">
        <f t="shared" si="3"/>
        <v>12759.659350355922</v>
      </c>
      <c r="J27" s="692">
        <f t="shared" si="3"/>
        <v>0</v>
      </c>
      <c r="K27" s="692">
        <f t="shared" si="3"/>
        <v>11.070716942143708</v>
      </c>
      <c r="L27" s="692">
        <f t="shared" si="3"/>
        <v>0</v>
      </c>
      <c r="M27" s="692">
        <f t="shared" ca="1" si="3"/>
        <v>0</v>
      </c>
      <c r="N27" s="692">
        <f t="shared" si="3"/>
        <v>3943.502618697114</v>
      </c>
      <c r="O27" s="692">
        <f t="shared" ca="1" si="3"/>
        <v>3378.3454626351822</v>
      </c>
      <c r="P27" s="692">
        <f t="shared" si="3"/>
        <v>59.406666666666666</v>
      </c>
      <c r="Q27" s="692">
        <f t="shared" si="3"/>
        <v>95.333333333333343</v>
      </c>
      <c r="R27" s="692">
        <f t="shared" ca="1" si="3"/>
        <v>255648.06861716308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2231.3288333040705</v>
      </c>
      <c r="D40" s="684">
        <f ca="1">tertiair!C20</f>
        <v>0</v>
      </c>
      <c r="E40" s="684">
        <f ca="1">tertiair!D20</f>
        <v>3501.2254401608884</v>
      </c>
      <c r="F40" s="684">
        <f>tertiair!E20</f>
        <v>15.171322752704892</v>
      </c>
      <c r="G40" s="684">
        <f ca="1">tertiair!F20</f>
        <v>460.51091591798263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6208.236512135647</v>
      </c>
    </row>
    <row r="41" spans="1:18">
      <c r="A41" s="812" t="s">
        <v>224</v>
      </c>
      <c r="B41" s="819"/>
      <c r="C41" s="684">
        <f ca="1">huishoudens!B12</f>
        <v>4943.8388886044031</v>
      </c>
      <c r="D41" s="684">
        <f ca="1">huishoudens!C12</f>
        <v>0</v>
      </c>
      <c r="E41" s="684">
        <f>huishoudens!D12</f>
        <v>18860.121971379842</v>
      </c>
      <c r="F41" s="684">
        <f>huishoudens!E12</f>
        <v>453.80231973688535</v>
      </c>
      <c r="G41" s="684">
        <f>huishoudens!F12</f>
        <v>1766.2177189285685</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26023.980898649701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63.368444045515403</v>
      </c>
      <c r="D43" s="684">
        <f ca="1">industrie!C22</f>
        <v>0</v>
      </c>
      <c r="E43" s="684">
        <f>industrie!D22</f>
        <v>156.39691764733081</v>
      </c>
      <c r="F43" s="684">
        <f>industrie!E22</f>
        <v>0.49196851272088105</v>
      </c>
      <c r="G43" s="684">
        <f>industrie!F22</f>
        <v>37.302736249358126</v>
      </c>
      <c r="H43" s="684">
        <f>industrie!G22</f>
        <v>0</v>
      </c>
      <c r="I43" s="684">
        <f>industrie!H22</f>
        <v>0</v>
      </c>
      <c r="J43" s="684">
        <f>industrie!I22</f>
        <v>0</v>
      </c>
      <c r="K43" s="684">
        <f>industrie!J22</f>
        <v>0.48109973542045892</v>
      </c>
      <c r="L43" s="684">
        <f>industrie!K22</f>
        <v>0</v>
      </c>
      <c r="M43" s="684">
        <f>industrie!L22</f>
        <v>0</v>
      </c>
      <c r="N43" s="684">
        <f>industrie!M22</f>
        <v>0</v>
      </c>
      <c r="O43" s="684">
        <f>industrie!N22</f>
        <v>0</v>
      </c>
      <c r="P43" s="684">
        <f>industrie!O22</f>
        <v>0</v>
      </c>
      <c r="Q43" s="759">
        <f>industrie!P22</f>
        <v>0</v>
      </c>
      <c r="R43" s="839">
        <f t="shared" ca="1" si="4"/>
        <v>258.04116619034568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7238.5361659539894</v>
      </c>
      <c r="D46" s="717">
        <f t="shared" ref="D46:Q46" ca="1" si="5">SUM(D39:D45)</f>
        <v>0</v>
      </c>
      <c r="E46" s="717">
        <f t="shared" ca="1" si="5"/>
        <v>22517.744329188059</v>
      </c>
      <c r="F46" s="717">
        <f t="shared" si="5"/>
        <v>469.46561100231111</v>
      </c>
      <c r="G46" s="717">
        <f t="shared" ca="1" si="5"/>
        <v>2264.0313710959094</v>
      </c>
      <c r="H46" s="717">
        <f t="shared" si="5"/>
        <v>0</v>
      </c>
      <c r="I46" s="717">
        <f t="shared" si="5"/>
        <v>0</v>
      </c>
      <c r="J46" s="717">
        <f t="shared" si="5"/>
        <v>0</v>
      </c>
      <c r="K46" s="717">
        <f t="shared" si="5"/>
        <v>0.48109973542045892</v>
      </c>
      <c r="L46" s="717">
        <f t="shared" si="5"/>
        <v>0</v>
      </c>
      <c r="M46" s="717">
        <f t="shared" ca="1" si="5"/>
        <v>0</v>
      </c>
      <c r="N46" s="717">
        <f t="shared" si="5"/>
        <v>0</v>
      </c>
      <c r="O46" s="717">
        <f t="shared" ca="1" si="5"/>
        <v>0</v>
      </c>
      <c r="P46" s="717">
        <f t="shared" si="5"/>
        <v>0</v>
      </c>
      <c r="Q46" s="717">
        <f t="shared" si="5"/>
        <v>0</v>
      </c>
      <c r="R46" s="717">
        <f ca="1">SUM(R39:R45)</f>
        <v>32490.258576975695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160.7541614654495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160.7541614654495</v>
      </c>
    </row>
    <row r="50" spans="1:18">
      <c r="A50" s="815" t="s">
        <v>306</v>
      </c>
      <c r="B50" s="825"/>
      <c r="C50" s="997">
        <f ca="1">transport!B18</f>
        <v>0.47935087052345177</v>
      </c>
      <c r="D50" s="997">
        <f>transport!C18</f>
        <v>0</v>
      </c>
      <c r="E50" s="997">
        <f>transport!D18</f>
        <v>0.97399255782089655</v>
      </c>
      <c r="F50" s="997">
        <f>transport!E18</f>
        <v>81.752906330014667</v>
      </c>
      <c r="G50" s="997">
        <f>transport!F18</f>
        <v>0</v>
      </c>
      <c r="H50" s="997">
        <f>transport!G18</f>
        <v>19997.695476767585</v>
      </c>
      <c r="I50" s="997">
        <f>transport!H18</f>
        <v>3177.1551782386246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23258.056904764566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0.47935087052345177</v>
      </c>
      <c r="D52" s="717">
        <f t="shared" ref="D52:Q52" ca="1" si="6">SUM(D48:D51)</f>
        <v>0</v>
      </c>
      <c r="E52" s="717">
        <f t="shared" si="6"/>
        <v>0.97399255782089655</v>
      </c>
      <c r="F52" s="717">
        <f t="shared" si="6"/>
        <v>81.752906330014667</v>
      </c>
      <c r="G52" s="717">
        <f t="shared" si="6"/>
        <v>0</v>
      </c>
      <c r="H52" s="717">
        <f t="shared" si="6"/>
        <v>20158.449638233036</v>
      </c>
      <c r="I52" s="717">
        <f t="shared" si="6"/>
        <v>3177.1551782386246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23418.811066230017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17.062608303900493</v>
      </c>
      <c r="D54" s="997">
        <f ca="1">+landbouw!C12</f>
        <v>0</v>
      </c>
      <c r="E54" s="997">
        <f>+landbouw!D12</f>
        <v>28.157399211124506</v>
      </c>
      <c r="F54" s="997">
        <f>+landbouw!E12</f>
        <v>0.16788625979071184</v>
      </c>
      <c r="G54" s="997">
        <f>+landbouw!F12</f>
        <v>68.403765346827797</v>
      </c>
      <c r="H54" s="997">
        <f>+landbouw!G12</f>
        <v>0</v>
      </c>
      <c r="I54" s="997">
        <f>+landbouw!H12</f>
        <v>0</v>
      </c>
      <c r="J54" s="997">
        <f>+landbouw!I12</f>
        <v>0</v>
      </c>
      <c r="K54" s="997">
        <f>+landbouw!J12</f>
        <v>3.4379340620984138</v>
      </c>
      <c r="L54" s="997">
        <f>+landbouw!K12</f>
        <v>0</v>
      </c>
      <c r="M54" s="997">
        <f>+landbouw!L12</f>
        <v>0</v>
      </c>
      <c r="N54" s="997">
        <f>+landbouw!M12</f>
        <v>0</v>
      </c>
      <c r="O54" s="997">
        <f>+landbouw!N12</f>
        <v>0</v>
      </c>
      <c r="P54" s="997">
        <f>+landbouw!O12</f>
        <v>0</v>
      </c>
      <c r="Q54" s="998">
        <f>+landbouw!P12</f>
        <v>0</v>
      </c>
      <c r="R54" s="716">
        <f ca="1">SUM(C54:Q54)</f>
        <v>117.22959318374191</v>
      </c>
    </row>
    <row r="55" spans="1:18" ht="15" thickBot="1">
      <c r="A55" s="815" t="s">
        <v>896</v>
      </c>
      <c r="B55" s="825"/>
      <c r="C55" s="997">
        <f ca="1">C25*'EF ele_warmte'!B12</f>
        <v>120.85076748752063</v>
      </c>
      <c r="D55" s="997"/>
      <c r="E55" s="997">
        <f>E25*EF_CO2_aardgas</f>
        <v>641.55112320806995</v>
      </c>
      <c r="F55" s="997"/>
      <c r="G55" s="997"/>
      <c r="H55" s="997"/>
      <c r="I55" s="997"/>
      <c r="J55" s="997"/>
      <c r="K55" s="997"/>
      <c r="L55" s="997"/>
      <c r="M55" s="997"/>
      <c r="N55" s="997"/>
      <c r="O55" s="997"/>
      <c r="P55" s="997"/>
      <c r="Q55" s="998"/>
      <c r="R55" s="716">
        <f ca="1">SUM(C55:Q55)</f>
        <v>762.40189069559062</v>
      </c>
    </row>
    <row r="56" spans="1:18" ht="15.75" thickBot="1">
      <c r="A56" s="813" t="s">
        <v>897</v>
      </c>
      <c r="B56" s="826"/>
      <c r="C56" s="717">
        <f ca="1">SUM(C54:C55)</f>
        <v>137.91337579142112</v>
      </c>
      <c r="D56" s="717">
        <f t="shared" ref="D56:Q56" ca="1" si="7">SUM(D54:D55)</f>
        <v>0</v>
      </c>
      <c r="E56" s="717">
        <f t="shared" si="7"/>
        <v>669.70852241919442</v>
      </c>
      <c r="F56" s="717">
        <f t="shared" si="7"/>
        <v>0.16788625979071184</v>
      </c>
      <c r="G56" s="717">
        <f t="shared" si="7"/>
        <v>68.403765346827797</v>
      </c>
      <c r="H56" s="717">
        <f t="shared" si="7"/>
        <v>0</v>
      </c>
      <c r="I56" s="717">
        <f t="shared" si="7"/>
        <v>0</v>
      </c>
      <c r="J56" s="717">
        <f t="shared" si="7"/>
        <v>0</v>
      </c>
      <c r="K56" s="717">
        <f t="shared" si="7"/>
        <v>3.4379340620984138</v>
      </c>
      <c r="L56" s="717">
        <f t="shared" si="7"/>
        <v>0</v>
      </c>
      <c r="M56" s="717">
        <f t="shared" si="7"/>
        <v>0</v>
      </c>
      <c r="N56" s="717">
        <f t="shared" si="7"/>
        <v>0</v>
      </c>
      <c r="O56" s="717">
        <f t="shared" si="7"/>
        <v>0</v>
      </c>
      <c r="P56" s="717">
        <f t="shared" si="7"/>
        <v>0</v>
      </c>
      <c r="Q56" s="718">
        <f t="shared" si="7"/>
        <v>0</v>
      </c>
      <c r="R56" s="719">
        <f ca="1">SUM(R54:R55)</f>
        <v>879.63148387933256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7376.9288926159343</v>
      </c>
      <c r="D61" s="725">
        <f t="shared" ref="D61:Q61" ca="1" si="8">D46+D52+D56</f>
        <v>0</v>
      </c>
      <c r="E61" s="725">
        <f t="shared" ca="1" si="8"/>
        <v>23188.426844165075</v>
      </c>
      <c r="F61" s="725">
        <f t="shared" si="8"/>
        <v>551.38640359211649</v>
      </c>
      <c r="G61" s="725">
        <f t="shared" ca="1" si="8"/>
        <v>2332.4351364427371</v>
      </c>
      <c r="H61" s="725">
        <f t="shared" si="8"/>
        <v>20158.449638233036</v>
      </c>
      <c r="I61" s="725">
        <f t="shared" si="8"/>
        <v>3177.1551782386246</v>
      </c>
      <c r="J61" s="725">
        <f t="shared" si="8"/>
        <v>0</v>
      </c>
      <c r="K61" s="725">
        <f t="shared" si="8"/>
        <v>3.9190337975188729</v>
      </c>
      <c r="L61" s="725">
        <f t="shared" si="8"/>
        <v>0</v>
      </c>
      <c r="M61" s="725">
        <f t="shared" ca="1" si="8"/>
        <v>0</v>
      </c>
      <c r="N61" s="725">
        <f t="shared" si="8"/>
        <v>0</v>
      </c>
      <c r="O61" s="725">
        <f t="shared" ca="1" si="8"/>
        <v>0</v>
      </c>
      <c r="P61" s="725">
        <f t="shared" si="8"/>
        <v>0</v>
      </c>
      <c r="Q61" s="725">
        <f t="shared" si="8"/>
        <v>0</v>
      </c>
      <c r="R61" s="725">
        <f ca="1">R46+R52+R56</f>
        <v>56788.701127085049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0.21733912604446953</v>
      </c>
      <c r="D63" s="769">
        <f t="shared" ca="1" si="9"/>
        <v>0</v>
      </c>
      <c r="E63" s="999">
        <f t="shared" ca="1" si="9"/>
        <v>0.20199999999999999</v>
      </c>
      <c r="F63" s="769">
        <f t="shared" si="9"/>
        <v>0.22700000000000001</v>
      </c>
      <c r="G63" s="769">
        <f t="shared" ca="1" si="9"/>
        <v>0.26700000000000002</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562.25093136114106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562.25093136114106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22747.11865544564</v>
      </c>
      <c r="C4" s="457">
        <f>huishoudens!C8</f>
        <v>0</v>
      </c>
      <c r="D4" s="457">
        <f>huishoudens!D8</f>
        <v>93366.940452375449</v>
      </c>
      <c r="E4" s="457">
        <f>huishoudens!E8</f>
        <v>1999.1291618364992</v>
      </c>
      <c r="F4" s="457">
        <f>huishoudens!F8</f>
        <v>6615.0476364365859</v>
      </c>
      <c r="G4" s="457">
        <f>huishoudens!G8</f>
        <v>0</v>
      </c>
      <c r="H4" s="457">
        <f>huishoudens!H8</f>
        <v>0</v>
      </c>
      <c r="I4" s="457">
        <f>huishoudens!I8</f>
        <v>0</v>
      </c>
      <c r="J4" s="457">
        <f>huishoudens!J8</f>
        <v>0</v>
      </c>
      <c r="K4" s="457">
        <f>huishoudens!K8</f>
        <v>0</v>
      </c>
      <c r="L4" s="457">
        <f>huishoudens!L8</f>
        <v>0</v>
      </c>
      <c r="M4" s="457">
        <f>huishoudens!M8</f>
        <v>0</v>
      </c>
      <c r="N4" s="457">
        <f>huishoudens!N8</f>
        <v>2767.9564769616495</v>
      </c>
      <c r="O4" s="457">
        <f>huishoudens!O8</f>
        <v>59.406666666666666</v>
      </c>
      <c r="P4" s="458">
        <f>huishoudens!P8</f>
        <v>95.333333333333343</v>
      </c>
      <c r="Q4" s="459">
        <f>SUM(B4:P4)</f>
        <v>127650.93238305581</v>
      </c>
    </row>
    <row r="5" spans="1:17">
      <c r="A5" s="456" t="s">
        <v>155</v>
      </c>
      <c r="B5" s="457">
        <f ca="1">tertiair!B16</f>
        <v>9247.4208189733181</v>
      </c>
      <c r="C5" s="457">
        <f ca="1">tertiair!C16</f>
        <v>0</v>
      </c>
      <c r="D5" s="457">
        <f ca="1">tertiair!D16</f>
        <v>17332.799208717268</v>
      </c>
      <c r="E5" s="457">
        <f>tertiair!E16</f>
        <v>66.834020937025954</v>
      </c>
      <c r="F5" s="457">
        <f ca="1">tertiair!F16</f>
        <v>1724.7599847115453</v>
      </c>
      <c r="G5" s="457">
        <f>tertiair!G16</f>
        <v>0</v>
      </c>
      <c r="H5" s="457">
        <f>tertiair!H16</f>
        <v>0</v>
      </c>
      <c r="I5" s="457">
        <f>tertiair!I16</f>
        <v>0</v>
      </c>
      <c r="J5" s="457">
        <f>tertiair!J16</f>
        <v>0</v>
      </c>
      <c r="K5" s="457">
        <f>tertiair!K16</f>
        <v>0</v>
      </c>
      <c r="L5" s="457">
        <f ca="1">tertiair!L16</f>
        <v>0</v>
      </c>
      <c r="M5" s="457">
        <f>tertiair!M16</f>
        <v>0</v>
      </c>
      <c r="N5" s="457">
        <f ca="1">tertiair!N16</f>
        <v>596.42214874176375</v>
      </c>
      <c r="O5" s="457">
        <f>tertiair!O16</f>
        <v>0</v>
      </c>
      <c r="P5" s="458">
        <f>tertiair!P16</f>
        <v>0</v>
      </c>
      <c r="Q5" s="456">
        <f t="shared" ref="Q5:Q14" ca="1" si="0">SUM(B5:P5)</f>
        <v>28968.23618208092</v>
      </c>
    </row>
    <row r="6" spans="1:17">
      <c r="A6" s="456" t="s">
        <v>193</v>
      </c>
      <c r="B6" s="457">
        <f>'openbare verlichting'!B8</f>
        <v>1019.1559999999999</v>
      </c>
      <c r="C6" s="457"/>
      <c r="D6" s="457"/>
      <c r="E6" s="457"/>
      <c r="F6" s="457"/>
      <c r="G6" s="457"/>
      <c r="H6" s="457"/>
      <c r="I6" s="457"/>
      <c r="J6" s="457"/>
      <c r="K6" s="457"/>
      <c r="L6" s="457"/>
      <c r="M6" s="457"/>
      <c r="N6" s="457"/>
      <c r="O6" s="457"/>
      <c r="P6" s="458"/>
      <c r="Q6" s="456">
        <f t="shared" si="0"/>
        <v>1019.1559999999999</v>
      </c>
    </row>
    <row r="7" spans="1:17">
      <c r="A7" s="456" t="s">
        <v>111</v>
      </c>
      <c r="B7" s="457">
        <f>landbouw!B8</f>
        <v>78.506841425364598</v>
      </c>
      <c r="C7" s="457">
        <f>landbouw!C8</f>
        <v>0</v>
      </c>
      <c r="D7" s="457">
        <f>landbouw!D8</f>
        <v>139.39306540160646</v>
      </c>
      <c r="E7" s="457">
        <f>landbouw!E8</f>
        <v>0.73958704753617543</v>
      </c>
      <c r="F7" s="457">
        <f>landbouw!F8</f>
        <v>256.19387770347487</v>
      </c>
      <c r="G7" s="457">
        <f>landbouw!G8</f>
        <v>0</v>
      </c>
      <c r="H7" s="457">
        <f>landbouw!H8</f>
        <v>0</v>
      </c>
      <c r="I7" s="457">
        <f>landbouw!I8</f>
        <v>0</v>
      </c>
      <c r="J7" s="457">
        <f>landbouw!J8</f>
        <v>9.7116781415209434</v>
      </c>
      <c r="K7" s="457">
        <f>landbouw!K8</f>
        <v>0</v>
      </c>
      <c r="L7" s="457">
        <f>landbouw!L8</f>
        <v>0</v>
      </c>
      <c r="M7" s="457">
        <f>landbouw!M8</f>
        <v>0</v>
      </c>
      <c r="N7" s="457">
        <f>landbouw!N8</f>
        <v>0</v>
      </c>
      <c r="O7" s="457">
        <f>landbouw!O8</f>
        <v>0</v>
      </c>
      <c r="P7" s="458">
        <f>landbouw!P8</f>
        <v>0</v>
      </c>
      <c r="Q7" s="456">
        <f t="shared" si="0"/>
        <v>484.54504971950308</v>
      </c>
    </row>
    <row r="8" spans="1:17">
      <c r="A8" s="456" t="s">
        <v>682</v>
      </c>
      <c r="B8" s="457">
        <f>industrie!B18</f>
        <v>291.5648240554242</v>
      </c>
      <c r="C8" s="457">
        <f>industrie!C18</f>
        <v>0</v>
      </c>
      <c r="D8" s="457">
        <f>industrie!D18</f>
        <v>774.24216657094462</v>
      </c>
      <c r="E8" s="457">
        <f>industrie!E18</f>
        <v>2.1672621705765684</v>
      </c>
      <c r="F8" s="457">
        <f>industrie!F18</f>
        <v>139.71062265677199</v>
      </c>
      <c r="G8" s="457">
        <f>industrie!G18</f>
        <v>0</v>
      </c>
      <c r="H8" s="457">
        <f>industrie!H18</f>
        <v>0</v>
      </c>
      <c r="I8" s="457">
        <f>industrie!I18</f>
        <v>0</v>
      </c>
      <c r="J8" s="457">
        <f>industrie!J18</f>
        <v>1.3590388006227654</v>
      </c>
      <c r="K8" s="457">
        <f>industrie!K18</f>
        <v>0</v>
      </c>
      <c r="L8" s="457">
        <f>industrie!L18</f>
        <v>0</v>
      </c>
      <c r="M8" s="457">
        <f>industrie!M18</f>
        <v>0</v>
      </c>
      <c r="N8" s="457">
        <f>industrie!N18</f>
        <v>13.96683693176873</v>
      </c>
      <c r="O8" s="457">
        <f>industrie!O18</f>
        <v>0</v>
      </c>
      <c r="P8" s="458">
        <f>industrie!P18</f>
        <v>0</v>
      </c>
      <c r="Q8" s="456">
        <f t="shared" si="0"/>
        <v>1223.0107511861088</v>
      </c>
    </row>
    <row r="9" spans="1:17" s="462" customFormat="1">
      <c r="A9" s="460" t="s">
        <v>578</v>
      </c>
      <c r="B9" s="461">
        <f>transport!B14</f>
        <v>2.2055433793608445</v>
      </c>
      <c r="C9" s="461">
        <f>transport!C14</f>
        <v>0</v>
      </c>
      <c r="D9" s="461">
        <f>transport!D14</f>
        <v>4.8217453357470124</v>
      </c>
      <c r="E9" s="461">
        <f>transport!E14</f>
        <v>360.144961806232</v>
      </c>
      <c r="F9" s="461">
        <f>transport!F14</f>
        <v>0</v>
      </c>
      <c r="G9" s="461">
        <f>transport!G14</f>
        <v>74897.735868043383</v>
      </c>
      <c r="H9" s="461">
        <f>transport!H14</f>
        <v>12759.659350355922</v>
      </c>
      <c r="I9" s="461">
        <f>transport!I14</f>
        <v>0</v>
      </c>
      <c r="J9" s="461">
        <f>transport!J14</f>
        <v>0</v>
      </c>
      <c r="K9" s="461">
        <f>transport!K14</f>
        <v>0</v>
      </c>
      <c r="L9" s="461">
        <f>transport!L14</f>
        <v>0</v>
      </c>
      <c r="M9" s="461">
        <f>transport!M14</f>
        <v>3917.0858524340974</v>
      </c>
      <c r="N9" s="461">
        <f>transport!N14</f>
        <v>0</v>
      </c>
      <c r="O9" s="461">
        <f>transport!O14</f>
        <v>0</v>
      </c>
      <c r="P9" s="461">
        <f>transport!P14</f>
        <v>0</v>
      </c>
      <c r="Q9" s="460">
        <f>SUM(B9:P9)</f>
        <v>91941.653321354752</v>
      </c>
    </row>
    <row r="10" spans="1:17">
      <c r="A10" s="456" t="s">
        <v>568</v>
      </c>
      <c r="B10" s="457">
        <f>transport!B54</f>
        <v>0</v>
      </c>
      <c r="C10" s="457">
        <f>transport!C54</f>
        <v>0</v>
      </c>
      <c r="D10" s="457">
        <f>transport!D54</f>
        <v>0</v>
      </c>
      <c r="E10" s="457">
        <f>transport!E54</f>
        <v>0</v>
      </c>
      <c r="F10" s="457">
        <f>transport!F54</f>
        <v>0</v>
      </c>
      <c r="G10" s="457">
        <f>transport!G54</f>
        <v>602.07551110655243</v>
      </c>
      <c r="H10" s="457">
        <f>transport!H54</f>
        <v>0</v>
      </c>
      <c r="I10" s="457">
        <f>transport!I54</f>
        <v>0</v>
      </c>
      <c r="J10" s="457">
        <f>transport!J54</f>
        <v>0</v>
      </c>
      <c r="K10" s="457">
        <f>transport!K54</f>
        <v>0</v>
      </c>
      <c r="L10" s="457">
        <f>transport!L54</f>
        <v>0</v>
      </c>
      <c r="M10" s="457">
        <f>transport!M54</f>
        <v>26.416766263016513</v>
      </c>
      <c r="N10" s="457">
        <f>transport!N54</f>
        <v>0</v>
      </c>
      <c r="O10" s="457">
        <f>transport!O54</f>
        <v>0</v>
      </c>
      <c r="P10" s="458">
        <f>transport!P54</f>
        <v>0</v>
      </c>
      <c r="Q10" s="456">
        <f t="shared" si="0"/>
        <v>628.49227736956891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556.04699295051694</v>
      </c>
      <c r="C14" s="464"/>
      <c r="D14" s="464">
        <f>'SEAP template'!E25</f>
        <v>3175.9956594458904</v>
      </c>
      <c r="E14" s="464"/>
      <c r="F14" s="464"/>
      <c r="G14" s="464"/>
      <c r="H14" s="464"/>
      <c r="I14" s="464"/>
      <c r="J14" s="464"/>
      <c r="K14" s="464"/>
      <c r="L14" s="464"/>
      <c r="M14" s="464"/>
      <c r="N14" s="464"/>
      <c r="O14" s="464"/>
      <c r="P14" s="465"/>
      <c r="Q14" s="456">
        <f t="shared" si="0"/>
        <v>3732.0426523964074</v>
      </c>
    </row>
    <row r="15" spans="1:17" s="469" customFormat="1">
      <c r="A15" s="466" t="s">
        <v>572</v>
      </c>
      <c r="B15" s="467">
        <f ca="1">SUM(B4:B14)</f>
        <v>33942.019676229618</v>
      </c>
      <c r="C15" s="467">
        <f t="shared" ref="C15:Q15" ca="1" si="1">SUM(C4:C14)</f>
        <v>0</v>
      </c>
      <c r="D15" s="467">
        <f t="shared" ca="1" si="1"/>
        <v>114794.19229784691</v>
      </c>
      <c r="E15" s="467">
        <f t="shared" si="1"/>
        <v>2429.0149937978699</v>
      </c>
      <c r="F15" s="467">
        <f t="shared" ca="1" si="1"/>
        <v>8735.7121215083789</v>
      </c>
      <c r="G15" s="467">
        <f t="shared" si="1"/>
        <v>75499.811379149935</v>
      </c>
      <c r="H15" s="467">
        <f t="shared" si="1"/>
        <v>12759.659350355922</v>
      </c>
      <c r="I15" s="467">
        <f t="shared" si="1"/>
        <v>0</v>
      </c>
      <c r="J15" s="467">
        <f t="shared" si="1"/>
        <v>11.070716942143708</v>
      </c>
      <c r="K15" s="467">
        <f t="shared" si="1"/>
        <v>0</v>
      </c>
      <c r="L15" s="467">
        <f t="shared" ca="1" si="1"/>
        <v>0</v>
      </c>
      <c r="M15" s="467">
        <f t="shared" si="1"/>
        <v>3943.502618697114</v>
      </c>
      <c r="N15" s="467">
        <f t="shared" ca="1" si="1"/>
        <v>3378.3454626351822</v>
      </c>
      <c r="O15" s="467">
        <f t="shared" si="1"/>
        <v>59.406666666666666</v>
      </c>
      <c r="P15" s="467">
        <f t="shared" si="1"/>
        <v>95.333333333333343</v>
      </c>
      <c r="Q15" s="467">
        <f t="shared" ca="1" si="1"/>
        <v>255648.06861716305</v>
      </c>
    </row>
    <row r="17" spans="1:17">
      <c r="A17" s="470" t="s">
        <v>573</v>
      </c>
      <c r="B17" s="774">
        <f ca="1">huishoudens!B10</f>
        <v>0.21733912604446948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4943.8388886044031</v>
      </c>
      <c r="C22" s="457">
        <f t="shared" ref="C22:C32" ca="1" si="3">C4*$C$17</f>
        <v>0</v>
      </c>
      <c r="D22" s="457">
        <f t="shared" ref="D22:D32" si="4">D4*$D$17</f>
        <v>18860.121971379842</v>
      </c>
      <c r="E22" s="457">
        <f t="shared" ref="E22:E32" si="5">E4*$E$17</f>
        <v>453.80231973688535</v>
      </c>
      <c r="F22" s="457">
        <f t="shared" ref="F22:F32" si="6">F4*$F$17</f>
        <v>1766.2177189285685</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26023.980898649701</v>
      </c>
    </row>
    <row r="23" spans="1:17">
      <c r="A23" s="456" t="s">
        <v>155</v>
      </c>
      <c r="B23" s="457">
        <f t="shared" ca="1" si="2"/>
        <v>2009.8263589610931</v>
      </c>
      <c r="C23" s="457">
        <f t="shared" ca="1" si="3"/>
        <v>0</v>
      </c>
      <c r="D23" s="457">
        <f t="shared" ca="1" si="4"/>
        <v>3501.2254401608884</v>
      </c>
      <c r="E23" s="457">
        <f t="shared" si="5"/>
        <v>15.171322752704892</v>
      </c>
      <c r="F23" s="457">
        <f t="shared" ca="1" si="6"/>
        <v>460.51091591798263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5986.7340377926694</v>
      </c>
    </row>
    <row r="24" spans="1:17">
      <c r="A24" s="456" t="s">
        <v>193</v>
      </c>
      <c r="B24" s="457">
        <f t="shared" ca="1" si="2"/>
        <v>221.50247434297734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221.50247434297734</v>
      </c>
    </row>
    <row r="25" spans="1:17">
      <c r="A25" s="456" t="s">
        <v>111</v>
      </c>
      <c r="B25" s="457">
        <f t="shared" ca="1" si="2"/>
        <v>17.062608303900493</v>
      </c>
      <c r="C25" s="457">
        <f t="shared" ca="1" si="3"/>
        <v>0</v>
      </c>
      <c r="D25" s="457">
        <f t="shared" si="4"/>
        <v>28.157399211124506</v>
      </c>
      <c r="E25" s="457">
        <f t="shared" si="5"/>
        <v>0.16788625979071184</v>
      </c>
      <c r="F25" s="457">
        <f t="shared" si="6"/>
        <v>68.403765346827797</v>
      </c>
      <c r="G25" s="457">
        <f t="shared" si="7"/>
        <v>0</v>
      </c>
      <c r="H25" s="457">
        <f t="shared" si="8"/>
        <v>0</v>
      </c>
      <c r="I25" s="457">
        <f t="shared" si="9"/>
        <v>0</v>
      </c>
      <c r="J25" s="457">
        <f t="shared" si="10"/>
        <v>3.4379340620984138</v>
      </c>
      <c r="K25" s="457">
        <f t="shared" si="11"/>
        <v>0</v>
      </c>
      <c r="L25" s="457">
        <f t="shared" si="12"/>
        <v>0</v>
      </c>
      <c r="M25" s="457">
        <f t="shared" si="13"/>
        <v>0</v>
      </c>
      <c r="N25" s="457">
        <f t="shared" si="14"/>
        <v>0</v>
      </c>
      <c r="O25" s="457">
        <f t="shared" si="15"/>
        <v>0</v>
      </c>
      <c r="P25" s="458">
        <f t="shared" si="16"/>
        <v>0</v>
      </c>
      <c r="Q25" s="456">
        <f t="shared" ca="1" si="17"/>
        <v>117.22959318374191</v>
      </c>
    </row>
    <row r="26" spans="1:17">
      <c r="A26" s="456" t="s">
        <v>682</v>
      </c>
      <c r="B26" s="457">
        <f t="shared" ca="1" si="2"/>
        <v>63.368444045515403</v>
      </c>
      <c r="C26" s="457">
        <f t="shared" ca="1" si="3"/>
        <v>0</v>
      </c>
      <c r="D26" s="457">
        <f t="shared" si="4"/>
        <v>156.39691764733081</v>
      </c>
      <c r="E26" s="457">
        <f t="shared" si="5"/>
        <v>0.49196851272088105</v>
      </c>
      <c r="F26" s="457">
        <f t="shared" si="6"/>
        <v>37.302736249358126</v>
      </c>
      <c r="G26" s="457">
        <f t="shared" si="7"/>
        <v>0</v>
      </c>
      <c r="H26" s="457">
        <f t="shared" si="8"/>
        <v>0</v>
      </c>
      <c r="I26" s="457">
        <f t="shared" si="9"/>
        <v>0</v>
      </c>
      <c r="J26" s="457">
        <f t="shared" si="10"/>
        <v>0.48109973542045892</v>
      </c>
      <c r="K26" s="457">
        <f t="shared" si="11"/>
        <v>0</v>
      </c>
      <c r="L26" s="457">
        <f t="shared" si="12"/>
        <v>0</v>
      </c>
      <c r="M26" s="457">
        <f t="shared" si="13"/>
        <v>0</v>
      </c>
      <c r="N26" s="457">
        <f t="shared" si="14"/>
        <v>0</v>
      </c>
      <c r="O26" s="457">
        <f t="shared" si="15"/>
        <v>0</v>
      </c>
      <c r="P26" s="458">
        <f t="shared" si="16"/>
        <v>0</v>
      </c>
      <c r="Q26" s="456">
        <f t="shared" ca="1" si="17"/>
        <v>258.04116619034568</v>
      </c>
    </row>
    <row r="27" spans="1:17" s="462" customFormat="1">
      <c r="A27" s="460" t="s">
        <v>578</v>
      </c>
      <c r="B27" s="768">
        <f t="shared" ca="1" si="2"/>
        <v>0.47935087052345177</v>
      </c>
      <c r="C27" s="461">
        <f t="shared" ca="1" si="3"/>
        <v>0</v>
      </c>
      <c r="D27" s="461">
        <f t="shared" si="4"/>
        <v>0.97399255782089655</v>
      </c>
      <c r="E27" s="461">
        <f t="shared" si="5"/>
        <v>81.752906330014667</v>
      </c>
      <c r="F27" s="461">
        <f t="shared" si="6"/>
        <v>0</v>
      </c>
      <c r="G27" s="461">
        <f t="shared" si="7"/>
        <v>19997.695476767585</v>
      </c>
      <c r="H27" s="461">
        <f t="shared" si="8"/>
        <v>3177.1551782386246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23258.056904764566</v>
      </c>
    </row>
    <row r="28" spans="1:17">
      <c r="A28" s="456" t="s">
        <v>568</v>
      </c>
      <c r="B28" s="457">
        <f t="shared" ca="1" si="2"/>
        <v>0</v>
      </c>
      <c r="C28" s="457">
        <f t="shared" ca="1" si="3"/>
        <v>0</v>
      </c>
      <c r="D28" s="457">
        <f t="shared" si="4"/>
        <v>0</v>
      </c>
      <c r="E28" s="457">
        <f t="shared" si="5"/>
        <v>0</v>
      </c>
      <c r="F28" s="457">
        <f t="shared" si="6"/>
        <v>0</v>
      </c>
      <c r="G28" s="457">
        <f t="shared" si="7"/>
        <v>160.7541614654495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160.7541614654495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120.85076748752063</v>
      </c>
      <c r="C32" s="457">
        <f t="shared" ca="1" si="3"/>
        <v>0</v>
      </c>
      <c r="D32" s="457">
        <f t="shared" si="4"/>
        <v>641.55112320806995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762.40189069559062</v>
      </c>
    </row>
    <row r="33" spans="1:17" s="469" customFormat="1">
      <c r="A33" s="466" t="s">
        <v>572</v>
      </c>
      <c r="B33" s="467">
        <f ca="1">SUM(B22:B32)</f>
        <v>7376.9288926159343</v>
      </c>
      <c r="C33" s="467">
        <f t="shared" ref="C33:Q33" ca="1" si="18">SUM(C22:C32)</f>
        <v>0</v>
      </c>
      <c r="D33" s="467">
        <f t="shared" ca="1" si="18"/>
        <v>23188.426844165078</v>
      </c>
      <c r="E33" s="467">
        <f t="shared" si="18"/>
        <v>551.38640359211649</v>
      </c>
      <c r="F33" s="467">
        <f t="shared" ca="1" si="18"/>
        <v>2332.4351364427371</v>
      </c>
      <c r="G33" s="467">
        <f t="shared" si="18"/>
        <v>20158.449638233036</v>
      </c>
      <c r="H33" s="467">
        <f t="shared" si="18"/>
        <v>3177.1551782386246</v>
      </c>
      <c r="I33" s="467">
        <f t="shared" si="18"/>
        <v>0</v>
      </c>
      <c r="J33" s="467">
        <f t="shared" si="18"/>
        <v>3.9190337975188729</v>
      </c>
      <c r="K33" s="467">
        <f t="shared" si="18"/>
        <v>0</v>
      </c>
      <c r="L33" s="467">
        <f t="shared" ca="1" si="18"/>
        <v>0</v>
      </c>
      <c r="M33" s="467">
        <f t="shared" si="18"/>
        <v>0</v>
      </c>
      <c r="N33" s="467">
        <f t="shared" ca="1" si="18"/>
        <v>0</v>
      </c>
      <c r="O33" s="467">
        <f t="shared" si="18"/>
        <v>0</v>
      </c>
      <c r="P33" s="467">
        <f t="shared" si="18"/>
        <v>0</v>
      </c>
      <c r="Q33" s="467">
        <f t="shared" ca="1" si="18"/>
        <v>56788.701127085042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562.25093136114106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562.25093136114106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0.21733912604446948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0.21733912604446948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0.21733912604446948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0.21733912604446948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5331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98</v>
      </c>
      <c r="C14" s="332"/>
      <c r="D14" s="332"/>
      <c r="E14" s="332"/>
      <c r="F14" s="332"/>
    </row>
    <row r="15" spans="1:6">
      <c r="A15" s="1299" t="s">
        <v>183</v>
      </c>
      <c r="B15" s="1300">
        <v>0</v>
      </c>
      <c r="C15" s="332"/>
      <c r="D15" s="332"/>
      <c r="E15" s="332"/>
      <c r="F15" s="332"/>
    </row>
    <row r="16" spans="1:6">
      <c r="A16" s="1299" t="s">
        <v>6</v>
      </c>
      <c r="B16" s="1300">
        <v>0</v>
      </c>
      <c r="C16" s="332"/>
      <c r="D16" s="332"/>
      <c r="E16" s="332"/>
      <c r="F16" s="332"/>
    </row>
    <row r="17" spans="1:6">
      <c r="A17" s="1299" t="s">
        <v>7</v>
      </c>
      <c r="B17" s="1300">
        <v>0</v>
      </c>
      <c r="C17" s="332"/>
      <c r="D17" s="332"/>
      <c r="E17" s="332"/>
      <c r="F17" s="332"/>
    </row>
    <row r="18" spans="1:6">
      <c r="A18" s="1299" t="s">
        <v>8</v>
      </c>
      <c r="B18" s="1300">
        <v>0</v>
      </c>
      <c r="C18" s="332"/>
      <c r="D18" s="332"/>
      <c r="E18" s="332"/>
      <c r="F18" s="332"/>
    </row>
    <row r="19" spans="1:6">
      <c r="A19" s="1299" t="s">
        <v>9</v>
      </c>
      <c r="B19" s="1300">
        <v>0</v>
      </c>
      <c r="C19" s="332"/>
      <c r="D19" s="332"/>
      <c r="E19" s="332"/>
      <c r="F19" s="332"/>
    </row>
    <row r="20" spans="1:6">
      <c r="A20" s="1299" t="s">
        <v>10</v>
      </c>
      <c r="B20" s="1300">
        <v>0</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0</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49</v>
      </c>
      <c r="C29" s="338"/>
      <c r="D29" s="338"/>
      <c r="E29" s="338"/>
      <c r="F29" s="338"/>
    </row>
    <row r="30" spans="1:6">
      <c r="A30" s="1294" t="s">
        <v>951</v>
      </c>
      <c r="B30" s="1303">
        <v>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4</v>
      </c>
      <c r="D36" s="1300">
        <v>1836090.7249819899</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4127</v>
      </c>
      <c r="D39" s="1300">
        <v>103511020.457179</v>
      </c>
      <c r="E39" s="1300">
        <v>5342</v>
      </c>
      <c r="F39" s="1300">
        <v>22184867.7240845</v>
      </c>
    </row>
    <row r="40" spans="1:6">
      <c r="A40" s="1299" t="s">
        <v>29</v>
      </c>
      <c r="B40" s="1299" t="s">
        <v>28</v>
      </c>
      <c r="C40" s="1300">
        <v>0</v>
      </c>
      <c r="D40" s="1300">
        <v>0</v>
      </c>
      <c r="E40" s="1300">
        <v>0</v>
      </c>
      <c r="F40" s="1300">
        <v>0</v>
      </c>
    </row>
    <row r="41" spans="1:6">
      <c r="A41" s="1299" t="s">
        <v>31</v>
      </c>
      <c r="B41" s="1299" t="s">
        <v>32</v>
      </c>
      <c r="C41" s="1300">
        <v>19</v>
      </c>
      <c r="D41" s="1300">
        <v>504305.07497863402</v>
      </c>
      <c r="E41" s="1300">
        <v>32</v>
      </c>
      <c r="F41" s="1300">
        <v>143200.460606415</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3</v>
      </c>
      <c r="F44" s="1300">
        <v>52719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15</v>
      </c>
      <c r="D48" s="1300">
        <v>354056.52875855501</v>
      </c>
      <c r="E48" s="1300">
        <v>16</v>
      </c>
      <c r="F48" s="1300">
        <v>95645.363449009194</v>
      </c>
    </row>
    <row r="49" spans="1:6">
      <c r="A49" s="1299" t="s">
        <v>31</v>
      </c>
      <c r="B49" s="1299" t="s">
        <v>39</v>
      </c>
      <c r="C49" s="1300">
        <v>0</v>
      </c>
      <c r="D49" s="1300">
        <v>0</v>
      </c>
      <c r="E49" s="1300">
        <v>0</v>
      </c>
      <c r="F49" s="1300">
        <v>0</v>
      </c>
    </row>
    <row r="50" spans="1:6">
      <c r="A50" s="1299" t="s">
        <v>31</v>
      </c>
      <c r="B50" s="1299" t="s">
        <v>40</v>
      </c>
      <c r="C50" s="1300">
        <v>0</v>
      </c>
      <c r="D50" s="1300">
        <v>0</v>
      </c>
      <c r="E50" s="1300">
        <v>0</v>
      </c>
      <c r="F50" s="1300">
        <v>0</v>
      </c>
    </row>
    <row r="51" spans="1:6">
      <c r="A51" s="1299" t="s">
        <v>41</v>
      </c>
      <c r="B51" s="1299" t="s">
        <v>42</v>
      </c>
      <c r="C51" s="1300">
        <v>0</v>
      </c>
      <c r="D51" s="1300">
        <v>0</v>
      </c>
      <c r="E51" s="1300">
        <v>0</v>
      </c>
      <c r="F51" s="1300">
        <v>0</v>
      </c>
    </row>
    <row r="52" spans="1:6">
      <c r="A52" s="1299" t="s">
        <v>41</v>
      </c>
      <c r="B52" s="1299" t="s">
        <v>28</v>
      </c>
      <c r="C52" s="1300">
        <v>2</v>
      </c>
      <c r="D52" s="1300">
        <v>154537.76652062801</v>
      </c>
      <c r="E52" s="1300">
        <v>3</v>
      </c>
      <c r="F52" s="1300">
        <v>78506.841425364604</v>
      </c>
    </row>
    <row r="53" spans="1:6">
      <c r="A53" s="1299" t="s">
        <v>43</v>
      </c>
      <c r="B53" s="1299" t="s">
        <v>44</v>
      </c>
      <c r="C53" s="1300">
        <v>83</v>
      </c>
      <c r="D53" s="1300">
        <v>3175995.6594458902</v>
      </c>
      <c r="E53" s="1300">
        <v>122</v>
      </c>
      <c r="F53" s="1300">
        <v>556046.99295051699</v>
      </c>
    </row>
    <row r="54" spans="1:6">
      <c r="A54" s="1299" t="s">
        <v>45</v>
      </c>
      <c r="B54" s="1299" t="s">
        <v>46</v>
      </c>
      <c r="C54" s="1300">
        <v>0</v>
      </c>
      <c r="D54" s="1300">
        <v>0</v>
      </c>
      <c r="E54" s="1300">
        <v>1</v>
      </c>
      <c r="F54" s="1300">
        <v>1019156</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29</v>
      </c>
      <c r="D57" s="1300">
        <v>3183264.6351250899</v>
      </c>
      <c r="E57" s="1300">
        <v>41</v>
      </c>
      <c r="F57" s="1300">
        <v>701254.47511783103</v>
      </c>
    </row>
    <row r="58" spans="1:6">
      <c r="A58" s="1299" t="s">
        <v>48</v>
      </c>
      <c r="B58" s="1299" t="s">
        <v>50</v>
      </c>
      <c r="C58" s="1300">
        <v>14</v>
      </c>
      <c r="D58" s="1300">
        <v>617783.260030812</v>
      </c>
      <c r="E58" s="1300">
        <v>21</v>
      </c>
      <c r="F58" s="1300">
        <v>172207.08590387899</v>
      </c>
    </row>
    <row r="59" spans="1:6">
      <c r="A59" s="1299" t="s">
        <v>48</v>
      </c>
      <c r="B59" s="1299" t="s">
        <v>51</v>
      </c>
      <c r="C59" s="1300">
        <v>13</v>
      </c>
      <c r="D59" s="1300">
        <v>385775.96668218402</v>
      </c>
      <c r="E59" s="1300">
        <v>53</v>
      </c>
      <c r="F59" s="1300">
        <v>2371734.1631603902</v>
      </c>
    </row>
    <row r="60" spans="1:6">
      <c r="A60" s="1299" t="s">
        <v>48</v>
      </c>
      <c r="B60" s="1299" t="s">
        <v>52</v>
      </c>
      <c r="C60" s="1300">
        <v>9</v>
      </c>
      <c r="D60" s="1300">
        <v>997669.91868599597</v>
      </c>
      <c r="E60" s="1300">
        <v>16</v>
      </c>
      <c r="F60" s="1300">
        <v>385958.91559555801</v>
      </c>
    </row>
    <row r="61" spans="1:6">
      <c r="A61" s="1299" t="s">
        <v>48</v>
      </c>
      <c r="B61" s="1299" t="s">
        <v>53</v>
      </c>
      <c r="C61" s="1300">
        <v>113</v>
      </c>
      <c r="D61" s="1300">
        <v>5238532.3583456399</v>
      </c>
      <c r="E61" s="1300">
        <v>207</v>
      </c>
      <c r="F61" s="1300">
        <v>2887943.2152159801</v>
      </c>
    </row>
    <row r="62" spans="1:6">
      <c r="A62" s="1299" t="s">
        <v>48</v>
      </c>
      <c r="B62" s="1299" t="s">
        <v>54</v>
      </c>
      <c r="C62" s="1300">
        <v>4</v>
      </c>
      <c r="D62" s="1300">
        <v>149403.68631431999</v>
      </c>
      <c r="E62" s="1300">
        <v>4</v>
      </c>
      <c r="F62" s="1300">
        <v>23366.891689128901</v>
      </c>
    </row>
    <row r="63" spans="1:6">
      <c r="A63" s="1299" t="s">
        <v>48</v>
      </c>
      <c r="B63" s="1299" t="s">
        <v>28</v>
      </c>
      <c r="C63" s="1300">
        <v>90</v>
      </c>
      <c r="D63" s="1300">
        <v>8643533.8208439704</v>
      </c>
      <c r="E63" s="1300">
        <v>87</v>
      </c>
      <c r="F63" s="1300">
        <v>2704956.07229055</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45807</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3</v>
      </c>
      <c r="F68" s="1303">
        <v>15302.647407042799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14044759</v>
      </c>
      <c r="E73" s="455"/>
      <c r="F73" s="332"/>
    </row>
    <row r="74" spans="1:6">
      <c r="A74" s="1299" t="s">
        <v>63</v>
      </c>
      <c r="B74" s="1299" t="s">
        <v>768</v>
      </c>
      <c r="C74" s="1313" t="s">
        <v>762</v>
      </c>
      <c r="D74" s="1314">
        <v>282129.36209807254</v>
      </c>
      <c r="E74" s="455"/>
      <c r="F74" s="332"/>
    </row>
    <row r="75" spans="1:6">
      <c r="A75" s="1299" t="s">
        <v>64</v>
      </c>
      <c r="B75" s="1299" t="s">
        <v>767</v>
      </c>
      <c r="C75" s="1313" t="s">
        <v>763</v>
      </c>
      <c r="D75" s="1314">
        <v>12234670</v>
      </c>
      <c r="E75" s="455"/>
      <c r="F75" s="332"/>
    </row>
    <row r="76" spans="1:6">
      <c r="A76" s="1299" t="s">
        <v>64</v>
      </c>
      <c r="B76" s="1299" t="s">
        <v>768</v>
      </c>
      <c r="C76" s="1313" t="s">
        <v>764</v>
      </c>
      <c r="D76" s="1314">
        <v>8077.8</v>
      </c>
      <c r="E76" s="455"/>
      <c r="F76" s="332"/>
    </row>
    <row r="77" spans="1:6">
      <c r="A77" s="1299" t="s">
        <v>65</v>
      </c>
      <c r="B77" s="1299" t="s">
        <v>767</v>
      </c>
      <c r="C77" s="1313" t="s">
        <v>765</v>
      </c>
      <c r="D77" s="1314">
        <v>72772427</v>
      </c>
      <c r="E77" s="455"/>
      <c r="F77" s="332"/>
    </row>
    <row r="78" spans="1:6">
      <c r="A78" s="1294" t="s">
        <v>65</v>
      </c>
      <c r="B78" s="1294" t="s">
        <v>768</v>
      </c>
      <c r="C78" s="1294" t="s">
        <v>766</v>
      </c>
      <c r="D78" s="1315">
        <v>8190004</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165431.27580385492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562.25093136114106</v>
      </c>
      <c r="C91" s="332"/>
      <c r="D91" s="332"/>
      <c r="E91" s="332"/>
      <c r="F91" s="332"/>
    </row>
    <row r="92" spans="1:6">
      <c r="A92" s="1294" t="s">
        <v>68</v>
      </c>
      <c r="B92" s="1295">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2958</v>
      </c>
      <c r="C97" s="332"/>
      <c r="D97" s="332"/>
      <c r="E97" s="332"/>
      <c r="F97" s="332"/>
    </row>
    <row r="98" spans="1:6">
      <c r="A98" s="1299" t="s">
        <v>71</v>
      </c>
      <c r="B98" s="1300">
        <v>4</v>
      </c>
      <c r="C98" s="332"/>
      <c r="D98" s="332"/>
      <c r="E98" s="332"/>
      <c r="F98" s="332"/>
    </row>
    <row r="99" spans="1:6">
      <c r="A99" s="1299" t="s">
        <v>72</v>
      </c>
      <c r="B99" s="1300">
        <v>27</v>
      </c>
      <c r="C99" s="332"/>
      <c r="D99" s="332"/>
      <c r="E99" s="332"/>
      <c r="F99" s="332"/>
    </row>
    <row r="100" spans="1:6">
      <c r="A100" s="1299" t="s">
        <v>73</v>
      </c>
      <c r="B100" s="1300">
        <v>215</v>
      </c>
      <c r="C100" s="332"/>
      <c r="D100" s="332"/>
      <c r="E100" s="332"/>
      <c r="F100" s="332"/>
    </row>
    <row r="101" spans="1:6">
      <c r="A101" s="1299" t="s">
        <v>74</v>
      </c>
      <c r="B101" s="1300">
        <v>11</v>
      </c>
      <c r="C101" s="332"/>
      <c r="D101" s="332"/>
      <c r="E101" s="332"/>
      <c r="F101" s="332"/>
    </row>
    <row r="102" spans="1:6">
      <c r="A102" s="1299" t="s">
        <v>75</v>
      </c>
      <c r="B102" s="1300">
        <v>127</v>
      </c>
      <c r="C102" s="332"/>
      <c r="D102" s="332"/>
      <c r="E102" s="332"/>
      <c r="F102" s="332"/>
    </row>
    <row r="103" spans="1:6">
      <c r="A103" s="1299" t="s">
        <v>76</v>
      </c>
      <c r="B103" s="1300">
        <v>15</v>
      </c>
      <c r="C103" s="332"/>
      <c r="D103" s="332"/>
      <c r="E103" s="332"/>
      <c r="F103" s="332"/>
    </row>
    <row r="104" spans="1:6">
      <c r="A104" s="1299" t="s">
        <v>77</v>
      </c>
      <c r="B104" s="1300">
        <v>1366</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3</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35</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33942.019676229618</v>
      </c>
      <c r="C3" s="44" t="s">
        <v>169</v>
      </c>
      <c r="D3" s="44"/>
      <c r="E3" s="157"/>
      <c r="F3" s="44"/>
      <c r="G3" s="44"/>
      <c r="H3" s="44"/>
      <c r="I3" s="44"/>
      <c r="J3" s="44"/>
      <c r="K3" s="97"/>
    </row>
    <row r="4" spans="1:11">
      <c r="A4" s="362" t="s">
        <v>170</v>
      </c>
      <c r="B4" s="50">
        <f>IF(ISERROR('SEAP template'!B78+'SEAP template'!C78),0,'SEAP template'!B78+'SEAP template'!C78)</f>
        <v>562.25093136114106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0.21733912604446948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1019.1559999999999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1019.1559999999999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0.21733912604446948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221.50247434297734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22184.867724084499</v>
      </c>
      <c r="C5" s="18">
        <f>IF(ISERROR('Eigen informatie GS &amp; warmtenet'!B57),0,'Eigen informatie GS &amp; warmtenet'!B57)</f>
        <v>0</v>
      </c>
      <c r="D5" s="31">
        <f>(SUM(HH_hh_gas_kWh,HH_rest_gas_kWh)/1000)*0.902</f>
        <v>93366.940452375449</v>
      </c>
      <c r="E5" s="18">
        <f>B46*B57</f>
        <v>1999.1291618364992</v>
      </c>
      <c r="F5" s="18">
        <f>B51*B62</f>
        <v>6615.0476364365859</v>
      </c>
      <c r="G5" s="19"/>
      <c r="H5" s="18"/>
      <c r="I5" s="18"/>
      <c r="J5" s="18">
        <f>B50*B61+C50*C61</f>
        <v>0</v>
      </c>
      <c r="K5" s="18"/>
      <c r="L5" s="18"/>
      <c r="M5" s="18"/>
      <c r="N5" s="18">
        <f>B48*B59+C48*C59</f>
        <v>2767.9564769616495</v>
      </c>
      <c r="O5" s="18">
        <f>B69*B70*B71</f>
        <v>59.406666666666666</v>
      </c>
      <c r="P5" s="18">
        <f>B77*B78*B79/1000-B77*B78*B79/1000/B80</f>
        <v>95.333333333333343</v>
      </c>
    </row>
    <row r="6" spans="1:16">
      <c r="A6" s="17" t="s">
        <v>638</v>
      </c>
      <c r="B6" s="776">
        <f>kWh_PV_kleiner_dan_10kW</f>
        <v>562.25093136114106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22747.11865544564</v>
      </c>
      <c r="C8" s="22">
        <f>C5</f>
        <v>0</v>
      </c>
      <c r="D8" s="22">
        <f>D5</f>
        <v>93366.940452375449</v>
      </c>
      <c r="E8" s="22">
        <f>E5</f>
        <v>1999.1291618364992</v>
      </c>
      <c r="F8" s="22">
        <f>F5</f>
        <v>6615.0476364365859</v>
      </c>
      <c r="G8" s="22"/>
      <c r="H8" s="22"/>
      <c r="I8" s="22"/>
      <c r="J8" s="22">
        <f>J5</f>
        <v>0</v>
      </c>
      <c r="K8" s="22"/>
      <c r="L8" s="22">
        <f>L5</f>
        <v>0</v>
      </c>
      <c r="M8" s="22">
        <f>M5</f>
        <v>0</v>
      </c>
      <c r="N8" s="22">
        <f>N5</f>
        <v>2767.9564769616495</v>
      </c>
      <c r="O8" s="22">
        <f>O5</f>
        <v>59.406666666666666</v>
      </c>
      <c r="P8" s="22">
        <f>P5</f>
        <v>95.333333333333343</v>
      </c>
    </row>
    <row r="9" spans="1:16">
      <c r="B9" s="20"/>
      <c r="C9" s="20"/>
      <c r="D9" s="262"/>
      <c r="E9" s="20"/>
      <c r="F9" s="20"/>
      <c r="G9" s="20"/>
      <c r="H9" s="20"/>
      <c r="I9" s="20"/>
      <c r="J9" s="20"/>
      <c r="K9" s="20"/>
      <c r="L9" s="20"/>
      <c r="M9" s="20"/>
      <c r="N9" s="20"/>
      <c r="O9" s="20"/>
      <c r="P9" s="20"/>
    </row>
    <row r="10" spans="1:16">
      <c r="A10" s="25" t="s">
        <v>213</v>
      </c>
      <c r="B10" s="26">
        <f ca="1">'EF ele_warmte'!B12</f>
        <v>0.21733912604446948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4943.8388886044031</v>
      </c>
      <c r="C12" s="24">
        <f ca="1">C10*C8</f>
        <v>0</v>
      </c>
      <c r="D12" s="24">
        <f>D8*D10</f>
        <v>18860.121971379842</v>
      </c>
      <c r="E12" s="24">
        <f>E10*E8</f>
        <v>453.80231973688535</v>
      </c>
      <c r="F12" s="24">
        <f>F10*F8</f>
        <v>1766.2177189285685</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2958</v>
      </c>
      <c r="C18" s="169" t="s">
        <v>110</v>
      </c>
      <c r="D18" s="231"/>
      <c r="E18" s="16"/>
    </row>
    <row r="19" spans="1:7">
      <c r="A19" s="174" t="s">
        <v>71</v>
      </c>
      <c r="B19" s="38">
        <f>aantalw2001_ander</f>
        <v>4</v>
      </c>
      <c r="C19" s="169" t="s">
        <v>110</v>
      </c>
      <c r="D19" s="232"/>
      <c r="E19" s="16"/>
    </row>
    <row r="20" spans="1:7">
      <c r="A20" s="174" t="s">
        <v>72</v>
      </c>
      <c r="B20" s="38">
        <f>aantalw2001_propaan</f>
        <v>27</v>
      </c>
      <c r="C20" s="170">
        <f>IF(ISERROR(B20/SUM($B$20,$B$21,$B$22)*100),0,B20/SUM($B$20,$B$21,$B$22)*100)</f>
        <v>10.671936758893279</v>
      </c>
      <c r="D20" s="232"/>
      <c r="E20" s="16"/>
    </row>
    <row r="21" spans="1:7">
      <c r="A21" s="174" t="s">
        <v>73</v>
      </c>
      <c r="B21" s="38">
        <f>aantalw2001_elektriciteit</f>
        <v>215</v>
      </c>
      <c r="C21" s="170">
        <f>IF(ISERROR(B21/SUM($B$20,$B$21,$B$22)*100),0,B21/SUM($B$20,$B$21,$B$22)*100)</f>
        <v>84.980237154150188</v>
      </c>
      <c r="D21" s="232"/>
      <c r="E21" s="16"/>
    </row>
    <row r="22" spans="1:7">
      <c r="A22" s="174" t="s">
        <v>74</v>
      </c>
      <c r="B22" s="38">
        <f>aantalw2001_hout</f>
        <v>11</v>
      </c>
      <c r="C22" s="170">
        <f>IF(ISERROR(B22/SUM($B$20,$B$21,$B$22)*100),0,B22/SUM($B$20,$B$21,$B$22)*100)</f>
        <v>4.3478260869565215</v>
      </c>
      <c r="D22" s="232"/>
      <c r="E22" s="16"/>
    </row>
    <row r="23" spans="1:7">
      <c r="A23" s="174" t="s">
        <v>75</v>
      </c>
      <c r="B23" s="38">
        <f>aantalw2001_niet_gespec</f>
        <v>127</v>
      </c>
      <c r="C23" s="169" t="s">
        <v>110</v>
      </c>
      <c r="D23" s="231"/>
      <c r="E23" s="16"/>
    </row>
    <row r="24" spans="1:7">
      <c r="A24" s="174" t="s">
        <v>76</v>
      </c>
      <c r="B24" s="38">
        <f>aantalw2001_steenkool</f>
        <v>15</v>
      </c>
      <c r="C24" s="169" t="s">
        <v>110</v>
      </c>
      <c r="D24" s="232"/>
      <c r="E24" s="16"/>
    </row>
    <row r="25" spans="1:7">
      <c r="A25" s="174" t="s">
        <v>77</v>
      </c>
      <c r="B25" s="38">
        <f>aantalw2001_stookolie</f>
        <v>1366</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5331</v>
      </c>
      <c r="C28" s="37"/>
      <c r="D28" s="231"/>
    </row>
    <row r="29" spans="1:7" s="16" customFormat="1">
      <c r="A29" s="233" t="s">
        <v>664</v>
      </c>
      <c r="B29" s="38">
        <f>SUM(HH_hh_gas_aantal,HH_rest_gas_aantal)</f>
        <v>4127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4127</v>
      </c>
      <c r="C32" s="170">
        <f>IF(ISERROR(B32/SUM($B$32,$B$34,$B$35,$B$36,$B$38,$B$39)*100),0,B32/SUM($B$32,$B$34,$B$35,$B$36,$B$38,$B$39)*100)</f>
        <v>77.487795719113791</v>
      </c>
      <c r="D32" s="236"/>
      <c r="G32" s="16"/>
    </row>
    <row r="33" spans="1:7">
      <c r="A33" s="174" t="s">
        <v>71</v>
      </c>
      <c r="B33" s="35" t="s">
        <v>110</v>
      </c>
      <c r="C33" s="170"/>
      <c r="D33" s="236"/>
      <c r="G33" s="16"/>
    </row>
    <row r="34" spans="1:7">
      <c r="A34" s="174" t="s">
        <v>72</v>
      </c>
      <c r="B34" s="34">
        <f>IF((($B$28-$B$32-$B$39-$B$77-$B$38)*C20/100)&lt;0,0,($B$28-$B$32-$B$39-$B$77-$B$38)*C20/100)</f>
        <v>94.457312252964442</v>
      </c>
      <c r="C34" s="170">
        <f>IF(ISERROR(B34/SUM($B$32,$B$34,$B$35,$B$36,$B$38,$B$39)*100),0,B34/SUM($B$32,$B$34,$B$35,$B$36,$B$38,$B$39)*100)</f>
        <v>1.7735131853729713</v>
      </c>
      <c r="D34" s="236"/>
      <c r="G34" s="16"/>
    </row>
    <row r="35" spans="1:7">
      <c r="A35" s="174" t="s">
        <v>73</v>
      </c>
      <c r="B35" s="34">
        <f>IF((($B$28-$B$32-$B$39-$B$77-$B$38)*C21/100)&lt;0,0,($B$28-$B$32-$B$39-$B$77-$B$38)*C21/100)</f>
        <v>752.16007905138338</v>
      </c>
      <c r="C35" s="170">
        <f>IF(ISERROR(B35/SUM($B$32,$B$34,$B$35,$B$36,$B$38,$B$39)*100),0,B35/SUM($B$32,$B$34,$B$35,$B$36,$B$38,$B$39)*100)</f>
        <v>14.122419809451436</v>
      </c>
      <c r="D35" s="236"/>
      <c r="G35" s="16"/>
    </row>
    <row r="36" spans="1:7">
      <c r="A36" s="174" t="s">
        <v>74</v>
      </c>
      <c r="B36" s="34">
        <f>IF((($B$28-$B$32-$B$39-$B$77-$B$38)*C22/100)&lt;0,0,($B$28-$B$32-$B$39-$B$77-$B$38)*C22/100)</f>
        <v>38.482608695652182</v>
      </c>
      <c r="C36" s="170">
        <f>IF(ISERROR(B36/SUM($B$32,$B$34,$B$35,$B$36,$B$38,$B$39)*100),0,B36/SUM($B$32,$B$34,$B$35,$B$36,$B$38,$B$39)*100)</f>
        <v>0.72254240885565502</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313.89999999999986</v>
      </c>
      <c r="C39" s="170">
        <f>IF(ISERROR(B39/SUM($B$32,$B$34,$B$35,$B$36,$B$38,$B$39)*100),0,B39/SUM($B$32,$B$34,$B$35,$B$36,$B$38,$B$39)*100)</f>
        <v>5.8937288772061569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4127</v>
      </c>
      <c r="C44" s="35" t="s">
        <v>110</v>
      </c>
      <c r="D44" s="177"/>
    </row>
    <row r="45" spans="1:7">
      <c r="A45" s="174" t="s">
        <v>71</v>
      </c>
      <c r="B45" s="34" t="str">
        <f t="shared" si="0"/>
        <v>-</v>
      </c>
      <c r="C45" s="35" t="s">
        <v>110</v>
      </c>
      <c r="D45" s="177"/>
    </row>
    <row r="46" spans="1:7">
      <c r="A46" s="174" t="s">
        <v>72</v>
      </c>
      <c r="B46" s="34">
        <f t="shared" si="0"/>
        <v>94.457312252964442</v>
      </c>
      <c r="C46" s="35" t="s">
        <v>110</v>
      </c>
      <c r="D46" s="177"/>
    </row>
    <row r="47" spans="1:7">
      <c r="A47" s="174" t="s">
        <v>73</v>
      </c>
      <c r="B47" s="34">
        <f t="shared" si="0"/>
        <v>752.16007905138338</v>
      </c>
      <c r="C47" s="35" t="s">
        <v>110</v>
      </c>
      <c r="D47" s="177"/>
    </row>
    <row r="48" spans="1:7">
      <c r="A48" s="174" t="s">
        <v>74</v>
      </c>
      <c r="B48" s="34">
        <f t="shared" si="0"/>
        <v>38.482608695652182</v>
      </c>
      <c r="C48" s="34">
        <f>B48*10</f>
        <v>384.82608695652181</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313.89999999999986</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9247.4208189733181</v>
      </c>
      <c r="C5" s="18">
        <f>IF(ISERROR('Eigen informatie GS &amp; warmtenet'!B58),0,'Eigen informatie GS &amp; warmtenet'!B58)</f>
        <v>0</v>
      </c>
      <c r="D5" s="31">
        <f>SUM(D6:D12)</f>
        <v>17332.799208717268</v>
      </c>
      <c r="E5" s="18">
        <f>SUM(E6:E12)</f>
        <v>66.834020937025954</v>
      </c>
      <c r="F5" s="18">
        <f>SUM(F6:F12)</f>
        <v>1724.7599847115453</v>
      </c>
      <c r="G5" s="19"/>
      <c r="H5" s="18"/>
      <c r="I5" s="18"/>
      <c r="J5" s="18">
        <f>SUM(J6:J12)</f>
        <v>0</v>
      </c>
      <c r="K5" s="18"/>
      <c r="L5" s="18"/>
      <c r="M5" s="18"/>
      <c r="N5" s="18">
        <f>SUM(N6:N12)</f>
        <v>596.42214874176375</v>
      </c>
      <c r="O5" s="18">
        <f>B38*B39*B40</f>
        <v>0</v>
      </c>
      <c r="P5" s="18">
        <f>B46*B47*B48/1000-B46*B47*B48/1000/B49</f>
        <v>0</v>
      </c>
      <c r="R5" s="33"/>
    </row>
    <row r="6" spans="1:18">
      <c r="A6" s="33" t="s">
        <v>53</v>
      </c>
      <c r="B6" s="38">
        <f>B26</f>
        <v>2887.9432152159802</v>
      </c>
      <c r="C6" s="34"/>
      <c r="D6" s="38">
        <f>IF(ISERROR(TER_kantoor_gas_kWh/1000),0,TER_kantoor_gas_kWh/1000)*0.902</f>
        <v>4725.156187227768</v>
      </c>
      <c r="E6" s="34">
        <f>$C$26*'E Balans VL '!I12/100/3.6*1000000</f>
        <v>4.7397001325123727</v>
      </c>
      <c r="F6" s="34">
        <f>$C$26*('E Balans VL '!L12+'E Balans VL '!N12)/100/3.6*1000000</f>
        <v>340.42055546008288</v>
      </c>
      <c r="G6" s="35"/>
      <c r="H6" s="34"/>
      <c r="I6" s="34"/>
      <c r="J6" s="34">
        <f>$C$26*('E Balans VL '!D12+'E Balans VL '!E12)/100/3.6*1000000</f>
        <v>0</v>
      </c>
      <c r="K6" s="34"/>
      <c r="L6" s="34"/>
      <c r="M6" s="34"/>
      <c r="N6" s="34">
        <f>$C$26*'E Balans VL '!Y12/100/3.6*1000000</f>
        <v>0.58349525110368461</v>
      </c>
      <c r="O6" s="34"/>
      <c r="P6" s="34"/>
      <c r="R6" s="33"/>
    </row>
    <row r="7" spans="1:18">
      <c r="A7" s="33" t="s">
        <v>52</v>
      </c>
      <c r="B7" s="38">
        <f t="shared" ref="B7:B12" si="0">B27</f>
        <v>385.95891559555798</v>
      </c>
      <c r="C7" s="34"/>
      <c r="D7" s="38">
        <f>IF(ISERROR(TER_horeca_gas_kWh/1000),0,TER_horeca_gas_kWh/1000)*0.902</f>
        <v>899.89826665476835</v>
      </c>
      <c r="E7" s="34">
        <f>$C$27*'E Balans VL '!I9/100/3.6*1000000</f>
        <v>20.028474860931262</v>
      </c>
      <c r="F7" s="34">
        <f>$C$27*('E Balans VL '!L9+'E Balans VL '!N9)/100/3.6*1000000</f>
        <v>88.076104592083482</v>
      </c>
      <c r="G7" s="35"/>
      <c r="H7" s="34"/>
      <c r="I7" s="34"/>
      <c r="J7" s="34">
        <f>$C$27*('E Balans VL '!D9+'E Balans VL '!E9)/100/3.6*1000000</f>
        <v>0</v>
      </c>
      <c r="K7" s="34"/>
      <c r="L7" s="34"/>
      <c r="M7" s="34"/>
      <c r="N7" s="34">
        <f>$C$27*'E Balans VL '!Y9/100/3.6*1000000</f>
        <v>4.0757084613501325E-2</v>
      </c>
      <c r="O7" s="34"/>
      <c r="P7" s="34"/>
      <c r="R7" s="33"/>
    </row>
    <row r="8" spans="1:18">
      <c r="A8" s="6" t="s">
        <v>51</v>
      </c>
      <c r="B8" s="38">
        <f t="shared" si="0"/>
        <v>2371.7341631603904</v>
      </c>
      <c r="C8" s="34"/>
      <c r="D8" s="38">
        <f>IF(ISERROR(TER_handel_gas_kWh/1000),0,TER_handel_gas_kWh/1000)*0.902</f>
        <v>347.96992194733002</v>
      </c>
      <c r="E8" s="34">
        <f>$C$28*'E Balans VL '!I13/100/3.6*1000000</f>
        <v>12.772079916010865</v>
      </c>
      <c r="F8" s="34">
        <f>$C$28*('E Balans VL '!L13+'E Balans VL '!N13)/100/3.6*1000000</f>
        <v>483.66707745968398</v>
      </c>
      <c r="G8" s="35"/>
      <c r="H8" s="34"/>
      <c r="I8" s="34"/>
      <c r="J8" s="34">
        <f>$C$28*('E Balans VL '!D13+'E Balans VL '!E13)/100/3.6*1000000</f>
        <v>0</v>
      </c>
      <c r="K8" s="34"/>
      <c r="L8" s="34"/>
      <c r="M8" s="34"/>
      <c r="N8" s="34">
        <f>$C$28*'E Balans VL '!Y13/100/3.6*1000000</f>
        <v>11.793381516469248</v>
      </c>
      <c r="O8" s="34"/>
      <c r="P8" s="34"/>
      <c r="R8" s="33"/>
    </row>
    <row r="9" spans="1:18">
      <c r="A9" s="33" t="s">
        <v>50</v>
      </c>
      <c r="B9" s="38">
        <f t="shared" si="0"/>
        <v>172.207085903879</v>
      </c>
      <c r="C9" s="34"/>
      <c r="D9" s="38">
        <f>IF(ISERROR(TER_gezond_gas_kWh/1000),0,TER_gezond_gas_kWh/1000)*0.902</f>
        <v>557.24050054779241</v>
      </c>
      <c r="E9" s="34">
        <f>$C$29*'E Balans VL '!I10/100/3.6*1000000</f>
        <v>0.17065918046162024</v>
      </c>
      <c r="F9" s="34">
        <f>$C$29*('E Balans VL '!L10+'E Balans VL '!N10)/100/3.6*1000000</f>
        <v>59.750895129823178</v>
      </c>
      <c r="G9" s="35"/>
      <c r="H9" s="34"/>
      <c r="I9" s="34"/>
      <c r="J9" s="34">
        <f>$C$29*('E Balans VL '!D10+'E Balans VL '!E10)/100/3.6*1000000</f>
        <v>0</v>
      </c>
      <c r="K9" s="34"/>
      <c r="L9" s="34"/>
      <c r="M9" s="34"/>
      <c r="N9" s="34">
        <f>$C$29*'E Balans VL '!Y10/100/3.6*1000000</f>
        <v>1.4838935410053959</v>
      </c>
      <c r="O9" s="34"/>
      <c r="P9" s="34"/>
      <c r="R9" s="33"/>
    </row>
    <row r="10" spans="1:18">
      <c r="A10" s="33" t="s">
        <v>49</v>
      </c>
      <c r="B10" s="38">
        <f t="shared" si="0"/>
        <v>701.25447511783102</v>
      </c>
      <c r="C10" s="34"/>
      <c r="D10" s="38">
        <f>IF(ISERROR(TER_ander_gas_kWh/1000),0,TER_ander_gas_kWh/1000)*0.902</f>
        <v>2871.3047008828312</v>
      </c>
      <c r="E10" s="34">
        <f>$C$30*'E Balans VL '!I14/100/3.6*1000000</f>
        <v>5.7369624603984368</v>
      </c>
      <c r="F10" s="34">
        <f>$C$30*('E Balans VL '!L14+'E Balans VL '!N14)/100/3.6*1000000</f>
        <v>205.01825927236166</v>
      </c>
      <c r="G10" s="35"/>
      <c r="H10" s="34"/>
      <c r="I10" s="34"/>
      <c r="J10" s="34">
        <f>$C$30*('E Balans VL '!D14+'E Balans VL '!E14)/100/3.6*1000000</f>
        <v>0</v>
      </c>
      <c r="K10" s="34"/>
      <c r="L10" s="34"/>
      <c r="M10" s="34"/>
      <c r="N10" s="34">
        <f>$C$30*'E Balans VL '!Y14/100/3.6*1000000</f>
        <v>404.53181978132096</v>
      </c>
      <c r="O10" s="34"/>
      <c r="P10" s="34"/>
      <c r="R10" s="33"/>
    </row>
    <row r="11" spans="1:18">
      <c r="A11" s="33" t="s">
        <v>54</v>
      </c>
      <c r="B11" s="38">
        <f t="shared" si="0"/>
        <v>23.366891689128902</v>
      </c>
      <c r="C11" s="34"/>
      <c r="D11" s="38">
        <f>IF(ISERROR(TER_onderwijs_gas_kWh/1000),0,TER_onderwijs_gas_kWh/1000)*0.902</f>
        <v>134.76212505551663</v>
      </c>
      <c r="E11" s="34">
        <f>$C$31*'E Balans VL '!I11/100/3.6*1000000</f>
        <v>1.4402366090132073E-2</v>
      </c>
      <c r="F11" s="34">
        <f>$C$31*('E Balans VL '!L11+'E Balans VL '!N11)/100/3.6*1000000</f>
        <v>9.0340187461010526</v>
      </c>
      <c r="G11" s="35"/>
      <c r="H11" s="34"/>
      <c r="I11" s="34"/>
      <c r="J11" s="34">
        <f>$C$31*('E Balans VL '!D11+'E Balans VL '!E11)/100/3.6*1000000</f>
        <v>0</v>
      </c>
      <c r="K11" s="34"/>
      <c r="L11" s="34"/>
      <c r="M11" s="34"/>
      <c r="N11" s="34">
        <f>$C$31*'E Balans VL '!Y11/100/3.6*1000000</f>
        <v>7.6007491246762926E-2</v>
      </c>
      <c r="O11" s="34"/>
      <c r="P11" s="34"/>
      <c r="R11" s="33"/>
    </row>
    <row r="12" spans="1:18">
      <c r="A12" s="33" t="s">
        <v>259</v>
      </c>
      <c r="B12" s="38">
        <f t="shared" si="0"/>
        <v>2704.9560722905499</v>
      </c>
      <c r="C12" s="34"/>
      <c r="D12" s="38">
        <f>IF(ISERROR(TER_rest_gas_kWh/1000),0,TER_rest_gas_kWh/1000)*0.902</f>
        <v>7796.4675064012608</v>
      </c>
      <c r="E12" s="34">
        <f>$C$32*'E Balans VL '!I8/100/3.6*1000000</f>
        <v>23.371742020621266</v>
      </c>
      <c r="F12" s="34">
        <f>$C$32*('E Balans VL '!L8+'E Balans VL '!N8)/100/3.6*1000000</f>
        <v>538.79307405140901</v>
      </c>
      <c r="G12" s="35"/>
      <c r="H12" s="34"/>
      <c r="I12" s="34"/>
      <c r="J12" s="34">
        <f>$C$32*('E Balans VL '!D8+'E Balans VL '!E8)/100/3.6*1000000</f>
        <v>0</v>
      </c>
      <c r="K12" s="34"/>
      <c r="L12" s="34"/>
      <c r="M12" s="34"/>
      <c r="N12" s="34">
        <f>$C$32*'E Balans VL '!Y8/100/3.6*1000000</f>
        <v>177.91279407600427</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9247.4208189733181</v>
      </c>
      <c r="C16" s="22">
        <f t="shared" ca="1" si="1"/>
        <v>0</v>
      </c>
      <c r="D16" s="22">
        <f t="shared" ca="1" si="1"/>
        <v>17332.799208717268</v>
      </c>
      <c r="E16" s="22">
        <f t="shared" si="1"/>
        <v>66.834020937025954</v>
      </c>
      <c r="F16" s="22">
        <f t="shared" ca="1" si="1"/>
        <v>1724.7599847115453</v>
      </c>
      <c r="G16" s="22">
        <f t="shared" si="1"/>
        <v>0</v>
      </c>
      <c r="H16" s="22">
        <f t="shared" si="1"/>
        <v>0</v>
      </c>
      <c r="I16" s="22">
        <f t="shared" si="1"/>
        <v>0</v>
      </c>
      <c r="J16" s="22">
        <f t="shared" si="1"/>
        <v>0</v>
      </c>
      <c r="K16" s="22">
        <f t="shared" si="1"/>
        <v>0</v>
      </c>
      <c r="L16" s="22">
        <f t="shared" ca="1" si="1"/>
        <v>0</v>
      </c>
      <c r="M16" s="22">
        <f t="shared" si="1"/>
        <v>0</v>
      </c>
      <c r="N16" s="22">
        <f t="shared" ca="1" si="1"/>
        <v>596.42214874176375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0.21733912604446948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2009.8263589610931</v>
      </c>
      <c r="C20" s="24">
        <f t="shared" ref="C20:P20" ca="1" si="2">C16*C18</f>
        <v>0</v>
      </c>
      <c r="D20" s="24">
        <f t="shared" ca="1" si="2"/>
        <v>3501.2254401608884</v>
      </c>
      <c r="E20" s="24">
        <f t="shared" si="2"/>
        <v>15.171322752704892</v>
      </c>
      <c r="F20" s="24">
        <f t="shared" ca="1" si="2"/>
        <v>460.51091591798263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2887.9432152159802</v>
      </c>
      <c r="C26" s="40">
        <f>IF(ISERROR(B26*3.6/1000000/'E Balans VL '!Z12*100),0,B26*3.6/1000000/'E Balans VL '!Z12*100)</f>
        <v>6.136672228960751E-2</v>
      </c>
      <c r="D26" s="240" t="s">
        <v>703</v>
      </c>
      <c r="F26" s="6"/>
    </row>
    <row r="27" spans="1:18">
      <c r="A27" s="234" t="s">
        <v>52</v>
      </c>
      <c r="B27" s="34">
        <f>IF(ISERROR(TER_horeca_ele_kWh/1000),0,TER_horeca_ele_kWh/1000)</f>
        <v>385.95891559555798</v>
      </c>
      <c r="C27" s="40">
        <f>IF(ISERROR(B27*3.6/1000000/'E Balans VL '!Z9*100),0,B27*3.6/1000000/'E Balans VL '!Z9*100)</f>
        <v>3.0377951264721488E-2</v>
      </c>
      <c r="D27" s="240" t="s">
        <v>703</v>
      </c>
      <c r="F27" s="6"/>
    </row>
    <row r="28" spans="1:18">
      <c r="A28" s="174" t="s">
        <v>51</v>
      </c>
      <c r="B28" s="34">
        <f>IF(ISERROR(TER_handel_ele_kWh/1000),0,TER_handel_ele_kWh/1000)</f>
        <v>2371.7341631603904</v>
      </c>
      <c r="C28" s="40">
        <f>IF(ISERROR(B28*3.6/1000000/'E Balans VL '!Z13*100),0,B28*3.6/1000000/'E Balans VL '!Z13*100)</f>
        <v>6.6433543212134988E-2</v>
      </c>
      <c r="D28" s="240" t="s">
        <v>703</v>
      </c>
      <c r="F28" s="6"/>
    </row>
    <row r="29" spans="1:18">
      <c r="A29" s="234" t="s">
        <v>50</v>
      </c>
      <c r="B29" s="34">
        <f>IF(ISERROR(TER_gezond_ele_kWh/1000),0,TER_gezond_ele_kWh/1000)</f>
        <v>172.207085903879</v>
      </c>
      <c r="C29" s="40">
        <f>IF(ISERROR(B29*3.6/1000000/'E Balans VL '!Z10*100),0,B29*3.6/1000000/'E Balans VL '!Z10*100)</f>
        <v>2.2030493619661709E-2</v>
      </c>
      <c r="D29" s="240" t="s">
        <v>703</v>
      </c>
      <c r="F29" s="6"/>
    </row>
    <row r="30" spans="1:18">
      <c r="A30" s="234" t="s">
        <v>49</v>
      </c>
      <c r="B30" s="34">
        <f>IF(ISERROR(TER_ander_ele_kWh/1000),0,TER_ander_ele_kWh/1000)</f>
        <v>701.25447511783102</v>
      </c>
      <c r="C30" s="40">
        <f>IF(ISERROR(B30*3.6/1000000/'E Balans VL '!Z14*100),0,B30*3.6/1000000/'E Balans VL '!Z14*100)</f>
        <v>5.2447925865384888E-2</v>
      </c>
      <c r="D30" s="240" t="s">
        <v>703</v>
      </c>
      <c r="F30" s="6"/>
    </row>
    <row r="31" spans="1:18">
      <c r="A31" s="234" t="s">
        <v>54</v>
      </c>
      <c r="B31" s="34">
        <f>IF(ISERROR(TER_onderwijs_ele_kWh/1000),0,TER_onderwijs_ele_kWh/1000)</f>
        <v>23.366891689128902</v>
      </c>
      <c r="C31" s="40">
        <f>IF(ISERROR(B31*3.6/1000000/'E Balans VL '!Z11*100),0,B31*3.6/1000000/'E Balans VL '!Z11*100)</f>
        <v>4.9339494480209623E-3</v>
      </c>
      <c r="D31" s="240" t="s">
        <v>703</v>
      </c>
    </row>
    <row r="32" spans="1:18">
      <c r="A32" s="234" t="s">
        <v>259</v>
      </c>
      <c r="B32" s="34">
        <f>IF(ISERROR(TER_rest_ele_kWh/1000),0,TER_rest_ele_kWh/1000)</f>
        <v>2704.9560722905499</v>
      </c>
      <c r="C32" s="40">
        <f>IF(ISERROR(B32*3.6/1000000/'E Balans VL '!Z8*100),0,B32*3.6/1000000/'E Balans VL '!Z8*100)</f>
        <v>2.2283244363528056E-2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291.5648240554242</v>
      </c>
      <c r="C5" s="18">
        <f>IF(ISERROR('Eigen informatie GS &amp; warmtenet'!B59),0,'Eigen informatie GS &amp; warmtenet'!B59)</f>
        <v>0</v>
      </c>
      <c r="D5" s="31">
        <f>SUM(D6:D15)</f>
        <v>774.24216657094462</v>
      </c>
      <c r="E5" s="18">
        <f>SUM(E6:E15)</f>
        <v>2.1672621705765684</v>
      </c>
      <c r="F5" s="18">
        <f>SUM(F6:F15)</f>
        <v>139.71062265677199</v>
      </c>
      <c r="G5" s="19"/>
      <c r="H5" s="18"/>
      <c r="I5" s="18"/>
      <c r="J5" s="18">
        <f>SUM(J6:J15)</f>
        <v>1.3590388006227654</v>
      </c>
      <c r="K5" s="18"/>
      <c r="L5" s="18"/>
      <c r="M5" s="18"/>
      <c r="N5" s="18">
        <f>SUM(N6:N15)</f>
        <v>13.96683693176873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52.719000000000001</v>
      </c>
      <c r="C8" s="34"/>
      <c r="D8" s="38">
        <f>IF( ISERROR(IND_metaal_Gas_kWH/1000),0,IND_metaal_Gas_kWH/1000)*0.902</f>
        <v>0</v>
      </c>
      <c r="E8" s="34">
        <f>C30*'E Balans VL '!I18/100/3.6*1000000</f>
        <v>0.48010243238488659</v>
      </c>
      <c r="F8" s="34">
        <f>C30*'E Balans VL '!L18/100/3.6*1000000+C30*'E Balans VL '!N18/100/3.6*1000000</f>
        <v>6.9532357450376869</v>
      </c>
      <c r="G8" s="35"/>
      <c r="H8" s="34"/>
      <c r="I8" s="34"/>
      <c r="J8" s="41">
        <f>C30*'E Balans VL '!D18/100/3.6*1000000+C30*'E Balans VL '!E18/100/3.6*1000000</f>
        <v>0.86451505476831114</v>
      </c>
      <c r="K8" s="34"/>
      <c r="L8" s="34"/>
      <c r="M8" s="34"/>
      <c r="N8" s="34">
        <f>C30*'E Balans VL '!Y18/100/3.6*1000000</f>
        <v>0.18117426043097176</v>
      </c>
      <c r="O8" s="34"/>
      <c r="P8" s="34"/>
      <c r="R8" s="33"/>
    </row>
    <row r="9" spans="1:18">
      <c r="A9" s="6" t="s">
        <v>32</v>
      </c>
      <c r="B9" s="38">
        <f t="shared" si="0"/>
        <v>143.20046060641499</v>
      </c>
      <c r="C9" s="34"/>
      <c r="D9" s="38">
        <f>IF( ISERROR(IND_andere_gas_kWh/1000),0,IND_andere_gas_kWh/1000)*0.902</f>
        <v>454.88317763072791</v>
      </c>
      <c r="E9" s="34">
        <f>C31*'E Balans VL '!I19/100/3.6*1000000</f>
        <v>0.82772006184389668</v>
      </c>
      <c r="F9" s="34">
        <f>C31*'E Balans VL '!L19/100/3.6*1000000+C31*'E Balans VL '!N19/100/3.6*1000000</f>
        <v>113.92285694589908</v>
      </c>
      <c r="G9" s="35"/>
      <c r="H9" s="34"/>
      <c r="I9" s="34"/>
      <c r="J9" s="41">
        <f>C31*'E Balans VL '!D19/100/3.6*1000000+C31*'E Balans VL '!E19/100/3.6*1000000</f>
        <v>1.3545172947703001E-2</v>
      </c>
      <c r="K9" s="34"/>
      <c r="L9" s="34"/>
      <c r="M9" s="34"/>
      <c r="N9" s="34">
        <f>C31*'E Balans VL '!Y19/100/3.6*1000000</f>
        <v>10.849601987504705</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95.645363449009196</v>
      </c>
      <c r="C15" s="34"/>
      <c r="D15" s="38">
        <f>IF( ISERROR(IND_rest_gas_kWh/1000),0,IND_rest_gas_kWh/1000)*0.902</f>
        <v>319.35898894021665</v>
      </c>
      <c r="E15" s="34">
        <f>C37*'E Balans VL '!I15/100/3.6*1000000</f>
        <v>0.85943967634778518</v>
      </c>
      <c r="F15" s="34">
        <f>C37*'E Balans VL '!L15/100/3.6*1000000+C37*'E Balans VL '!N15/100/3.6*1000000</f>
        <v>18.834529965835223</v>
      </c>
      <c r="G15" s="35"/>
      <c r="H15" s="34"/>
      <c r="I15" s="34"/>
      <c r="J15" s="41">
        <f>C37*'E Balans VL '!D15/100/3.6*1000000+C37*'E Balans VL '!E15/100/3.6*1000000</f>
        <v>0.48097857290675128</v>
      </c>
      <c r="K15" s="34"/>
      <c r="L15" s="34"/>
      <c r="M15" s="34"/>
      <c r="N15" s="34">
        <f>C37*'E Balans VL '!Y15/100/3.6*1000000</f>
        <v>2.9360606838330541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291.5648240554242</v>
      </c>
      <c r="C18" s="22">
        <f>C5+C16</f>
        <v>0</v>
      </c>
      <c r="D18" s="22">
        <f>MAX((D5+D16),0)</f>
        <v>774.24216657094462</v>
      </c>
      <c r="E18" s="22">
        <f>MAX((E5+E16),0)</f>
        <v>2.1672621705765684</v>
      </c>
      <c r="F18" s="22">
        <f>MAX((F5+F16),0)</f>
        <v>139.71062265677199</v>
      </c>
      <c r="G18" s="22"/>
      <c r="H18" s="22"/>
      <c r="I18" s="22"/>
      <c r="J18" s="22">
        <f>MAX((J5+J16),0)</f>
        <v>1.3590388006227654</v>
      </c>
      <c r="K18" s="22"/>
      <c r="L18" s="22">
        <f>MAX((L5+L16),0)</f>
        <v>0</v>
      </c>
      <c r="M18" s="22"/>
      <c r="N18" s="22">
        <f>MAX((N5+N16),0)</f>
        <v>13.96683693176873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0.21733912604446948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63.368444045515403</v>
      </c>
      <c r="C22" s="24">
        <f ca="1">C18*C20</f>
        <v>0</v>
      </c>
      <c r="D22" s="24">
        <f>D18*D20</f>
        <v>156.39691764733081</v>
      </c>
      <c r="E22" s="24">
        <f>E18*E20</f>
        <v>0.49196851272088105</v>
      </c>
      <c r="F22" s="24">
        <f>F18*F20</f>
        <v>37.302736249358126</v>
      </c>
      <c r="G22" s="24"/>
      <c r="H22" s="24"/>
      <c r="I22" s="24"/>
      <c r="J22" s="24">
        <f>J18*J20</f>
        <v>0.48109973542045892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52.719000000000001</v>
      </c>
      <c r="C30" s="40">
        <f>IF(ISERROR(B30*3.6/1000000/'E Balans VL '!Z18*100),0,B30*3.6/1000000/'E Balans VL '!Z18*100)</f>
        <v>2.9334598210716063E-3</v>
      </c>
      <c r="D30" s="240" t="s">
        <v>703</v>
      </c>
    </row>
    <row r="31" spans="1:18">
      <c r="A31" s="6" t="s">
        <v>32</v>
      </c>
      <c r="B31" s="38">
        <f>IF( ISERROR(IND_ander_ele_kWh/1000),0,IND_ander_ele_kWh/1000)</f>
        <v>143.20046060641499</v>
      </c>
      <c r="C31" s="40">
        <f>IF(ISERROR(B31*3.6/1000000/'E Balans VL '!Z19*100),0,B31*3.6/1000000/'E Balans VL '!Z19*100)</f>
        <v>6.6570133258335579E-3</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95.645363449009196</v>
      </c>
      <c r="C37" s="40">
        <f>IF(ISERROR(B37*3.6/1000000/'E Balans VL '!Z15*100),0,B37*3.6/1000000/'E Balans VL '!Z15*100)</f>
        <v>7.2226378360693098E-4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78.506841425364598</v>
      </c>
      <c r="C5" s="18">
        <f>'Eigen informatie GS &amp; warmtenet'!B60</f>
        <v>0</v>
      </c>
      <c r="D5" s="31">
        <f>IF(ISERROR(SUM(LB_lb_gas_kWh,LB_rest_gas_kWh)/1000),0,SUM(LB_lb_gas_kWh,LB_rest_gas_kWh)/1000)*0.902</f>
        <v>139.39306540160646</v>
      </c>
      <c r="E5" s="18">
        <f>B17*'E Balans VL '!I25/3.6*1000000/100</f>
        <v>0.73958704753617543</v>
      </c>
      <c r="F5" s="18">
        <f>B17*('E Balans VL '!L25/3.6*1000000+'E Balans VL '!N25/3.6*1000000)/100</f>
        <v>256.19387770347487</v>
      </c>
      <c r="G5" s="19"/>
      <c r="H5" s="18"/>
      <c r="I5" s="18"/>
      <c r="J5" s="18">
        <f>('E Balans VL '!D25+'E Balans VL '!E25)/3.6*1000000*landbouw!B17/100</f>
        <v>9.7116781415209434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78.506841425364598</v>
      </c>
      <c r="C8" s="22">
        <f>C5+C6</f>
        <v>0</v>
      </c>
      <c r="D8" s="22">
        <f>MAX((D5+D6),0)</f>
        <v>139.39306540160646</v>
      </c>
      <c r="E8" s="22">
        <f>MAX((E5+E6),0)</f>
        <v>0.73958704753617543</v>
      </c>
      <c r="F8" s="22">
        <f>MAX((F5+F6),0)</f>
        <v>256.19387770347487</v>
      </c>
      <c r="G8" s="22"/>
      <c r="H8" s="22"/>
      <c r="I8" s="22"/>
      <c r="J8" s="22">
        <f>MAX((J5+J6),0)</f>
        <v>9.7116781415209434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0.21733912604446948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17.062608303900493</v>
      </c>
      <c r="C12" s="24">
        <f ca="1">C8*C10</f>
        <v>0</v>
      </c>
      <c r="D12" s="24">
        <f>D8*D10</f>
        <v>28.157399211124506</v>
      </c>
      <c r="E12" s="24">
        <f>E8*E10</f>
        <v>0.16788625979071184</v>
      </c>
      <c r="F12" s="24">
        <f>F8*F10</f>
        <v>68.403765346827797</v>
      </c>
      <c r="G12" s="24"/>
      <c r="H12" s="24"/>
      <c r="I12" s="24"/>
      <c r="J12" s="24">
        <f>J8*J10</f>
        <v>3.4379340620984138</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1.0628571829770929E-2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0.88200000000000001</v>
      </c>
      <c r="C26" s="250">
        <f>B26*'GWP N2O_CH4'!B5</f>
        <v>18.521999999999998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7.6439999999999994E-2</v>
      </c>
      <c r="C27" s="250">
        <f>B27*'GWP N2O_CH4'!B5</f>
        <v>1.6052399999999998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5.0466764544773307E-3</v>
      </c>
      <c r="C28" s="250">
        <f>B28*'GWP N2O_CH4'!B4</f>
        <v>1.5644697008879724</v>
      </c>
      <c r="D28" s="51"/>
    </row>
    <row r="29" spans="1:4">
      <c r="A29" s="42" t="s">
        <v>276</v>
      </c>
      <c r="B29" s="250">
        <f>B34*'ha_N2O bodem landbouw'!B4</f>
        <v>0.54050575570576576</v>
      </c>
      <c r="C29" s="250">
        <f>B29*'GWP N2O_CH4'!B4</f>
        <v>167.5567842687874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1.4591953877513949E-4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7.9399561656990397E-6</v>
      </c>
      <c r="C5" s="443" t="s">
        <v>210</v>
      </c>
      <c r="D5" s="428">
        <f>SUM(D6:D11)</f>
        <v>1.7358283208689246E-5</v>
      </c>
      <c r="E5" s="428">
        <f>SUM(E6:E11)</f>
        <v>1.2965218625024353E-3</v>
      </c>
      <c r="F5" s="441" t="s">
        <v>210</v>
      </c>
      <c r="G5" s="428">
        <f>SUM(G6:G11)</f>
        <v>0.26963184912495619</v>
      </c>
      <c r="H5" s="428">
        <f>SUM(H6:H11)</f>
        <v>4.593477366128132E-2</v>
      </c>
      <c r="I5" s="443" t="s">
        <v>210</v>
      </c>
      <c r="J5" s="443" t="s">
        <v>210</v>
      </c>
      <c r="K5" s="443" t="s">
        <v>210</v>
      </c>
      <c r="L5" s="443" t="s">
        <v>210</v>
      </c>
      <c r="M5" s="428">
        <f>SUM(M6:M11)</f>
        <v>1.4101509068762751E-2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1.1258221230888099E-6</v>
      </c>
      <c r="C6" s="429"/>
      <c r="D6" s="429">
        <f>vkm_GW_PW*SUMIFS(TableVerdeelsleutelVkm[CNG],TableVerdeelsleutelVkm[Voertuigtype],"Lichte voertuigen")*SUMIFS(TableECFTransport[EnergieConsumptieFactor (PJ per km)],TableECFTransport[Index],CONCATENATE($A6,"_CNG_CNG"))</f>
        <v>2.2778339791776001E-6</v>
      </c>
      <c r="E6" s="431">
        <f>vkm_GW_PW*SUMIFS(TableVerdeelsleutelVkm[LPG],TableVerdeelsleutelVkm[Voertuigtype],"Lichte voertuigen")*SUMIFS(TableECFTransport[EnergieConsumptieFactor (PJ per km)],TableECFTransport[Index],CONCATENATE($A6,"_LPG_LPG"))</f>
        <v>1.4705548779195989E-4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2.3481940854336702E-2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5.8841552198088754E-3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1.3143723801913245E-3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2.7326195088700636E-3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7.4741740784737835E-8</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1.2159271869070784E-4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9.8072613098529997E-7</v>
      </c>
      <c r="C8" s="429"/>
      <c r="D8" s="431">
        <f>vkm_NGW_PW*SUMIFS(TableVerdeelsleutelVkm[CNG],TableVerdeelsleutelVkm[Voertuigtype],"Lichte voertuigen")*SUMIFS(TableECFTransport[EnergieConsumptieFactor (PJ per km)],TableECFTransport[Index],CONCATENATE($A8,"_CNG_CNG"))</f>
        <v>3.367861607100842E-6</v>
      </c>
      <c r="E8" s="431">
        <f>vkm_NGW_PW*SUMIFS(TableVerdeelsleutelVkm[LPG],TableVerdeelsleutelVkm[Voertuigtype],"Lichte voertuigen")*SUMIFS(TableECFTransport[EnergieConsumptieFactor (PJ per km)],TableECFTransport[Index],CONCATENATE($A8,"_LPG_LPG"))</f>
        <v>2.0466071755076529E-4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3.1111042126165885E-2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8.302448452022727E-3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1.7646062275671393E-3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1.0045550445461106E-4</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3.190801424668903E-9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4.469964928200819E-6</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5.8334079116249302E-6</v>
      </c>
      <c r="C10" s="429"/>
      <c r="D10" s="431">
        <f>vkm_SW_PW*SUMIFS(TableVerdeelsleutelVkm[CNG],TableVerdeelsleutelVkm[Voertuigtype],"Lichte voertuigen")*SUMIFS(TableECFTransport[EnergieConsumptieFactor (PJ per km)],TableECFTransport[Index],CONCATENATE($A10,"_CNG_CNG"))</f>
        <v>1.1712587622410804E-5</v>
      </c>
      <c r="E10" s="431">
        <f>vkm_SW_PW*SUMIFS(TableVerdeelsleutelVkm[LPG],TableVerdeelsleutelVkm[Voertuigtype],"Lichte voertuigen")*SUMIFS(TableECFTransport[EnergieConsumptieFactor (PJ per km)],TableECFTransport[Index],CONCATENATE($A10,"_LPG_LPG"))</f>
        <v>9.4480565715971006E-4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0.1379122598841537</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3.1745876232425696E-2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7.5906378149538361E-3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7.4293531246975242E-2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2.2158244818153008E-6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3.3058299624315413E-3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2.2055433793608445</v>
      </c>
      <c r="C14" s="22"/>
      <c r="D14" s="22">
        <f t="shared" ref="D14:M14" si="0">((D5)*10^9/3600)+D12</f>
        <v>4.8217453357470124</v>
      </c>
      <c r="E14" s="22">
        <f t="shared" si="0"/>
        <v>360.144961806232</v>
      </c>
      <c r="F14" s="22"/>
      <c r="G14" s="22">
        <f t="shared" si="0"/>
        <v>74897.735868043383</v>
      </c>
      <c r="H14" s="22">
        <f t="shared" si="0"/>
        <v>12759.659350355922</v>
      </c>
      <c r="I14" s="22"/>
      <c r="J14" s="22"/>
      <c r="K14" s="22"/>
      <c r="L14" s="22"/>
      <c r="M14" s="22">
        <f t="shared" si="0"/>
        <v>3917.0858524340974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0.21733912604446948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0.47935087052345177</v>
      </c>
      <c r="C18" s="24"/>
      <c r="D18" s="24">
        <f t="shared" ref="D18:M18" si="1">D14*D16</f>
        <v>0.97399255782089655</v>
      </c>
      <c r="E18" s="24">
        <f t="shared" si="1"/>
        <v>81.752906330014667</v>
      </c>
      <c r="F18" s="24"/>
      <c r="G18" s="24">
        <f t="shared" si="1"/>
        <v>19997.695476767585</v>
      </c>
      <c r="H18" s="24">
        <f t="shared" si="1"/>
        <v>3177.1551782386246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2.1674718399835886E-3</v>
      </c>
      <c r="H50" s="321">
        <f t="shared" si="2"/>
        <v>0</v>
      </c>
      <c r="I50" s="321">
        <f t="shared" si="2"/>
        <v>0</v>
      </c>
      <c r="J50" s="321">
        <f t="shared" si="2"/>
        <v>0</v>
      </c>
      <c r="K50" s="321">
        <f t="shared" si="2"/>
        <v>0</v>
      </c>
      <c r="L50" s="321">
        <f t="shared" si="2"/>
        <v>0</v>
      </c>
      <c r="M50" s="321">
        <f t="shared" si="2"/>
        <v>9.5100358546859446E-5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2.1674718399835886E-3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9.5100358546859446E-5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602.07551110655243</v>
      </c>
      <c r="H54" s="22">
        <f t="shared" si="3"/>
        <v>0</v>
      </c>
      <c r="I54" s="22">
        <f t="shared" si="3"/>
        <v>0</v>
      </c>
      <c r="J54" s="22">
        <f t="shared" si="3"/>
        <v>0</v>
      </c>
      <c r="K54" s="22">
        <f t="shared" si="3"/>
        <v>0</v>
      </c>
      <c r="L54" s="22">
        <f t="shared" si="3"/>
        <v>0</v>
      </c>
      <c r="M54" s="22">
        <f t="shared" si="3"/>
        <v>26.416766263016513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0.21733912604446948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160.7541614654495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562.25093136114106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562.25093136114106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2020-06-20T16:28:08Z</dcterms:modified>
</cp:coreProperties>
</file>