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B38" i="13"/>
  <c r="C24" i="14"/>
  <c r="C26" i="14" s="1"/>
  <c r="B7" i="48"/>
  <c r="E11" i="14"/>
  <c r="D4" i="48"/>
  <c r="D22" i="48" s="1"/>
  <c r="P11" i="14"/>
  <c r="O4" i="48"/>
  <c r="O22" i="48" s="1"/>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D16" i="14" l="1"/>
  <c r="Q63" i="14"/>
  <c r="O8" i="48"/>
  <c r="O26" i="48" s="1"/>
  <c r="P13" i="14"/>
  <c r="E7" i="48"/>
  <c r="E25" i="48" s="1"/>
  <c r="F24" i="14"/>
  <c r="F26" i="14"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5" i="48"/>
  <c r="E23" i="48" s="1"/>
  <c r="F10" i="14"/>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Q5"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<sst xmlns="http://schemas.openxmlformats.org/spreadsheetml/2006/main" count="2498" uniqueCount="954">
  <si>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</si>
  <si>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</si>
  <si>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</si>
  <si>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</si>
  <si>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</si>
  <si>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</si>
  <si>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</si>
  <si>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</si>
  <si>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</si>
  <si>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</si>
  <si>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</si>
  <si>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</si>
  <si>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</si>
  <si>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</si>
  <si>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</si>
  <si>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</si>
  <si>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</si>
  <si>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</si>
  <si>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</si>
  <si>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</si>
  <si>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</si>
  <si>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</si>
  <si>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</si>
  <si>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</si>
  <si>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</si>
  <si>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</si>
  <si>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</si>
  <si>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</si>
  <si>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</si>
  <si>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</si>
  <si>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</si>
  <si>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</si>
  <si>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</si>
  <si>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</si>
  <si>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</si>
  <si>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</si>
  <si>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</si>
  <si>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</si>
  <si>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</si>
  <si>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</si>
  <si>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</si>
  <si>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</si>
  <si>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</si>
  <si>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</si>
  <si>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</si>
  <si>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</si>
  <si>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</si>
  <si>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</si>
  <si>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</si>
  <si>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</si>
  <si>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</si>
  <si>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</si>
  <si>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</si>
  <si>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</si>
  <si>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</si>
  <si>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</si>
  <si>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</si>
  <si>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</si>
  <si>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</si>
  <si>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</si>
  <si>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</si>
  <si>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</si>
  <si>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</si>
  <si>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</si>
  <si>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</si>
  <si>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</si>
  <si>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</si>
  <si>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</si>
  <si>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</si>
  <si>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</si>
  <si>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</si>
  <si>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</si>
  <si>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</si>
  <si>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</si>
  <si>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</si>
  <si>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</si>
  <si>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</si>
  <si>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</si>
  <si>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</si>
  <si>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</si>
  <si>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</si>
  <si>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</si>
  <si>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</si>
  <si>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</si>
  <si>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</si>
  <si>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</si>
  <si>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</si>
  <si>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</si>
  <si>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</si>
  <si>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</si>
  <si>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</si>
  <si>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</si>
  <si>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</si>
  <si>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</si>
  <si>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</si>
  <si>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</si>
  <si>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</si>
  <si>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</si>
  <si>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</si>
  <si>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</si>
  <si>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</si>
  <si>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</si>
  <si>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</si>
  <si>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</si>
  <si>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</si>
  <si>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</si>
  <si>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</si>
  <si>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</si>
  <si>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</si>
  <si>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</si>
  <si>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</si>
  <si>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</si>
  <si>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</si>
  <si>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</si>
  <si>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</si>
  <si>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</si>
  <si>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</si>
  <si>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</si>
  <si>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</si>
  <si>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</si>
  <si>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</si>
  <si>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</si>
  <si>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</si>
  <si>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</si>
  <si>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</si>
  <si>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</si>
  <si>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</si>
  <si>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</si>
  <si>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</si>
  <si>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</si>
  <si>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</si>
  <si>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</si>
  <si>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</si>
  <si>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</si>
  <si>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</si>
  <si>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</si>
  <si>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</si>
  <si>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</si>
  <si>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</si>
  <si>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</si>
  <si>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</si>
  <si>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</si>
  <si>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</si>
  <si>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</si>
  <si>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</si>
  <si>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</si>
  <si>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</si>
  <si>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</si>
  <si>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</si>
  <si>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</si>
  <si>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</si>
  <si>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</si>
  <si>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</si>
  <si>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</si>
  <si>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</si>
  <si>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</si>
  <si>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</si>
  <si>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</si>
  <si>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</si>
  <si>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</si>
  <si>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</si>
  <si>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</si>
  <si>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</si>
  <si>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</si>
  <si>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</si>
  <si>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</si>
  <si>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</si>
  <si>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</si>
  <si>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</si>
  <si>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</si>
  <si>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</si>
  <si>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</si>
  <si>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</si>
  <si>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</si>
  <si>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</si>
  <si>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</si>
  <si>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</si>
  <si>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</si>
  <si>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</si>
  <si>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</si>
  <si>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</si>
  <si>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</si>
  <si>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</si>
  <si>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</si>
  <si>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</si>
  <si>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</si>
  <si>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</si>
  <si>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</si>
  <si>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</si>
  <si>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</si>
  <si>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</si>
  <si>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</si>
  <si>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</si>
  <si>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</si>
  <si>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</si>
  <si>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</si>
  <si>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</si>
  <si>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</si>
  <si>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</si>
  <si>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</si>
  <si>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</si>
  <si>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</si>
  <si>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</si>
  <si>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</si>
  <si>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</si>
  <si>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</si>
  <si>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</si>
  <si>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</si>
  <si>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</si>
  <si>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</si>
  <si>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</si>
  <si>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</si>
  <si>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</si>
  <si>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</si>
  <si>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</si>
  <si>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</si>
  <si>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</si>
  <si>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</si>
  <si>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</si>
  <si>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</si>
  <si>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</si>
  <si>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</si>
  <si>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</si>
  <si>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</si>
  <si>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</si>
  <si>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</si>
  <si>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</si>
  <si>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</si>
  <si>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</si>
  <si>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</si>
  <si>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</si>
  <si>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</si>
  <si>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</si>
  <si>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</si>
  <si>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</si>
  <si>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</si>
  <si>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</si>
  <si>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</si>
  <si>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</si>
  <si>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</si>
  <si>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</si>
  <si>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</si>
  <si>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</si>
  <si>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</si>
  <si>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</si>
  <si>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</si>
  <si>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</si>
  <si>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</si>
  <si>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</si>
  <si>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</si>
  <si>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</si>
  <si>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</si>
  <si>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</si>
  <si>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</si>
  <si>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</si>
  <si>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</si>
  <si>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</si>
  <si>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</si>
  <si>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</si>
  <si>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</si>
  <si>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</si>
  <si>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</si>
  <si>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</si>
  <si>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</si>
  <si>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</si>
  <si>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</si>
  <si>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</si>
  <si>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</si>
  <si>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</si>
  <si>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</si>
  <si>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</si>
  <si>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</si>
  <si>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</si>
  <si>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</si>
  <si>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</si>
  <si>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</si>
  <si>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</si>
  <si>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</si>
  <si>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</si>
  <si>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</si>
  <si>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</si>
  <si>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</si>
  <si>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</si>
  <si>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</si>
  <si>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</si>
  <si>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</si>
  <si>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</si>
  <si>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</si>
  <si>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</si>
  <si>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</si>
  <si>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</si>
  <si>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</si>
  <si>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</si>
  <si>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</si>
  <si>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</si>
  <si>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</si>
  <si>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</si>
  <si>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</si>
  <si>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</si>
  <si>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</si>
  <si>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</si>
  <si>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</si>
  <si>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</si>
  <si>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</si>
  <si>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</si>
  <si>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</si>
  <si>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</si>
  <si>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</si>
  <si>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</si>
  <si>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</si>
  <si>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</si>
  <si>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</si>
  <si>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</si>
  <si>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</si>
  <si>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</si>
  <si>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</si>
  <si>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</si>
  <si>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</si>
  <si>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</si>
  <si>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</si>
  <si>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</si>
  <si>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</si>
  <si>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</si>
  <si>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</si>
  <si>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</si>
  <si>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</si>
  <si>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</si>
  <si>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</si>
  <si>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</si>
  <si>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</si>
  <si>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</si>
  <si>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</si>
  <si>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</si>
  <si>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</si>
  <si>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</si>
  <si>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</si>
  <si>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</si>
  <si>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</si>
  <si>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</si>
  <si>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</si>
  <si>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</si>
  <si>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</si>
  <si>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</si>
  <si>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</si>
  <si>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</si>
  <si>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</si>
  <si>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</si>
  <si>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</si>
  <si>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</si>
  <si>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</si>
  <si>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</si>
  <si>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</si>
  <si>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</si>
  <si>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</si>
  <si>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</si>
  <si>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</si>
  <si>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</si>
  <si>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</si>
  <si>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</si>
  <si>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</si>
  <si>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</si>
  <si>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</si>
  <si>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</si>
  <si>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</si>
  <si>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</si>
  <si>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</si>
  <si>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</si>
  <si>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</si>
  <si>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</si>
  <si>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</si>
  <si>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</si>
  <si>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</si>
  <si>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</si>
  <si>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</si>
  <si>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</si>
  <si>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</si>
  <si>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</si>
  <si>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</si>
  <si>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</si>
  <si>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</si>
  <si>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</si>
  <si>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</si>
  <si>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</si>
  <si>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</si>
  <si>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</si>
  <si>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</si>
  <si>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</si>
  <si>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</si>
  <si>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</si>
  <si>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</si>
  <si>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</si>
  <si>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</si>
  <si>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</si>
  <si>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</si>
  <si>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</si>
  <si>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</si>
  <si>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</si>
  <si>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</si>
  <si>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</si>
  <si>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</si>
  <si>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</si>
  <si>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</si>
  <si>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</si>
  <si>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</si>
  <si>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</si>
  <si>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</si>
  <si>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</si>
  <si>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</si>
  <si>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</si>
  <si>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</si>
  <si>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</si>
  <si>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</si>
  <si>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</si>
  <si>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</si>
  <si>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</si>
  <si>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</si>
  <si>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</si>
  <si>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</si>
  <si>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</si>
  <si>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</si>
  <si>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</si>
  <si>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</si>
  <si>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</si>
  <si>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</si>
  <si>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</si>
  <si>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</si>
  <si>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</si>
  <si>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</si>
  <si>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</si>
  <si>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</si>
  <si>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</si>
  <si>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</si>
  <si>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</si>
  <si>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</si>
  <si>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</si>
  <si>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</si>
  <si>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</si>
  <si>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</si>
  <si>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</si>
  <si>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</si>
  <si>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</si>
  <si>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</si>
  <si>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</si>
  <si>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</si>
  <si>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</si>
  <si>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</si>
  <si>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</si>
  <si>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</si>
  <si>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</si>
  <si>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</si>
  <si>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</si>
  <si>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</si>
  <si>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</si>
  <si>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</si>
  <si>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</si>
  <si>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</si>
  <si>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</si>
  <si>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</si>
  <si>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</si>
  <si>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</si>
  <si>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</si>
  <si>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</si>
  <si>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</si>
  <si>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</si>
  <si>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</si>
  <si>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</si>
  <si>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</si>
  <si>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</si>
  <si>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</si>
  <si>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</si>
  <si>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</si>
  <si>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</si>
  <si>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</si>
  <si>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</si>
  <si>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</si>
  <si>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</si>
  <si>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</si>
  <si>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</si>
  <si>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</si>
  <si>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</si>
  <si>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</si>
  <si>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</si>
  <si>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</si>
  <si>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</si>
  <si>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</si>
  <si>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</si>
  <si>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</si>
  <si>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</si>
  <si>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</si>
  <si>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</si>
  <si>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</si>
  <si>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</si>
  <si>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</si>
  <si>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</si>
  <si>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</si>
  <si>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</si>
  <si>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</si>
  <si>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</si>
  <si>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</si>
  <si>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</si>
  <si>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</si>
  <si>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</si>
  <si>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</si>
  <si>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</si>
  <si>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</si>
  <si>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</si>
  <si>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</si>
  <si>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</si>
  <si>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</si>
  <si>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</si>
  <si>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</si>
  <si>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</si>
  <si>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</si>
  <si>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</si>
  <si>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</si>
  <si>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</si>
  <si>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</si>
  <si>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</si>
  <si>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</si>
  <si>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</si>
  <si>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</si>
  <si>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</si>
  <si>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</si>
  <si>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</si>
  <si>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</si>
  <si>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</si>
  <si>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</si>
  <si>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</si>
  <si>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</si>
  <si>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</si>
  <si>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</si>
  <si>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</si>
  <si>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</si>
  <si>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</si>
  <si>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</si>
  <si>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</si>
  <si>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</si>
  <si>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</si>
  <si>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</si>
  <si>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</si>
  <si>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</si>
  <si>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</si>
  <si>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</si>
  <si>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</si>
  <si>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</si>
  <si>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</si>
  <si>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</si>
  <si>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</si>
  <si>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</si>
  <si>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</si>
  <si>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</si>
  <si>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</si>
  <si>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</si>
  <si>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</si>
  <si>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</si>
  <si>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</si>
  <si>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</si>
  <si>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</si>
  <si>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</si>
  <si>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</si>
  <si>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</si>
  <si>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</si>
  <si>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</si>
  <si>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</si>
  <si>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</si>
  <si>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</si>
  <si>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</si>
  <si>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</si>
  <si>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</si>
  <si>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</si>
  <si>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</si>
  <si>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</si>
  <si>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</si>
  <si>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</si>
  <si>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</si>
  <si>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</si>
  <si>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</si>
  <si>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</si>
  <si>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</si>
  <si>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</si>
  <si>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</si>
  <si>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</si>
  <si>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</si>
  <si>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</si>
  <si>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</si>
  <si>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</si>
  <si>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</si>
  <si>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</si>
  <si>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</si>
  <si>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</si>
  <si>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</si>
  <si>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</si>
  <si>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</si>
  <si>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</si>
  <si>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</si>
  <si>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</si>
  <si>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</si>
  <si>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</si>
  <si>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</si>
  <si>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</si>
  <si>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</si>
  <si>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</si>
  <si>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</si>
  <si>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</si>
  <si>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</si>
  <si>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</si>
  <si>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</si>
  <si>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</si>
  <si>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</si>
  <si>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</si>
  <si>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</si>
  <si>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</si>
  <si>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</si>
  <si>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</si>
  <si>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</si>
  <si>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</si>
  <si>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</si>
  <si>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</si>
  <si>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</si>
  <si>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</si>
  <si>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</si>
  <si>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</si>
  <si>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</si>
  <si>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</si>
  <si>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</si>
  <si>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</si>
  <si>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</si>
  <si>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</si>
  <si>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</si>
  <si>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</si>
  <si>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</si>
  <si>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</si>
  <si>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</si>
  <si>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</si>
  <si>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</si>
  <si>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</si>
  <si>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</si>
  <si>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</si>
  <si>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</si>
  <si>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</si>
  <si>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</si>
  <si>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</si>
  <si>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</si>
  <si>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</si>
  <si>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</si>
  <si>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</si>
  <si>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</si>
  <si>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</si>
  <si>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</si>
  <si>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</si>
  <si>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</si>
  <si>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</si>
  <si>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</si>
  <si>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</si>
  <si>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</si>
  <si>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</si>
  <si>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</si>
  <si>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</si>
  <si>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</si>
  <si>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</si>
  <si>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</si>
  <si>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</si>
  <si>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</si>
  <si>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</si>
  <si>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</si>
  <si>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</si>
  <si>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</si>
  <si>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</si>
  <si>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</si>
  <si>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</si>
  <si>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</si>
  <si>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</si>
  <si>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</si>
  <si>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</si>
  <si>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</si>
  <si>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</si>
  <si>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</si>
  <si>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</si>
  <si>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</si>
  <si>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</si>
  <si>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</si>
  <si>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</si>
  <si>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</si>
  <si>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</si>
  <si>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</si>
  <si>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</si>
  <si>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</si>
  <si>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</si>
  <si>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</si>
  <si>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</si>
  <si>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</si>
  <si>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</si>
  <si>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</si>
  <si>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</si>
  <si>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</si>
  <si>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</si>
  <si>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</si>
  <si>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</si>
  <si>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</si>
  <si>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</si>
  <si>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</si>
  <si>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</si>
  <si>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</si>
  <si>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</si>
  <si>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</si>
  <si>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</si>
  <si>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</si>
  <si>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</si>
  <si>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</si>
  <si>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</si>
  <si>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</si>
  <si>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</si>
  <si>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</si>
  <si>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</si>
  <si>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</si>
  <si>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</si>
  <si>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</si>
  <si>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</si>
  <si>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</si>
  <si>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</si>
  <si>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</si>
  <si>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</si>
  <si>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</si>
  <si>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</si>
  <si>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</si>
  <si>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</si>
  <si>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</si>
  <si>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</si>
  <si>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</si>
  <si>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</si>
  <si>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</si>
  <si>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</si>
  <si>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</si>
  <si>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</si>
  <si>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</si>
  <si>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</si>
  <si>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</si>
  <si>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</si>
  <si>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</si>
  <si>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</si>
  <si>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</si>
  <si>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</si>
  <si>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</si>
  <si>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</si>
  <si>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</si>
  <si>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</si>
  <si>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</si>
  <si>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</si>
  <si>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</si>
  <si>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</si>
  <si>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</si>
  <si>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</si>
  <si>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</si>
  <si>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</si>
  <si>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</si>
  <si>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</si>
  <si>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</si>
  <si>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</si>
  <si>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</si>
  <si>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</si>
  <si>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</si>
  <si>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</si>
  <si>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</si>
  <si>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</si>
  <si>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</si>
  <si>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</si>
  <si>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</si>
  <si>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</si>
  <si>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</si>
  <si>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</si>
  <si>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</si>
  <si>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</si>
  <si>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</si>
  <si>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</si>
  <si>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</si>
  <si>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</si>
  <si>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</si>
  <si>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</si>
  <si>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</si>
  <si>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</si>
  <si>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</si>
  <si>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</si>
  <si>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</si>
  <si>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</si>
  <si>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</si>
  <si>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</si>
  <si>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</si>
  <si>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</si>
  <si>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</si>
  <si>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</si>
  <si>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</si>
  <si>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</si>
  <si>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</si>
  <si>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</si>
  <si>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</si>
  <si>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</si>
  <si>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</si>
  <si>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</si>
  <si>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</si>
  <si>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</si>
  <si>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</si>
  <si>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</si>
  <si>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</si>
  <si>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</si>
  <si>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</si>
  <si>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</si>
  <si>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</si>
  <si>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</si>
  <si>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</si>
  <si>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</si>
  <si>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</si>
  <si>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</si>
  <si>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</si>
  <si>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</si>
  <si>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</si>
  <si>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</si>
  <si>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</si>
  <si>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</si>
  <si>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</si>
  <si>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</si>
  <si>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</si>
  <si>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</si>
  <si>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</si>
  <si>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</si>
  <si>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</si>
  <si>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</si>
  <si>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</si>
  <si>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</si>
  <si>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</si>
  <si>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</si>
  <si>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</si>
  <si>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</si>
  <si>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</si>
  <si>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</si>
  <si>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</si>
  <si>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</si>
  <si>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</si>
  <si>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</si>
  <si>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</si>
  <si>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</si>
  <si>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</si>
  <si>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</si>
  <si>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</si>
  <si>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</si>
  <si>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</si>
  <si>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</si>
  <si>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</si>
  <si>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</si>
  <si>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</si>
  <si>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</si>
  <si>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</si>
  <si>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</si>
  <si>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</si>
  <si>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</si>
  <si>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</si>
  <si>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</si>
  <si>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</si>
  <si>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</si>
  <si>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</si>
  <si>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</si>
  <si>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</si>
  <si>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</si>
  <si>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</si>
  <si>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</si>
  <si>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</si>
  <si>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</si>
  <si>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</si>
  <si>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</si>
  <si>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</si>
  <si>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</si>
  <si>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</si>
  <si>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</si>
  <si>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</si>
  <si>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</si>
  <si>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</si>
  <si>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</si>
  <si>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</si>
  <si>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</si>
  <si>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</si>
  <si>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</si>
  <si>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</si>
  <si>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</si>
  <si>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</si>
  <si>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</si>
  <si>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</si>
  <si>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</si>
  <si>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</si>
  <si>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</si>
  <si>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</si>
  <si>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</si>
  <si>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</si>
  <si>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</si>
  <si>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</si>
  <si>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</si>
  <si>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</si>
  <si>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</si>
  <si>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</si>
  <si>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</si>
  <si>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</si>
  <si>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</si>
  <si>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</si>
  <si>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</si>
  <si>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</si>
  <si>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</si>
  <si>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</si>
  <si>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</si>
  <si>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</si>
  <si>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</si>
  <si>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</si>
  <si>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</si>
  <si>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</si>
  <si>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</si>
  <si>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</si>
  <si>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</si>
  <si>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</si>
  <si>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</si>
  <si>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</si>
  <si>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</si>
  <si>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</si>
  <si>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</si>
  <si>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</si>
  <si>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</si>
  <si>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</si>
  <si>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</si>
  <si>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</si>
  <si>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</si>
  <si>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</si>
  <si>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</si>
  <si>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</si>
  <si>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</si>
  <si>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</si>
  <si>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</si>
  <si>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</si>
  <si>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</si>
  <si>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</si>
  <si>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</si>
  <si>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</si>
  <si>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</si>
  <si>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</si>
  <si>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</si>
  <si>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</si>
  <si>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</si>
  <si>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</si>
  <si>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</si>
  <si>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</si>
  <si>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</si>
  <si>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</si>
  <si>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</si>
  <si>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23050</t>
  </si>
  <si>
    <t>MEISE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</si>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</sst>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23050</v>
      </c>
      <c r="B6" s="394"/>
      <c r="C6" s="395"/>
    </row>
    <row r="7" spans="1:7" s="392" customFormat="1" ht="15.75" customHeight="1">
      <c r="A7" s="396" t="str">
        <f>txtMunicipality</f>
        <v>MEISE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17641.427480410439</v>
      </c>
      <c r="D10" s="684">
        <f ca="1">tertiair!C16</f>
        <v>0</v>
      </c>
      <c r="E10" s="684">
        <f ca="1">tertiair!D16</f>
        <v>29001.347705513352</v>
      </c>
      <c r="F10" s="684">
        <f>tertiair!E16</f>
        <v>155.29400258026197</v>
      </c>
      <c r="G10" s="684">
        <f ca="1">tertiair!F16</f>
        <v>3101.6637907915438</v>
      </c>
      <c r="H10" s="684">
        <f>tertiair!G16</f>
        <v>0</v>
      </c>
      <c r="I10" s="684">
        <f>tertiair!H16</f>
        <v>0</v>
      </c>
      <c r="J10" s="684">
        <f>tertiair!I16</f>
        <v>0</v>
      </c>
      <c r="K10" s="684">
        <f>tertiair!J16</f>
        <v>0</v>
      </c>
      <c r="L10" s="684">
        <f>tertiair!K16</f>
        <v>0</v>
      </c>
      <c r="M10" s="684">
        <f ca="1">tertiair!L16</f>
        <v>0</v>
      </c>
      <c r="N10" s="684">
        <f>tertiair!M16</f>
        <v>0</v>
      </c>
      <c r="O10" s="684">
        <f ca="1">tertiair!N16</f>
        <v>1756.162845926571</v>
      </c>
      <c r="P10" s="684">
        <f>tertiair!O16</f>
        <v>0</v>
      </c>
      <c r="Q10" s="685">
        <f>tertiair!P16</f>
        <v>19.066666666666666</v>
      </c>
      <c r="R10" s="687">
        <f ca="1">SUM(C10:Q10)</f>
        <v>51674.962491888829</v>
      </c>
      <c r="S10" s="68"/>
    </row>
    <row r="11" spans="1:19" s="453" customFormat="1">
      <c r="A11" s="799" t="s">
        <v>224</v>
      </c>
      <c r="B11" s="804"/>
      <c r="C11" s="684">
        <f>huishoudens!B8</f>
        <v>37252.139867685488</v>
      </c>
      <c r="D11" s="684">
        <f>huishoudens!C8</f>
        <v>0</v>
      </c>
      <c r="E11" s="684">
        <f>huishoudens!D8</f>
        <v>85383.182986467349</v>
      </c>
      <c r="F11" s="684">
        <f>huishoudens!E8</f>
        <v>1533.3315146612238</v>
      </c>
      <c r="G11" s="684">
        <f>huishoudens!F8</f>
        <v>33326.015712841094</v>
      </c>
      <c r="H11" s="684">
        <f>huishoudens!G8</f>
        <v>0</v>
      </c>
      <c r="I11" s="684">
        <f>huishoudens!H8</f>
        <v>0</v>
      </c>
      <c r="J11" s="684">
        <f>huishoudens!I8</f>
        <v>0</v>
      </c>
      <c r="K11" s="684">
        <f>huishoudens!J8</f>
        <v>0</v>
      </c>
      <c r="L11" s="684">
        <f>huishoudens!K8</f>
        <v>0</v>
      </c>
      <c r="M11" s="684">
        <f>huishoudens!L8</f>
        <v>0</v>
      </c>
      <c r="N11" s="684">
        <f>huishoudens!M8</f>
        <v>0</v>
      </c>
      <c r="O11" s="684">
        <f>huishoudens!N8</f>
        <v>5973.6468543727333</v>
      </c>
      <c r="P11" s="684">
        <f>huishoudens!O8</f>
        <v>93.8</v>
      </c>
      <c r="Q11" s="685">
        <f>huishoudens!P8</f>
        <v>419.4666666666667</v>
      </c>
      <c r="R11" s="687">
        <f>SUM(C11:Q11)</f>
        <v>163981.58360269453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6366.3277243098892</v>
      </c>
      <c r="D13" s="684">
        <f>industrie!C18</f>
        <v>0</v>
      </c>
      <c r="E13" s="684">
        <f>industrie!D18</f>
        <v>4475.8674843251829</v>
      </c>
      <c r="F13" s="684">
        <f>industrie!E18</f>
        <v>53.164246960116301</v>
      </c>
      <c r="G13" s="684">
        <f>industrie!F18</f>
        <v>2006.4648499715986</v>
      </c>
      <c r="H13" s="684">
        <f>industrie!G18</f>
        <v>0</v>
      </c>
      <c r="I13" s="684">
        <f>industrie!H18</f>
        <v>0</v>
      </c>
      <c r="J13" s="684">
        <f>industrie!I18</f>
        <v>0</v>
      </c>
      <c r="K13" s="684">
        <f>industrie!J18</f>
        <v>28.164885614458449</v>
      </c>
      <c r="L13" s="684">
        <f>industrie!K18</f>
        <v>0</v>
      </c>
      <c r="M13" s="684">
        <f>industrie!L18</f>
        <v>0</v>
      </c>
      <c r="N13" s="684">
        <f>industrie!M18</f>
        <v>0</v>
      </c>
      <c r="O13" s="684">
        <f>industrie!N18</f>
        <v>244.14639144689633</v>
      </c>
      <c r="P13" s="684">
        <f>industrie!O18</f>
        <v>0</v>
      </c>
      <c r="Q13" s="685">
        <f>industrie!P18</f>
        <v>0</v>
      </c>
      <c r="R13" s="687">
        <f>SUM(C13:Q13)</f>
        <v>13174.135582628141</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61259.895072405809</v>
      </c>
      <c r="D16" s="717">
        <f t="shared" ref="D16:R16" ca="1" si="0">SUM(D9:D15)</f>
        <v>0</v>
      </c>
      <c r="E16" s="717">
        <f t="shared" ca="1" si="0"/>
        <v>118860.39817630588</v>
      </c>
      <c r="F16" s="717">
        <f t="shared" si="0"/>
        <v>1741.7897642016021</v>
      </c>
      <c r="G16" s="717">
        <f t="shared" ca="1" si="0"/>
        <v>38434.144353604235</v>
      </c>
      <c r="H16" s="717">
        <f t="shared" si="0"/>
        <v>0</v>
      </c>
      <c r="I16" s="717">
        <f t="shared" si="0"/>
        <v>0</v>
      </c>
      <c r="J16" s="717">
        <f t="shared" si="0"/>
        <v>0</v>
      </c>
      <c r="K16" s="717">
        <f t="shared" si="0"/>
        <v>28.164885614458449</v>
      </c>
      <c r="L16" s="717">
        <f t="shared" si="0"/>
        <v>0</v>
      </c>
      <c r="M16" s="717">
        <f t="shared" ca="1" si="0"/>
        <v>0</v>
      </c>
      <c r="N16" s="717">
        <f t="shared" si="0"/>
        <v>0</v>
      </c>
      <c r="O16" s="717">
        <f t="shared" ca="1" si="0"/>
        <v>7973.9560917462004</v>
      </c>
      <c r="P16" s="717">
        <f t="shared" si="0"/>
        <v>93.8</v>
      </c>
      <c r="Q16" s="717">
        <f t="shared" si="0"/>
        <v>438.53333333333336</v>
      </c>
      <c r="R16" s="717">
        <f t="shared" ca="1" si="0"/>
        <v>228830.68167721148</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4874.665761513088</v>
      </c>
      <c r="I19" s="684">
        <f>transport!H54</f>
        <v>0</v>
      </c>
      <c r="J19" s="684">
        <f>transport!I54</f>
        <v>0</v>
      </c>
      <c r="K19" s="684">
        <f>transport!J54</f>
        <v>0</v>
      </c>
      <c r="L19" s="684">
        <f>transport!K54</f>
        <v>0</v>
      </c>
      <c r="M19" s="684">
        <f>transport!L54</f>
        <v>0</v>
      </c>
      <c r="N19" s="684">
        <f>transport!M54</f>
        <v>213.8816538070937</v>
      </c>
      <c r="O19" s="684">
        <f>transport!N54</f>
        <v>0</v>
      </c>
      <c r="P19" s="684">
        <f>transport!O54</f>
        <v>0</v>
      </c>
      <c r="Q19" s="685">
        <f>transport!P54</f>
        <v>0</v>
      </c>
      <c r="R19" s="687">
        <f>SUM(C19:Q19)</f>
        <v>5088.5474153201812</v>
      </c>
      <c r="S19" s="68"/>
    </row>
    <row r="20" spans="1:19" s="453" customFormat="1">
      <c r="A20" s="799" t="s">
        <v>306</v>
      </c>
      <c r="B20" s="804"/>
      <c r="C20" s="684">
        <f>transport!B14</f>
        <v>6.1873570301271741</v>
      </c>
      <c r="D20" s="684">
        <f>transport!C14</f>
        <v>0</v>
      </c>
      <c r="E20" s="684">
        <f>transport!D14</f>
        <v>13.714675403868924</v>
      </c>
      <c r="F20" s="684">
        <f>transport!E14</f>
        <v>981.57070269861322</v>
      </c>
      <c r="G20" s="684">
        <f>transport!F14</f>
        <v>0</v>
      </c>
      <c r="H20" s="684">
        <f>transport!G14</f>
        <v>208107.44815528902</v>
      </c>
      <c r="I20" s="684">
        <f>transport!H14</f>
        <v>35921.702345545986</v>
      </c>
      <c r="J20" s="684">
        <f>transport!I14</f>
        <v>0</v>
      </c>
      <c r="K20" s="684">
        <f>transport!J14</f>
        <v>0</v>
      </c>
      <c r="L20" s="684">
        <f>transport!K14</f>
        <v>0</v>
      </c>
      <c r="M20" s="684">
        <f>transport!L14</f>
        <v>0</v>
      </c>
      <c r="N20" s="684">
        <f>transport!M14</f>
        <v>10905.287636513254</v>
      </c>
      <c r="O20" s="684">
        <f>transport!N14</f>
        <v>0</v>
      </c>
      <c r="P20" s="684">
        <f>transport!O14</f>
        <v>0</v>
      </c>
      <c r="Q20" s="685">
        <f>transport!P14</f>
        <v>0</v>
      </c>
      <c r="R20" s="687">
        <f>SUM(C20:Q20)</f>
        <v>255935.91087248089</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6.1873570301271741</v>
      </c>
      <c r="D22" s="802">
        <f t="shared" ref="D22:R22" si="1">SUM(D18:D21)</f>
        <v>0</v>
      </c>
      <c r="E22" s="802">
        <f t="shared" si="1"/>
        <v>13.714675403868924</v>
      </c>
      <c r="F22" s="802">
        <f t="shared" si="1"/>
        <v>981.57070269861322</v>
      </c>
      <c r="G22" s="802">
        <f t="shared" si="1"/>
        <v>0</v>
      </c>
      <c r="H22" s="802">
        <f t="shared" si="1"/>
        <v>212982.1139168021</v>
      </c>
      <c r="I22" s="802">
        <f t="shared" si="1"/>
        <v>35921.702345545986</v>
      </c>
      <c r="J22" s="802">
        <f t="shared" si="1"/>
        <v>0</v>
      </c>
      <c r="K22" s="802">
        <f t="shared" si="1"/>
        <v>0</v>
      </c>
      <c r="L22" s="802">
        <f t="shared" si="1"/>
        <v>0</v>
      </c>
      <c r="M22" s="802">
        <f t="shared" si="1"/>
        <v>0</v>
      </c>
      <c r="N22" s="802">
        <f t="shared" si="1"/>
        <v>11119.169290320347</v>
      </c>
      <c r="O22" s="802">
        <f t="shared" si="1"/>
        <v>0</v>
      </c>
      <c r="P22" s="802">
        <f t="shared" si="1"/>
        <v>0</v>
      </c>
      <c r="Q22" s="802">
        <f t="shared" si="1"/>
        <v>0</v>
      </c>
      <c r="R22" s="802">
        <f t="shared" si="1"/>
        <v>261024.45828780107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750.48032653655582</v>
      </c>
      <c r="D24" s="684">
        <f>+landbouw!C8</f>
        <v>0</v>
      </c>
      <c r="E24" s="684">
        <f>+landbouw!D8</f>
        <v>158.5062954122713</v>
      </c>
      <c r="F24" s="684">
        <f>+landbouw!E8</f>
        <v>7.0700275142877889</v>
      </c>
      <c r="G24" s="684">
        <f>+landbouw!F8</f>
        <v>2449.0663680356733</v>
      </c>
      <c r="H24" s="684">
        <f>+landbouw!G8</f>
        <v>0</v>
      </c>
      <c r="I24" s="684">
        <f>+landbouw!H8</f>
        <v>0</v>
      </c>
      <c r="J24" s="684">
        <f>+landbouw!I8</f>
        <v>0</v>
      </c>
      <c r="K24" s="684">
        <f>+landbouw!J8</f>
        <v>92.838066728179015</v>
      </c>
      <c r="L24" s="684">
        <f>+landbouw!K8</f>
        <v>0</v>
      </c>
      <c r="M24" s="684">
        <f>+landbouw!L8</f>
        <v>0</v>
      </c>
      <c r="N24" s="684">
        <f>+landbouw!M8</f>
        <v>0</v>
      </c>
      <c r="O24" s="684">
        <f>+landbouw!N8</f>
        <v>0</v>
      </c>
      <c r="P24" s="684">
        <f>+landbouw!O8</f>
        <v>0</v>
      </c>
      <c r="Q24" s="685">
        <f>+landbouw!P8</f>
        <v>0</v>
      </c>
      <c r="R24" s="687">
        <f>SUM(C24:Q24)</f>
        <v>3457.9610842269672</v>
      </c>
      <c r="S24" s="68"/>
    </row>
    <row r="25" spans="1:19" s="453" customFormat="1" ht="15" thickBot="1">
      <c r="A25" s="821" t="s">
        <v>896</v>
      </c>
      <c r="B25" s="990"/>
      <c r="C25" s="991">
        <f>IF(Onbekend_ele_kWh="---",0,Onbekend_ele_kWh)/1000+IF(REST_rest_ele_kWh="---",0,REST_rest_ele_kWh)/1000</f>
        <v>1081.01835935536</v>
      </c>
      <c r="D25" s="991"/>
      <c r="E25" s="991">
        <f>IF(onbekend_gas_kWh="---",0,onbekend_gas_kWh)/1000+IF(REST_rest_gas_kWh="---",0,REST_rest_gas_kWh)/1000</f>
        <v>3268.83791901121</v>
      </c>
      <c r="F25" s="991"/>
      <c r="G25" s="991"/>
      <c r="H25" s="991"/>
      <c r="I25" s="991"/>
      <c r="J25" s="991"/>
      <c r="K25" s="991"/>
      <c r="L25" s="991"/>
      <c r="M25" s="991"/>
      <c r="N25" s="991"/>
      <c r="O25" s="991"/>
      <c r="P25" s="991"/>
      <c r="Q25" s="992"/>
      <c r="R25" s="687">
        <f>SUM(C25:Q25)</f>
        <v>4349.8562783665702</v>
      </c>
      <c r="S25" s="68"/>
    </row>
    <row r="26" spans="1:19" s="453" customFormat="1" ht="15.75" thickBot="1">
      <c r="A26" s="690" t="s">
        <v>897</v>
      </c>
      <c r="B26" s="807"/>
      <c r="C26" s="802">
        <f>SUM(C24:C25)</f>
        <v>1831.4986858919158</v>
      </c>
      <c r="D26" s="802">
        <f t="shared" ref="D26:R26" si="2">SUM(D24:D25)</f>
        <v>0</v>
      </c>
      <c r="E26" s="802">
        <f t="shared" si="2"/>
        <v>3427.3442144234814</v>
      </c>
      <c r="F26" s="802">
        <f t="shared" si="2"/>
        <v>7.0700275142877889</v>
      </c>
      <c r="G26" s="802">
        <f t="shared" si="2"/>
        <v>2449.0663680356733</v>
      </c>
      <c r="H26" s="802">
        <f t="shared" si="2"/>
        <v>0</v>
      </c>
      <c r="I26" s="802">
        <f t="shared" si="2"/>
        <v>0</v>
      </c>
      <c r="J26" s="802">
        <f t="shared" si="2"/>
        <v>0</v>
      </c>
      <c r="K26" s="802">
        <f t="shared" si="2"/>
        <v>92.838066728179015</v>
      </c>
      <c r="L26" s="802">
        <f t="shared" si="2"/>
        <v>0</v>
      </c>
      <c r="M26" s="802">
        <f t="shared" si="2"/>
        <v>0</v>
      </c>
      <c r="N26" s="802">
        <f t="shared" si="2"/>
        <v>0</v>
      </c>
      <c r="O26" s="802">
        <f t="shared" si="2"/>
        <v>0</v>
      </c>
      <c r="P26" s="802">
        <f t="shared" si="2"/>
        <v>0</v>
      </c>
      <c r="Q26" s="802">
        <f t="shared" si="2"/>
        <v>0</v>
      </c>
      <c r="R26" s="802">
        <f t="shared" si="2"/>
        <v>7807.8173625935378</v>
      </c>
      <c r="S26" s="68"/>
    </row>
    <row r="27" spans="1:19" s="453" customFormat="1" ht="17.25" thickTop="1" thickBot="1">
      <c r="A27" s="691" t="s">
        <v>115</v>
      </c>
      <c r="B27" s="794"/>
      <c r="C27" s="692">
        <f ca="1">C22+C16+C26</f>
        <v>63097.581115327848</v>
      </c>
      <c r="D27" s="692">
        <f t="shared" ref="D27:R27" ca="1" si="3">D22+D16+D26</f>
        <v>0</v>
      </c>
      <c r="E27" s="692">
        <f t="shared" ca="1" si="3"/>
        <v>122301.45706613324</v>
      </c>
      <c r="F27" s="692">
        <f t="shared" si="3"/>
        <v>2730.4304944145028</v>
      </c>
      <c r="G27" s="692">
        <f t="shared" ca="1" si="3"/>
        <v>40883.210721639909</v>
      </c>
      <c r="H27" s="692">
        <f t="shared" si="3"/>
        <v>212982.1139168021</v>
      </c>
      <c r="I27" s="692">
        <f t="shared" si="3"/>
        <v>35921.702345545986</v>
      </c>
      <c r="J27" s="692">
        <f t="shared" si="3"/>
        <v>0</v>
      </c>
      <c r="K27" s="692">
        <f t="shared" si="3"/>
        <v>121.00295234263746</v>
      </c>
      <c r="L27" s="692">
        <f t="shared" si="3"/>
        <v>0</v>
      </c>
      <c r="M27" s="692">
        <f t="shared" ca="1" si="3"/>
        <v>0</v>
      </c>
      <c r="N27" s="692">
        <f t="shared" si="3"/>
        <v>11119.169290320347</v>
      </c>
      <c r="O27" s="692">
        <f t="shared" ca="1" si="3"/>
        <v>7973.9560917462004</v>
      </c>
      <c r="P27" s="692">
        <f t="shared" si="3"/>
        <v>93.8</v>
      </c>
      <c r="Q27" s="692">
        <f t="shared" si="3"/>
        <v>438.53333333333336</v>
      </c>
      <c r="R27" s="692">
        <f t="shared" ca="1" si="3"/>
        <v>497662.9573276061</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3728.3351635511394</v>
      </c>
      <c r="D40" s="684">
        <f ca="1">tertiair!C20</f>
        <v>0</v>
      </c>
      <c r="E40" s="684">
        <f ca="1">tertiair!D20</f>
        <v>5858.2722365136979</v>
      </c>
      <c r="F40" s="684">
        <f>tertiair!E20</f>
        <v>35.251738585719472</v>
      </c>
      <c r="G40" s="684">
        <f ca="1">tertiair!F20</f>
        <v>828.14423214134229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10450.003370791897</v>
      </c>
    </row>
    <row r="41" spans="1:18">
      <c r="A41" s="812" t="s">
        <v>224</v>
      </c>
      <c r="B41" s="819"/>
      <c r="C41" s="684">
        <f ca="1">huishoudens!B12</f>
        <v>7872.858539392174</v>
      </c>
      <c r="D41" s="684">
        <f ca="1">huishoudens!C12</f>
        <v>0</v>
      </c>
      <c r="E41" s="684">
        <f>huishoudens!D12</f>
        <v>17247.402963266406</v>
      </c>
      <c r="F41" s="684">
        <f>huishoudens!E12</f>
        <v>348.06625382809779</v>
      </c>
      <c r="G41" s="684">
        <f>huishoudens!F12</f>
        <v>8898.0461953285721</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34366.373951815251</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1345.4582143985797</v>
      </c>
      <c r="D43" s="684">
        <f ca="1">industrie!C22</f>
        <v>0</v>
      </c>
      <c r="E43" s="684">
        <f>industrie!D22</f>
        <v>904.12523183368705</v>
      </c>
      <c r="F43" s="684">
        <f>industrie!E22</f>
        <v>12.0682840599464</v>
      </c>
      <c r="G43" s="684">
        <f>industrie!F22</f>
        <v>535.72611494241687</v>
      </c>
      <c r="H43" s="684">
        <f>industrie!G22</f>
        <v>0</v>
      </c>
      <c r="I43" s="684">
        <f>industrie!H22</f>
        <v>0</v>
      </c>
      <c r="J43" s="684">
        <f>industrie!I22</f>
        <v>0</v>
      </c>
      <c r="K43" s="684">
        <f>industrie!J22</f>
        <v>9.9703695075182903</v>
      </c>
      <c r="L43" s="684">
        <f>industrie!K22</f>
        <v>0</v>
      </c>
      <c r="M43" s="684">
        <f>industrie!L22</f>
        <v>0</v>
      </c>
      <c r="N43" s="684">
        <f>industrie!M22</f>
        <v>0</v>
      </c>
      <c r="O43" s="684">
        <f>industrie!N22</f>
        <v>0</v>
      </c>
      <c r="P43" s="684">
        <f>industrie!O22</f>
        <v>0</v>
      </c>
      <c r="Q43" s="759">
        <f>industrie!P22</f>
        <v>0</v>
      </c>
      <c r="R43" s="839">
        <f t="shared" ca="1" si="4"/>
        <v>2807.3482147421487</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12946.651917341893</v>
      </c>
      <c r="D46" s="717">
        <f t="shared" ref="D46:Q46" ca="1" si="5">SUM(D39:D45)</f>
        <v>0</v>
      </c>
      <c r="E46" s="717">
        <f t="shared" ca="1" si="5"/>
        <v>24009.800431613792</v>
      </c>
      <c r="F46" s="717">
        <f t="shared" si="5"/>
        <v>395.38627647376364</v>
      </c>
      <c r="G46" s="717">
        <f t="shared" ca="1" si="5"/>
        <v>10261.916542412331</v>
      </c>
      <c r="H46" s="717">
        <f t="shared" si="5"/>
        <v>0</v>
      </c>
      <c r="I46" s="717">
        <f t="shared" si="5"/>
        <v>0</v>
      </c>
      <c r="J46" s="717">
        <f t="shared" si="5"/>
        <v>0</v>
      </c>
      <c r="K46" s="717">
        <f t="shared" si="5"/>
        <v>9.9703695075182903</v>
      </c>
      <c r="L46" s="717">
        <f t="shared" si="5"/>
        <v>0</v>
      </c>
      <c r="M46" s="717">
        <f t="shared" ca="1" si="5"/>
        <v>0</v>
      </c>
      <c r="N46" s="717">
        <f t="shared" si="5"/>
        <v>0</v>
      </c>
      <c r="O46" s="717">
        <f t="shared" ca="1" si="5"/>
        <v>0</v>
      </c>
      <c r="P46" s="717">
        <f t="shared" si="5"/>
        <v>0</v>
      </c>
      <c r="Q46" s="717">
        <f t="shared" si="5"/>
        <v>0</v>
      </c>
      <c r="R46" s="717">
        <f ca="1">SUM(R39:R45)</f>
        <v>47623.725537349295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1301.5357583239945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1301.5357583239945</v>
      </c>
    </row>
    <row r="50" spans="1:18">
      <c r="A50" s="815" t="s">
        <v>306</v>
      </c>
      <c r="B50" s="825"/>
      <c r="C50" s="997">
        <f ca="1">transport!B18</f>
        <v>1.3076345896886448</v>
      </c>
      <c r="D50" s="997">
        <f>transport!C18</f>
        <v>0</v>
      </c>
      <c r="E50" s="997">
        <f>transport!D18</f>
        <v>2.7703644315815228</v>
      </c>
      <c r="F50" s="997">
        <f>transport!E18</f>
        <v>222.8165495125852</v>
      </c>
      <c r="G50" s="997">
        <f>transport!F18</f>
        <v>0</v>
      </c>
      <c r="H50" s="997">
        <f>transport!G18</f>
        <v>55564.688657462175</v>
      </c>
      <c r="I50" s="997">
        <f>transport!H18</f>
        <v>8944.5038840409507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64736.087090036977</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1.3076345896886448</v>
      </c>
      <c r="D52" s="717">
        <f t="shared" ref="D52:Q52" ca="1" si="6">SUM(D48:D51)</f>
        <v>0</v>
      </c>
      <c r="E52" s="717">
        <f t="shared" si="6"/>
        <v>2.7703644315815228</v>
      </c>
      <c r="F52" s="717">
        <f t="shared" si="6"/>
        <v>222.8165495125852</v>
      </c>
      <c r="G52" s="717">
        <f t="shared" si="6"/>
        <v>0</v>
      </c>
      <c r="H52" s="717">
        <f t="shared" si="6"/>
        <v>56866.224415786171</v>
      </c>
      <c r="I52" s="717">
        <f t="shared" si="6"/>
        <v>8944.5038840409507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66037.622848360974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158.60633693541018</v>
      </c>
      <c r="D54" s="997">
        <f ca="1">+landbouw!C12</f>
        <v>0</v>
      </c>
      <c r="E54" s="997">
        <f>+landbouw!D12</f>
        <v>32.018271673278804</v>
      </c>
      <c r="F54" s="997">
        <f>+landbouw!E12</f>
        <v>1.6048962457433282</v>
      </c>
      <c r="G54" s="997">
        <f>+landbouw!F12</f>
        <v>653.9007202655248</v>
      </c>
      <c r="H54" s="997">
        <f>+landbouw!G12</f>
        <v>0</v>
      </c>
      <c r="I54" s="997">
        <f>+landbouw!H12</f>
        <v>0</v>
      </c>
      <c r="J54" s="997">
        <f>+landbouw!I12</f>
        <v>0</v>
      </c>
      <c r="K54" s="997">
        <f>+landbouw!J12</f>
        <v>32.864675621775369</v>
      </c>
      <c r="L54" s="997">
        <f>+landbouw!K12</f>
        <v>0</v>
      </c>
      <c r="M54" s="997">
        <f>+landbouw!L12</f>
        <v>0</v>
      </c>
      <c r="N54" s="997">
        <f>+landbouw!M12</f>
        <v>0</v>
      </c>
      <c r="O54" s="997">
        <f>+landbouw!N12</f>
        <v>0</v>
      </c>
      <c r="P54" s="997">
        <f>+landbouw!O12</f>
        <v>0</v>
      </c>
      <c r="Q54" s="998">
        <f>+landbouw!P12</f>
        <v>0</v>
      </c>
      <c r="R54" s="716">
        <f ca="1">SUM(C54:Q54)</f>
        <v>878.99490074173252</v>
      </c>
    </row>
    <row r="55" spans="1:18" ht="15" thickBot="1">
      <c r="A55" s="815" t="s">
        <v>896</v>
      </c>
      <c r="B55" s="825"/>
      <c r="C55" s="997">
        <f ca="1">C25*'EF ele_warmte'!B12</f>
        <v>228.4621675941147</v>
      </c>
      <c r="D55" s="997"/>
      <c r="E55" s="997">
        <f>E25*EF_CO2_aardgas</f>
        <v>660.30525964026447</v>
      </c>
      <c r="F55" s="997"/>
      <c r="G55" s="997"/>
      <c r="H55" s="997"/>
      <c r="I55" s="997"/>
      <c r="J55" s="997"/>
      <c r="K55" s="997"/>
      <c r="L55" s="997"/>
      <c r="M55" s="997"/>
      <c r="N55" s="997"/>
      <c r="O55" s="997"/>
      <c r="P55" s="997"/>
      <c r="Q55" s="998"/>
      <c r="R55" s="716">
        <f ca="1">SUM(C55:Q55)</f>
        <v>888.76742723437917</v>
      </c>
    </row>
    <row r="56" spans="1:18" ht="15.75" thickBot="1">
      <c r="A56" s="813" t="s">
        <v>897</v>
      </c>
      <c r="B56" s="826"/>
      <c r="C56" s="717">
        <f ca="1">SUM(C54:C55)</f>
        <v>387.06850452952489</v>
      </c>
      <c r="D56" s="717">
        <f t="shared" ref="D56:Q56" ca="1" si="7">SUM(D54:D55)</f>
        <v>0</v>
      </c>
      <c r="E56" s="717">
        <f t="shared" si="7"/>
        <v>692.3235313135433</v>
      </c>
      <c r="F56" s="717">
        <f t="shared" si="7"/>
        <v>1.6048962457433282</v>
      </c>
      <c r="G56" s="717">
        <f t="shared" si="7"/>
        <v>653.9007202655248</v>
      </c>
      <c r="H56" s="717">
        <f t="shared" si="7"/>
        <v>0</v>
      </c>
      <c r="I56" s="717">
        <f t="shared" si="7"/>
        <v>0</v>
      </c>
      <c r="J56" s="717">
        <f t="shared" si="7"/>
        <v>0</v>
      </c>
      <c r="K56" s="717">
        <f t="shared" si="7"/>
        <v>32.864675621775369</v>
      </c>
      <c r="L56" s="717">
        <f t="shared" si="7"/>
        <v>0</v>
      </c>
      <c r="M56" s="717">
        <f t="shared" si="7"/>
        <v>0</v>
      </c>
      <c r="N56" s="717">
        <f t="shared" si="7"/>
        <v>0</v>
      </c>
      <c r="O56" s="717">
        <f t="shared" si="7"/>
        <v>0</v>
      </c>
      <c r="P56" s="717">
        <f t="shared" si="7"/>
        <v>0</v>
      </c>
      <c r="Q56" s="718">
        <f t="shared" si="7"/>
        <v>0</v>
      </c>
      <c r="R56" s="719">
        <f ca="1">SUM(R54:R55)</f>
        <v>1767.7623279761117</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13335.028056461106</v>
      </c>
      <c r="D61" s="725">
        <f t="shared" ref="D61:Q61" ca="1" si="8">D46+D52+D56</f>
        <v>0</v>
      </c>
      <c r="E61" s="725">
        <f t="shared" ca="1" si="8"/>
        <v>24704.894327358918</v>
      </c>
      <c r="F61" s="725">
        <f t="shared" si="8"/>
        <v>619.80772223209226</v>
      </c>
      <c r="G61" s="725">
        <f t="shared" ca="1" si="8"/>
        <v>10915.817262677856</v>
      </c>
      <c r="H61" s="725">
        <f t="shared" si="8"/>
        <v>56866.224415786171</v>
      </c>
      <c r="I61" s="725">
        <f t="shared" si="8"/>
        <v>8944.5038840409507</v>
      </c>
      <c r="J61" s="725">
        <f t="shared" si="8"/>
        <v>0</v>
      </c>
      <c r="K61" s="725">
        <f t="shared" si="8"/>
        <v>42.835045129293661</v>
      </c>
      <c r="L61" s="725">
        <f t="shared" si="8"/>
        <v>0</v>
      </c>
      <c r="M61" s="725">
        <f t="shared" ca="1" si="8"/>
        <v>0</v>
      </c>
      <c r="N61" s="725">
        <f t="shared" si="8"/>
        <v>0</v>
      </c>
      <c r="O61" s="725">
        <f t="shared" ca="1" si="8"/>
        <v>0</v>
      </c>
      <c r="P61" s="725">
        <f t="shared" si="8"/>
        <v>0</v>
      </c>
      <c r="Q61" s="725">
        <f t="shared" si="8"/>
        <v>0</v>
      </c>
      <c r="R61" s="725">
        <f ca="1">R46+R52+R56</f>
        <v>115429.11071368639</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0.21133976644980645</v>
      </c>
      <c r="D63" s="769">
        <f t="shared" ca="1" si="9"/>
        <v>0</v>
      </c>
      <c r="E63" s="999">
        <f t="shared" ca="1" si="9"/>
        <v>0.20200000000000001</v>
      </c>
      <c r="F63" s="769">
        <f t="shared" si="9"/>
        <v>0.22700000000000004</v>
      </c>
      <c r="G63" s="769">
        <f t="shared" ca="1" si="9"/>
        <v>0.26700000000000002</v>
      </c>
      <c r="H63" s="769">
        <f t="shared" si="9"/>
        <v>0.26700000000000007</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2758.0876471780593</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2758.0876471780593</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37252.139867685488</v>
      </c>
      <c r="C4" s="457">
        <f>huishoudens!C8</f>
        <v>0</v>
      </c>
      <c r="D4" s="457">
        <f>huishoudens!D8</f>
        <v>85383.182986467349</v>
      </c>
      <c r="E4" s="457">
        <f>huishoudens!E8</f>
        <v>1533.3315146612238</v>
      </c>
      <c r="F4" s="457">
        <f>huishoudens!F8</f>
        <v>33326.015712841094</v>
      </c>
      <c r="G4" s="457">
        <f>huishoudens!G8</f>
        <v>0</v>
      </c>
      <c r="H4" s="457">
        <f>huishoudens!H8</f>
        <v>0</v>
      </c>
      <c r="I4" s="457">
        <f>huishoudens!I8</f>
        <v>0</v>
      </c>
      <c r="J4" s="457">
        <f>huishoudens!J8</f>
        <v>0</v>
      </c>
      <c r="K4" s="457">
        <f>huishoudens!K8</f>
        <v>0</v>
      </c>
      <c r="L4" s="457">
        <f>huishoudens!L8</f>
        <v>0</v>
      </c>
      <c r="M4" s="457">
        <f>huishoudens!M8</f>
        <v>0</v>
      </c>
      <c r="N4" s="457">
        <f>huishoudens!N8</f>
        <v>5973.6468543727333</v>
      </c>
      <c r="O4" s="457">
        <f>huishoudens!O8</f>
        <v>93.8</v>
      </c>
      <c r="P4" s="458">
        <f>huishoudens!P8</f>
        <v>419.4666666666667</v>
      </c>
      <c r="Q4" s="459">
        <f>SUM(B4:P4)</f>
        <v>163981.58360269453</v>
      </c>
    </row>
    <row r="5" spans="1:17">
      <c r="A5" s="456" t="s">
        <v>155</v>
      </c>
      <c r="B5" s="457">
        <f ca="1">tertiair!B16</f>
        <v>15390.161480410439</v>
      </c>
      <c r="C5" s="457">
        <f ca="1">tertiair!C16</f>
        <v>0</v>
      </c>
      <c r="D5" s="457">
        <f ca="1">tertiair!D16</f>
        <v>29001.347705513352</v>
      </c>
      <c r="E5" s="457">
        <f>tertiair!E16</f>
        <v>155.29400258026197</v>
      </c>
      <c r="F5" s="457">
        <f ca="1">tertiair!F16</f>
        <v>3101.6637907915438</v>
      </c>
      <c r="G5" s="457">
        <f>tertiair!G16</f>
        <v>0</v>
      </c>
      <c r="H5" s="457">
        <f>tertiair!H16</f>
        <v>0</v>
      </c>
      <c r="I5" s="457">
        <f>tertiair!I16</f>
        <v>0</v>
      </c>
      <c r="J5" s="457">
        <f>tertiair!J16</f>
        <v>0</v>
      </c>
      <c r="K5" s="457">
        <f>tertiair!K16</f>
        <v>0</v>
      </c>
      <c r="L5" s="457">
        <f ca="1">tertiair!L16</f>
        <v>0</v>
      </c>
      <c r="M5" s="457">
        <f>tertiair!M16</f>
        <v>0</v>
      </c>
      <c r="N5" s="457">
        <f ca="1">tertiair!N16</f>
        <v>1756.162845926571</v>
      </c>
      <c r="O5" s="457">
        <f>tertiair!O16</f>
        <v>0</v>
      </c>
      <c r="P5" s="458">
        <f>tertiair!P16</f>
        <v>19.066666666666666</v>
      </c>
      <c r="Q5" s="456">
        <f t="shared" ref="Q5:Q14" ca="1" si="0">SUM(B5:P5)</f>
        <v>49423.696491888826</v>
      </c>
    </row>
    <row r="6" spans="1:17">
      <c r="A6" s="456" t="s">
        <v>193</v>
      </c>
      <c r="B6" s="457">
        <f>'openbare verlichting'!B8</f>
        <v>2251.2660000000001</v>
      </c>
      <c r="C6" s="457"/>
      <c r="D6" s="457"/>
      <c r="E6" s="457"/>
      <c r="F6" s="457"/>
      <c r="G6" s="457"/>
      <c r="H6" s="457"/>
      <c r="I6" s="457"/>
      <c r="J6" s="457"/>
      <c r="K6" s="457"/>
      <c r="L6" s="457"/>
      <c r="M6" s="457"/>
      <c r="N6" s="457"/>
      <c r="O6" s="457"/>
      <c r="P6" s="458"/>
      <c r="Q6" s="456">
        <f t="shared" si="0"/>
        <v>2251.2660000000001</v>
      </c>
    </row>
    <row r="7" spans="1:17">
      <c r="A7" s="456" t="s">
        <v>111</v>
      </c>
      <c r="B7" s="457">
        <f>landbouw!B8</f>
        <v>750.48032653655582</v>
      </c>
      <c r="C7" s="457">
        <f>landbouw!C8</f>
        <v>0</v>
      </c>
      <c r="D7" s="457">
        <f>landbouw!D8</f>
        <v>158.5062954122713</v>
      </c>
      <c r="E7" s="457">
        <f>landbouw!E8</f>
        <v>7.0700275142877889</v>
      </c>
      <c r="F7" s="457">
        <f>landbouw!F8</f>
        <v>2449.0663680356733</v>
      </c>
      <c r="G7" s="457">
        <f>landbouw!G8</f>
        <v>0</v>
      </c>
      <c r="H7" s="457">
        <f>landbouw!H8</f>
        <v>0</v>
      </c>
      <c r="I7" s="457">
        <f>landbouw!I8</f>
        <v>0</v>
      </c>
      <c r="J7" s="457">
        <f>landbouw!J8</f>
        <v>92.838066728179015</v>
      </c>
      <c r="K7" s="457">
        <f>landbouw!K8</f>
        <v>0</v>
      </c>
      <c r="L7" s="457">
        <f>landbouw!L8</f>
        <v>0</v>
      </c>
      <c r="M7" s="457">
        <f>landbouw!M8</f>
        <v>0</v>
      </c>
      <c r="N7" s="457">
        <f>landbouw!N8</f>
        <v>0</v>
      </c>
      <c r="O7" s="457">
        <f>landbouw!O8</f>
        <v>0</v>
      </c>
      <c r="P7" s="458">
        <f>landbouw!P8</f>
        <v>0</v>
      </c>
      <c r="Q7" s="456">
        <f t="shared" si="0"/>
        <v>3457.9610842269672</v>
      </c>
    </row>
    <row r="8" spans="1:17">
      <c r="A8" s="456" t="s">
        <v>682</v>
      </c>
      <c r="B8" s="457">
        <f>industrie!B18</f>
        <v>6366.3277243098892</v>
      </c>
      <c r="C8" s="457">
        <f>industrie!C18</f>
        <v>0</v>
      </c>
      <c r="D8" s="457">
        <f>industrie!D18</f>
        <v>4475.8674843251829</v>
      </c>
      <c r="E8" s="457">
        <f>industrie!E18</f>
        <v>53.164246960116301</v>
      </c>
      <c r="F8" s="457">
        <f>industrie!F18</f>
        <v>2006.4648499715986</v>
      </c>
      <c r="G8" s="457">
        <f>industrie!G18</f>
        <v>0</v>
      </c>
      <c r="H8" s="457">
        <f>industrie!H18</f>
        <v>0</v>
      </c>
      <c r="I8" s="457">
        <f>industrie!I18</f>
        <v>0</v>
      </c>
      <c r="J8" s="457">
        <f>industrie!J18</f>
        <v>28.164885614458449</v>
      </c>
      <c r="K8" s="457">
        <f>industrie!K18</f>
        <v>0</v>
      </c>
      <c r="L8" s="457">
        <f>industrie!L18</f>
        <v>0</v>
      </c>
      <c r="M8" s="457">
        <f>industrie!M18</f>
        <v>0</v>
      </c>
      <c r="N8" s="457">
        <f>industrie!N18</f>
        <v>244.14639144689633</v>
      </c>
      <c r="O8" s="457">
        <f>industrie!O18</f>
        <v>0</v>
      </c>
      <c r="P8" s="458">
        <f>industrie!P18</f>
        <v>0</v>
      </c>
      <c r="Q8" s="456">
        <f t="shared" si="0"/>
        <v>13174.135582628141</v>
      </c>
    </row>
    <row r="9" spans="1:17" s="462" customFormat="1">
      <c r="A9" s="460" t="s">
        <v>578</v>
      </c>
      <c r="B9" s="461">
        <f>transport!B14</f>
        <v>6.1873570301271741</v>
      </c>
      <c r="C9" s="461">
        <f>transport!C14</f>
        <v>0</v>
      </c>
      <c r="D9" s="461">
        <f>transport!D14</f>
        <v>13.714675403868924</v>
      </c>
      <c r="E9" s="461">
        <f>transport!E14</f>
        <v>981.57070269861322</v>
      </c>
      <c r="F9" s="461">
        <f>transport!F14</f>
        <v>0</v>
      </c>
      <c r="G9" s="461">
        <f>transport!G14</f>
        <v>208107.44815528902</v>
      </c>
      <c r="H9" s="461">
        <f>transport!H14</f>
        <v>35921.702345545986</v>
      </c>
      <c r="I9" s="461">
        <f>transport!I14</f>
        <v>0</v>
      </c>
      <c r="J9" s="461">
        <f>transport!J14</f>
        <v>0</v>
      </c>
      <c r="K9" s="461">
        <f>transport!K14</f>
        <v>0</v>
      </c>
      <c r="L9" s="461">
        <f>transport!L14</f>
        <v>0</v>
      </c>
      <c r="M9" s="461">
        <f>transport!M14</f>
        <v>10905.287636513254</v>
      </c>
      <c r="N9" s="461">
        <f>transport!N14</f>
        <v>0</v>
      </c>
      <c r="O9" s="461">
        <f>transport!O14</f>
        <v>0</v>
      </c>
      <c r="P9" s="461">
        <f>transport!P14</f>
        <v>0</v>
      </c>
      <c r="Q9" s="460">
        <f>SUM(B9:P9)</f>
        <v>255935.91087248089</v>
      </c>
    </row>
    <row r="10" spans="1:17">
      <c r="A10" s="456" t="s">
        <v>568</v>
      </c>
      <c r="B10" s="457">
        <f>transport!B54</f>
        <v>0</v>
      </c>
      <c r="C10" s="457">
        <f>transport!C54</f>
        <v>0</v>
      </c>
      <c r="D10" s="457">
        <f>transport!D54</f>
        <v>0</v>
      </c>
      <c r="E10" s="457">
        <f>transport!E54</f>
        <v>0</v>
      </c>
      <c r="F10" s="457">
        <f>transport!F54</f>
        <v>0</v>
      </c>
      <c r="G10" s="457">
        <f>transport!G54</f>
        <v>4874.665761513088</v>
      </c>
      <c r="H10" s="457">
        <f>transport!H54</f>
        <v>0</v>
      </c>
      <c r="I10" s="457">
        <f>transport!I54</f>
        <v>0</v>
      </c>
      <c r="J10" s="457">
        <f>transport!J54</f>
        <v>0</v>
      </c>
      <c r="K10" s="457">
        <f>transport!K54</f>
        <v>0</v>
      </c>
      <c r="L10" s="457">
        <f>transport!L54</f>
        <v>0</v>
      </c>
      <c r="M10" s="457">
        <f>transport!M54</f>
        <v>213.8816538070937</v>
      </c>
      <c r="N10" s="457">
        <f>transport!N54</f>
        <v>0</v>
      </c>
      <c r="O10" s="457">
        <f>transport!O54</f>
        <v>0</v>
      </c>
      <c r="P10" s="458">
        <f>transport!P54</f>
        <v>0</v>
      </c>
      <c r="Q10" s="456">
        <f t="shared" si="0"/>
        <v>5088.5474153201812</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1081.01835935536</v>
      </c>
      <c r="C14" s="464"/>
      <c r="D14" s="464">
        <f>'SEAP template'!E25</f>
        <v>3268.83791901121</v>
      </c>
      <c r="E14" s="464"/>
      <c r="F14" s="464"/>
      <c r="G14" s="464"/>
      <c r="H14" s="464"/>
      <c r="I14" s="464"/>
      <c r="J14" s="464"/>
      <c r="K14" s="464"/>
      <c r="L14" s="464"/>
      <c r="M14" s="464"/>
      <c r="N14" s="464"/>
      <c r="O14" s="464"/>
      <c r="P14" s="465"/>
      <c r="Q14" s="456">
        <f t="shared" si="0"/>
        <v>4349.8562783665702</v>
      </c>
    </row>
    <row r="15" spans="1:17" s="469" customFormat="1">
      <c r="A15" s="466" t="s">
        <v>572</v>
      </c>
      <c r="B15" s="467">
        <f ca="1">SUM(B4:B14)</f>
        <v>63097.581115327856</v>
      </c>
      <c r="C15" s="467">
        <f t="shared" ref="C15:Q15" ca="1" si="1">SUM(C4:C14)</f>
        <v>0</v>
      </c>
      <c r="D15" s="467">
        <f t="shared" ca="1" si="1"/>
        <v>122301.45706613324</v>
      </c>
      <c r="E15" s="467">
        <f t="shared" si="1"/>
        <v>2730.4304944145033</v>
      </c>
      <c r="F15" s="467">
        <f t="shared" ca="1" si="1"/>
        <v>40883.210721639909</v>
      </c>
      <c r="G15" s="467">
        <f t="shared" si="1"/>
        <v>212982.1139168021</v>
      </c>
      <c r="H15" s="467">
        <f t="shared" si="1"/>
        <v>35921.702345545986</v>
      </c>
      <c r="I15" s="467">
        <f t="shared" si="1"/>
        <v>0</v>
      </c>
      <c r="J15" s="467">
        <f t="shared" si="1"/>
        <v>121.00295234263746</v>
      </c>
      <c r="K15" s="467">
        <f t="shared" si="1"/>
        <v>0</v>
      </c>
      <c r="L15" s="467">
        <f t="shared" ca="1" si="1"/>
        <v>0</v>
      </c>
      <c r="M15" s="467">
        <f t="shared" si="1"/>
        <v>11119.169290320347</v>
      </c>
      <c r="N15" s="467">
        <f t="shared" ca="1" si="1"/>
        <v>7973.9560917462004</v>
      </c>
      <c r="O15" s="467">
        <f t="shared" si="1"/>
        <v>93.8</v>
      </c>
      <c r="P15" s="467">
        <f t="shared" si="1"/>
        <v>438.53333333333336</v>
      </c>
      <c r="Q15" s="467">
        <f t="shared" ca="1" si="1"/>
        <v>497662.9573276061</v>
      </c>
    </row>
    <row r="17" spans="1:17">
      <c r="A17" s="470" t="s">
        <v>573</v>
      </c>
      <c r="B17" s="774">
        <f ca="1">huishoudens!B10</f>
        <v>0.21133976644980643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7872.858539392174</v>
      </c>
      <c r="C22" s="457">
        <f t="shared" ref="C22:C32" ca="1" si="3">C4*$C$17</f>
        <v>0</v>
      </c>
      <c r="D22" s="457">
        <f t="shared" ref="D22:D32" si="4">D4*$D$17</f>
        <v>17247.402963266406</v>
      </c>
      <c r="E22" s="457">
        <f t="shared" ref="E22:E32" si="5">E4*$E$17</f>
        <v>348.06625382809779</v>
      </c>
      <c r="F22" s="457">
        <f t="shared" ref="F22:F32" si="6">F4*$F$17</f>
        <v>8898.0461953285721</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34366.373951815251</v>
      </c>
    </row>
    <row r="23" spans="1:17">
      <c r="A23" s="456" t="s">
        <v>155</v>
      </c>
      <c r="B23" s="457">
        <f t="shared" ca="1" si="2"/>
        <v>3252.5531328947495</v>
      </c>
      <c r="C23" s="457">
        <f t="shared" ca="1" si="3"/>
        <v>0</v>
      </c>
      <c r="D23" s="457">
        <f t="shared" ca="1" si="4"/>
        <v>5858.2722365136979</v>
      </c>
      <c r="E23" s="457">
        <f t="shared" si="5"/>
        <v>35.251738585719472</v>
      </c>
      <c r="F23" s="457">
        <f t="shared" ca="1" si="6"/>
        <v>828.14423214134229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9974.2213401355075</v>
      </c>
    </row>
    <row r="24" spans="1:17">
      <c r="A24" s="456" t="s">
        <v>193</v>
      </c>
      <c r="B24" s="457">
        <f t="shared" ca="1" si="2"/>
        <v>475.78203065638991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475.78203065638991</v>
      </c>
    </row>
    <row r="25" spans="1:17">
      <c r="A25" s="456" t="s">
        <v>111</v>
      </c>
      <c r="B25" s="457">
        <f t="shared" ca="1" si="2"/>
        <v>158.60633693541018</v>
      </c>
      <c r="C25" s="457">
        <f t="shared" ca="1" si="3"/>
        <v>0</v>
      </c>
      <c r="D25" s="457">
        <f t="shared" si="4"/>
        <v>32.018271673278804</v>
      </c>
      <c r="E25" s="457">
        <f t="shared" si="5"/>
        <v>1.6048962457433282</v>
      </c>
      <c r="F25" s="457">
        <f t="shared" si="6"/>
        <v>653.9007202655248</v>
      </c>
      <c r="G25" s="457">
        <f t="shared" si="7"/>
        <v>0</v>
      </c>
      <c r="H25" s="457">
        <f t="shared" si="8"/>
        <v>0</v>
      </c>
      <c r="I25" s="457">
        <f t="shared" si="9"/>
        <v>0</v>
      </c>
      <c r="J25" s="457">
        <f t="shared" si="10"/>
        <v>32.864675621775369</v>
      </c>
      <c r="K25" s="457">
        <f t="shared" si="11"/>
        <v>0</v>
      </c>
      <c r="L25" s="457">
        <f t="shared" si="12"/>
        <v>0</v>
      </c>
      <c r="M25" s="457">
        <f t="shared" si="13"/>
        <v>0</v>
      </c>
      <c r="N25" s="457">
        <f t="shared" si="14"/>
        <v>0</v>
      </c>
      <c r="O25" s="457">
        <f t="shared" si="15"/>
        <v>0</v>
      </c>
      <c r="P25" s="458">
        <f t="shared" si="16"/>
        <v>0</v>
      </c>
      <c r="Q25" s="456">
        <f t="shared" ca="1" si="17"/>
        <v>878.99490074173252</v>
      </c>
    </row>
    <row r="26" spans="1:17">
      <c r="A26" s="456" t="s">
        <v>682</v>
      </c>
      <c r="B26" s="457">
        <f t="shared" ca="1" si="2"/>
        <v>1345.4582143985797</v>
      </c>
      <c r="C26" s="457">
        <f t="shared" ca="1" si="3"/>
        <v>0</v>
      </c>
      <c r="D26" s="457">
        <f t="shared" si="4"/>
        <v>904.12523183368705</v>
      </c>
      <c r="E26" s="457">
        <f t="shared" si="5"/>
        <v>12.0682840599464</v>
      </c>
      <c r="F26" s="457">
        <f t="shared" si="6"/>
        <v>535.72611494241687</v>
      </c>
      <c r="G26" s="457">
        <f t="shared" si="7"/>
        <v>0</v>
      </c>
      <c r="H26" s="457">
        <f t="shared" si="8"/>
        <v>0</v>
      </c>
      <c r="I26" s="457">
        <f t="shared" si="9"/>
        <v>0</v>
      </c>
      <c r="J26" s="457">
        <f t="shared" si="10"/>
        <v>9.9703695075182903</v>
      </c>
      <c r="K26" s="457">
        <f t="shared" si="11"/>
        <v>0</v>
      </c>
      <c r="L26" s="457">
        <f t="shared" si="12"/>
        <v>0</v>
      </c>
      <c r="M26" s="457">
        <f t="shared" si="13"/>
        <v>0</v>
      </c>
      <c r="N26" s="457">
        <f t="shared" si="14"/>
        <v>0</v>
      </c>
      <c r="O26" s="457">
        <f t="shared" si="15"/>
        <v>0</v>
      </c>
      <c r="P26" s="458">
        <f t="shared" si="16"/>
        <v>0</v>
      </c>
      <c r="Q26" s="456">
        <f t="shared" ca="1" si="17"/>
        <v>2807.3482147421487</v>
      </c>
    </row>
    <row r="27" spans="1:17" s="462" customFormat="1">
      <c r="A27" s="460" t="s">
        <v>578</v>
      </c>
      <c r="B27" s="768">
        <f t="shared" ca="1" si="2"/>
        <v>1.3076345896886448</v>
      </c>
      <c r="C27" s="461">
        <f t="shared" ca="1" si="3"/>
        <v>0</v>
      </c>
      <c r="D27" s="461">
        <f t="shared" si="4"/>
        <v>2.7703644315815228</v>
      </c>
      <c r="E27" s="461">
        <f t="shared" si="5"/>
        <v>222.8165495125852</v>
      </c>
      <c r="F27" s="461">
        <f t="shared" si="6"/>
        <v>0</v>
      </c>
      <c r="G27" s="461">
        <f t="shared" si="7"/>
        <v>55564.688657462175</v>
      </c>
      <c r="H27" s="461">
        <f t="shared" si="8"/>
        <v>8944.5038840409507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64736.087090036977</v>
      </c>
    </row>
    <row r="28" spans="1:17">
      <c r="A28" s="456" t="s">
        <v>568</v>
      </c>
      <c r="B28" s="457">
        <f t="shared" ca="1" si="2"/>
        <v>0</v>
      </c>
      <c r="C28" s="457">
        <f t="shared" ca="1" si="3"/>
        <v>0</v>
      </c>
      <c r="D28" s="457">
        <f t="shared" si="4"/>
        <v>0</v>
      </c>
      <c r="E28" s="457">
        <f t="shared" si="5"/>
        <v>0</v>
      </c>
      <c r="F28" s="457">
        <f t="shared" si="6"/>
        <v>0</v>
      </c>
      <c r="G28" s="457">
        <f t="shared" si="7"/>
        <v>1301.5357583239945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1301.5357583239945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228.4621675941147</v>
      </c>
      <c r="C32" s="457">
        <f t="shared" ca="1" si="3"/>
        <v>0</v>
      </c>
      <c r="D32" s="457">
        <f t="shared" si="4"/>
        <v>660.30525964026447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888.76742723437917</v>
      </c>
    </row>
    <row r="33" spans="1:17" s="469" customFormat="1">
      <c r="A33" s="466" t="s">
        <v>572</v>
      </c>
      <c r="B33" s="467">
        <f ca="1">SUM(B22:B32)</f>
        <v>13335.028056461106</v>
      </c>
      <c r="C33" s="467">
        <f t="shared" ref="C33:Q33" ca="1" si="18">SUM(C22:C32)</f>
        <v>0</v>
      </c>
      <c r="D33" s="467">
        <f t="shared" ca="1" si="18"/>
        <v>24704.894327358914</v>
      </c>
      <c r="E33" s="467">
        <f t="shared" si="18"/>
        <v>619.80772223209215</v>
      </c>
      <c r="F33" s="467">
        <f t="shared" ca="1" si="18"/>
        <v>10915.817262677856</v>
      </c>
      <c r="G33" s="467">
        <f t="shared" si="18"/>
        <v>56866.224415786171</v>
      </c>
      <c r="H33" s="467">
        <f t="shared" si="18"/>
        <v>8944.5038840409507</v>
      </c>
      <c r="I33" s="467">
        <f t="shared" si="18"/>
        <v>0</v>
      </c>
      <c r="J33" s="467">
        <f t="shared" si="18"/>
        <v>42.835045129293661</v>
      </c>
      <c r="K33" s="467">
        <f t="shared" si="18"/>
        <v>0</v>
      </c>
      <c r="L33" s="467">
        <f t="shared" ca="1" si="18"/>
        <v>0</v>
      </c>
      <c r="M33" s="467">
        <f t="shared" si="18"/>
        <v>0</v>
      </c>
      <c r="N33" s="467">
        <f t="shared" ca="1" si="18"/>
        <v>0</v>
      </c>
      <c r="O33" s="467">
        <f t="shared" si="18"/>
        <v>0</v>
      </c>
      <c r="P33" s="467">
        <f t="shared" si="18"/>
        <v>0</v>
      </c>
      <c r="Q33" s="467">
        <f t="shared" ca="1" si="18"/>
        <v>115429.11071368637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2758.0876471780593</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2758.0876471780593</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0.21133976644980643</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0.21133976644980643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0.21133976644980643</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0.21133976644980643</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7285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1756</v>
      </c>
      <c r="C14" s="332"/>
      <c r="D14" s="332"/>
      <c r="E14" s="332"/>
      <c r="F14" s="332"/>
    </row>
    <row r="15" spans="1:6">
      <c r="A15" s="1299" t="s">
        <v>183</v>
      </c>
      <c r="B15" s="1300">
        <v>6</v>
      </c>
      <c r="C15" s="332"/>
      <c r="D15" s="332"/>
      <c r="E15" s="332"/>
      <c r="F15" s="332"/>
    </row>
    <row r="16" spans="1:6">
      <c r="A16" s="1299" t="s">
        <v>6</v>
      </c>
      <c r="B16" s="1300">
        <v>288</v>
      </c>
      <c r="C16" s="332"/>
      <c r="D16" s="332"/>
      <c r="E16" s="332"/>
      <c r="F16" s="332"/>
    </row>
    <row r="17" spans="1:6">
      <c r="A17" s="1299" t="s">
        <v>7</v>
      </c>
      <c r="B17" s="1300">
        <v>408</v>
      </c>
      <c r="C17" s="332"/>
      <c r="D17" s="332"/>
      <c r="E17" s="332"/>
      <c r="F17" s="332"/>
    </row>
    <row r="18" spans="1:6">
      <c r="A18" s="1299" t="s">
        <v>8</v>
      </c>
      <c r="B18" s="1300">
        <v>542</v>
      </c>
      <c r="C18" s="332"/>
      <c r="D18" s="332"/>
      <c r="E18" s="332"/>
      <c r="F18" s="332"/>
    </row>
    <row r="19" spans="1:6">
      <c r="A19" s="1299" t="s">
        <v>9</v>
      </c>
      <c r="B19" s="1300">
        <v>515</v>
      </c>
      <c r="C19" s="332"/>
      <c r="D19" s="332"/>
      <c r="E19" s="332"/>
      <c r="F19" s="332"/>
    </row>
    <row r="20" spans="1:6">
      <c r="A20" s="1299" t="s">
        <v>10</v>
      </c>
      <c r="B20" s="1300">
        <v>435</v>
      </c>
      <c r="C20" s="332"/>
      <c r="D20" s="332"/>
      <c r="E20" s="332"/>
      <c r="F20" s="332"/>
    </row>
    <row r="21" spans="1:6">
      <c r="A21" s="1299" t="s">
        <v>11</v>
      </c>
      <c r="B21" s="1300">
        <v>0</v>
      </c>
      <c r="C21" s="332"/>
      <c r="D21" s="332"/>
      <c r="E21" s="332"/>
      <c r="F21" s="332"/>
    </row>
    <row r="22" spans="1:6">
      <c r="A22" s="1299" t="s">
        <v>12</v>
      </c>
      <c r="B22" s="1300">
        <v>6</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441</v>
      </c>
      <c r="C26" s="332"/>
      <c r="D26" s="332"/>
      <c r="E26" s="332"/>
      <c r="F26" s="332"/>
    </row>
    <row r="27" spans="1:6">
      <c r="A27" s="1299" t="s">
        <v>17</v>
      </c>
      <c r="B27" s="1300">
        <v>0</v>
      </c>
      <c r="C27" s="332"/>
      <c r="D27" s="332"/>
      <c r="E27" s="332"/>
      <c r="F27" s="332"/>
    </row>
    <row r="28" spans="1:6" s="44" customFormat="1">
      <c r="A28" s="1301" t="s">
        <v>18</v>
      </c>
      <c r="B28" s="1302">
        <v>10</v>
      </c>
      <c r="C28" s="338"/>
      <c r="D28" s="338"/>
      <c r="E28" s="338"/>
      <c r="F28" s="338"/>
    </row>
    <row r="29" spans="1:6">
      <c r="A29" s="1301" t="s">
        <v>950</v>
      </c>
      <c r="B29" s="1302">
        <v>170</v>
      </c>
      <c r="C29" s="338"/>
      <c r="D29" s="338"/>
      <c r="E29" s="338"/>
      <c r="F29" s="338"/>
    </row>
    <row r="30" spans="1:6">
      <c r="A30" s="1294" t="s">
        <v>951</v>
      </c>
      <c r="B30" s="1303">
        <v>10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6</v>
      </c>
      <c r="F38" s="1300">
        <v>20512.295316957901</v>
      </c>
    </row>
    <row r="39" spans="1:6">
      <c r="A39" s="1299" t="s">
        <v>29</v>
      </c>
      <c r="B39" s="1299" t="s">
        <v>30</v>
      </c>
      <c r="C39" s="1300">
        <v>4427</v>
      </c>
      <c r="D39" s="1300">
        <v>94659848.100296393</v>
      </c>
      <c r="E39" s="1300">
        <v>7258</v>
      </c>
      <c r="F39" s="1300">
        <v>35045850.573568799</v>
      </c>
    </row>
    <row r="40" spans="1:6">
      <c r="A40" s="1299" t="s">
        <v>29</v>
      </c>
      <c r="B40" s="1299" t="s">
        <v>28</v>
      </c>
      <c r="C40" s="1300">
        <v>0</v>
      </c>
      <c r="D40" s="1300">
        <v>0</v>
      </c>
      <c r="E40" s="1300">
        <v>0</v>
      </c>
      <c r="F40" s="1300">
        <v>0</v>
      </c>
    </row>
    <row r="41" spans="1:6">
      <c r="A41" s="1299" t="s">
        <v>31</v>
      </c>
      <c r="B41" s="1299" t="s">
        <v>32</v>
      </c>
      <c r="C41" s="1300">
        <v>16</v>
      </c>
      <c r="D41" s="1300">
        <v>481554.17196805403</v>
      </c>
      <c r="E41" s="1300">
        <v>56</v>
      </c>
      <c r="F41" s="1300">
        <v>1310424.1690636501</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6</v>
      </c>
      <c r="F44" s="1300">
        <v>294445.14545464102</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19</v>
      </c>
      <c r="D48" s="1300">
        <v>4250880.6730199</v>
      </c>
      <c r="E48" s="1300">
        <v>40</v>
      </c>
      <c r="F48" s="1300">
        <v>4615817.6413502898</v>
      </c>
    </row>
    <row r="49" spans="1:6">
      <c r="A49" s="1299" t="s">
        <v>31</v>
      </c>
      <c r="B49" s="1299" t="s">
        <v>39</v>
      </c>
      <c r="C49" s="1300">
        <v>0</v>
      </c>
      <c r="D49" s="1300">
        <v>0</v>
      </c>
      <c r="E49" s="1300">
        <v>0</v>
      </c>
      <c r="F49" s="1300">
        <v>0</v>
      </c>
    </row>
    <row r="50" spans="1:6">
      <c r="A50" s="1299" t="s">
        <v>31</v>
      </c>
      <c r="B50" s="1299" t="s">
        <v>40</v>
      </c>
      <c r="C50" s="1300">
        <v>3</v>
      </c>
      <c r="D50" s="1300">
        <v>229724.22854329</v>
      </c>
      <c r="E50" s="1300">
        <v>6</v>
      </c>
      <c r="F50" s="1300">
        <v>145640.76844130899</v>
      </c>
    </row>
    <row r="51" spans="1:6">
      <c r="A51" s="1299" t="s">
        <v>41</v>
      </c>
      <c r="B51" s="1299" t="s">
        <v>42</v>
      </c>
      <c r="C51" s="1300">
        <v>3</v>
      </c>
      <c r="D51" s="1300">
        <v>44455.124944112002</v>
      </c>
      <c r="E51" s="1300">
        <v>41</v>
      </c>
      <c r="F51" s="1300">
        <v>686388.21595699503</v>
      </c>
    </row>
    <row r="52" spans="1:6">
      <c r="A52" s="1299" t="s">
        <v>41</v>
      </c>
      <c r="B52" s="1299" t="s">
        <v>28</v>
      </c>
      <c r="C52" s="1300">
        <v>2</v>
      </c>
      <c r="D52" s="1300">
        <v>131272.47529122201</v>
      </c>
      <c r="E52" s="1300">
        <v>8</v>
      </c>
      <c r="F52" s="1300">
        <v>64092.110579560802</v>
      </c>
    </row>
    <row r="53" spans="1:6">
      <c r="A53" s="1299" t="s">
        <v>43</v>
      </c>
      <c r="B53" s="1299" t="s">
        <v>44</v>
      </c>
      <c r="C53" s="1300">
        <v>109</v>
      </c>
      <c r="D53" s="1300">
        <v>3268837.9190112101</v>
      </c>
      <c r="E53" s="1300">
        <v>200</v>
      </c>
      <c r="F53" s="1300">
        <v>1081018.35935536</v>
      </c>
    </row>
    <row r="54" spans="1:6">
      <c r="A54" s="1299" t="s">
        <v>45</v>
      </c>
      <c r="B54" s="1299" t="s">
        <v>46</v>
      </c>
      <c r="C54" s="1300">
        <v>0</v>
      </c>
      <c r="D54" s="1300">
        <v>0</v>
      </c>
      <c r="E54" s="1300">
        <v>1</v>
      </c>
      <c r="F54" s="1300">
        <v>2251266</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60</v>
      </c>
      <c r="D57" s="1300">
        <v>4985064.3954835804</v>
      </c>
      <c r="E57" s="1300">
        <v>123</v>
      </c>
      <c r="F57" s="1300">
        <v>2708937.7769448399</v>
      </c>
    </row>
    <row r="58" spans="1:6">
      <c r="A58" s="1299" t="s">
        <v>48</v>
      </c>
      <c r="B58" s="1299" t="s">
        <v>50</v>
      </c>
      <c r="C58" s="1300">
        <v>13</v>
      </c>
      <c r="D58" s="1300">
        <v>567924.56363448198</v>
      </c>
      <c r="E58" s="1300">
        <v>34</v>
      </c>
      <c r="F58" s="1300">
        <v>389550.139655707</v>
      </c>
    </row>
    <row r="59" spans="1:6">
      <c r="A59" s="1299" t="s">
        <v>48</v>
      </c>
      <c r="B59" s="1299" t="s">
        <v>51</v>
      </c>
      <c r="C59" s="1300">
        <v>53</v>
      </c>
      <c r="D59" s="1300">
        <v>2039405.8023993201</v>
      </c>
      <c r="E59" s="1300">
        <v>145</v>
      </c>
      <c r="F59" s="1300">
        <v>3890402.2900875001</v>
      </c>
    </row>
    <row r="60" spans="1:6">
      <c r="A60" s="1299" t="s">
        <v>48</v>
      </c>
      <c r="B60" s="1299" t="s">
        <v>52</v>
      </c>
      <c r="C60" s="1300">
        <v>31</v>
      </c>
      <c r="D60" s="1300">
        <v>2507161.90622437</v>
      </c>
      <c r="E60" s="1300">
        <v>61</v>
      </c>
      <c r="F60" s="1300">
        <v>1591452.31764393</v>
      </c>
    </row>
    <row r="61" spans="1:6">
      <c r="A61" s="1299" t="s">
        <v>48</v>
      </c>
      <c r="B61" s="1299" t="s">
        <v>53</v>
      </c>
      <c r="C61" s="1300">
        <v>121</v>
      </c>
      <c r="D61" s="1300">
        <v>16248603.2649749</v>
      </c>
      <c r="E61" s="1300">
        <v>295</v>
      </c>
      <c r="F61" s="1300">
        <v>4209639.4282712303</v>
      </c>
    </row>
    <row r="62" spans="1:6">
      <c r="A62" s="1299" t="s">
        <v>48</v>
      </c>
      <c r="B62" s="1299" t="s">
        <v>54</v>
      </c>
      <c r="C62" s="1300">
        <v>0</v>
      </c>
      <c r="D62" s="1300">
        <v>0</v>
      </c>
      <c r="E62" s="1300">
        <v>3</v>
      </c>
      <c r="F62" s="1300">
        <v>20479.431410512399</v>
      </c>
    </row>
    <row r="63" spans="1:6">
      <c r="A63" s="1299" t="s">
        <v>48</v>
      </c>
      <c r="B63" s="1299" t="s">
        <v>28</v>
      </c>
      <c r="C63" s="1300">
        <v>142</v>
      </c>
      <c r="D63" s="1300">
        <v>5804110.2507793</v>
      </c>
      <c r="E63" s="1300">
        <v>159</v>
      </c>
      <c r="F63" s="1300">
        <v>2579700.09639672</v>
      </c>
    </row>
    <row r="64" spans="1:6">
      <c r="A64" s="1299" t="s">
        <v>55</v>
      </c>
      <c r="B64" s="1299" t="s">
        <v>56</v>
      </c>
      <c r="C64" s="1300">
        <v>0</v>
      </c>
      <c r="D64" s="1300">
        <v>0</v>
      </c>
      <c r="E64" s="1300">
        <v>0</v>
      </c>
      <c r="F64" s="1300">
        <v>0</v>
      </c>
    </row>
    <row r="65" spans="1:6">
      <c r="A65" s="1299" t="s">
        <v>55</v>
      </c>
      <c r="B65" s="1299" t="s">
        <v>28</v>
      </c>
      <c r="C65" s="1300">
        <v>4</v>
      </c>
      <c r="D65" s="1300">
        <v>119082.058842226</v>
      </c>
      <c r="E65" s="1300">
        <v>5</v>
      </c>
      <c r="F65" s="1300">
        <v>34262.124732288503</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4</v>
      </c>
      <c r="D68" s="1303">
        <v>169611.54848636</v>
      </c>
      <c r="E68" s="1303">
        <v>16</v>
      </c>
      <c r="F68" s="1303">
        <v>194769.011181968</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88646121</v>
      </c>
      <c r="E73" s="455"/>
      <c r="F73" s="332"/>
    </row>
    <row r="74" spans="1:6">
      <c r="A74" s="1299" t="s">
        <v>63</v>
      </c>
      <c r="B74" s="1299" t="s">
        <v>768</v>
      </c>
      <c r="C74" s="1313" t="s">
        <v>762</v>
      </c>
      <c r="D74" s="1314">
        <v>3696634.1427011043</v>
      </c>
      <c r="E74" s="455"/>
      <c r="F74" s="332"/>
    </row>
    <row r="75" spans="1:6">
      <c r="A75" s="1299" t="s">
        <v>64</v>
      </c>
      <c r="B75" s="1299" t="s">
        <v>767</v>
      </c>
      <c r="C75" s="1313" t="s">
        <v>763</v>
      </c>
      <c r="D75" s="1314">
        <v>39707728</v>
      </c>
      <c r="E75" s="455"/>
      <c r="F75" s="332"/>
    </row>
    <row r="76" spans="1:6">
      <c r="A76" s="1299" t="s">
        <v>64</v>
      </c>
      <c r="B76" s="1299" t="s">
        <v>768</v>
      </c>
      <c r="C76" s="1313" t="s">
        <v>764</v>
      </c>
      <c r="D76" s="1314">
        <v>1314895.1427011043</v>
      </c>
      <c r="E76" s="455"/>
      <c r="F76" s="332"/>
    </row>
    <row r="77" spans="1:6">
      <c r="A77" s="1299" t="s">
        <v>65</v>
      </c>
      <c r="B77" s="1299" t="s">
        <v>767</v>
      </c>
      <c r="C77" s="1313" t="s">
        <v>765</v>
      </c>
      <c r="D77" s="1314">
        <v>149522888</v>
      </c>
      <c r="E77" s="455"/>
      <c r="F77" s="332"/>
    </row>
    <row r="78" spans="1:6">
      <c r="A78" s="1294" t="s">
        <v>65</v>
      </c>
      <c r="B78" s="1294" t="s">
        <v>768</v>
      </c>
      <c r="C78" s="1294" t="s">
        <v>766</v>
      </c>
      <c r="D78" s="1315">
        <v>18132586</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1339403.7145977914</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2206.2892941166838</v>
      </c>
      <c r="C91" s="332"/>
      <c r="D91" s="332"/>
      <c r="E91" s="332"/>
      <c r="F91" s="332"/>
    </row>
    <row r="92" spans="1:6">
      <c r="A92" s="1294" t="s">
        <v>68</v>
      </c>
      <c r="B92" s="1295">
        <v>551.79835306137545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3173</v>
      </c>
      <c r="C97" s="332"/>
      <c r="D97" s="332"/>
      <c r="E97" s="332"/>
      <c r="F97" s="332"/>
    </row>
    <row r="98" spans="1:6">
      <c r="A98" s="1299" t="s">
        <v>71</v>
      </c>
      <c r="B98" s="1300">
        <v>1</v>
      </c>
      <c r="C98" s="332"/>
      <c r="D98" s="332"/>
      <c r="E98" s="332"/>
      <c r="F98" s="332"/>
    </row>
    <row r="99" spans="1:6">
      <c r="A99" s="1299" t="s">
        <v>72</v>
      </c>
      <c r="B99" s="1300">
        <v>41</v>
      </c>
      <c r="C99" s="332"/>
      <c r="D99" s="332"/>
      <c r="E99" s="332"/>
      <c r="F99" s="332"/>
    </row>
    <row r="100" spans="1:6">
      <c r="A100" s="1299" t="s">
        <v>73</v>
      </c>
      <c r="B100" s="1300">
        <v>622</v>
      </c>
      <c r="C100" s="332"/>
      <c r="D100" s="332"/>
      <c r="E100" s="332"/>
      <c r="F100" s="332"/>
    </row>
    <row r="101" spans="1:6">
      <c r="A101" s="1299" t="s">
        <v>74</v>
      </c>
      <c r="B101" s="1300">
        <v>47</v>
      </c>
      <c r="C101" s="332"/>
      <c r="D101" s="332"/>
      <c r="E101" s="332"/>
      <c r="F101" s="332"/>
    </row>
    <row r="102" spans="1:6">
      <c r="A102" s="1299" t="s">
        <v>75</v>
      </c>
      <c r="B102" s="1300">
        <v>97</v>
      </c>
      <c r="C102" s="332"/>
      <c r="D102" s="332"/>
      <c r="E102" s="332"/>
      <c r="F102" s="332"/>
    </row>
    <row r="103" spans="1:6">
      <c r="A103" s="1299" t="s">
        <v>76</v>
      </c>
      <c r="B103" s="1300">
        <v>88</v>
      </c>
      <c r="C103" s="332"/>
      <c r="D103" s="332"/>
      <c r="E103" s="332"/>
      <c r="F103" s="332"/>
    </row>
    <row r="104" spans="1:6">
      <c r="A104" s="1299" t="s">
        <v>77</v>
      </c>
      <c r="B104" s="1300">
        <v>2710</v>
      </c>
      <c r="C104" s="332"/>
      <c r="D104" s="332"/>
      <c r="E104" s="332"/>
      <c r="F104" s="332"/>
    </row>
    <row r="105" spans="1:6">
      <c r="A105" s="1294" t="s">
        <v>78</v>
      </c>
      <c r="B105" s="1303">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12</v>
      </c>
      <c r="C123" s="1300">
        <v>6</v>
      </c>
      <c r="D123" s="332"/>
      <c r="E123" s="332"/>
      <c r="F123" s="332"/>
    </row>
    <row r="124" spans="1:6" s="44" customFormat="1">
      <c r="A124" s="1301" t="s">
        <v>88</v>
      </c>
      <c r="B124" s="1322">
        <v>1</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54</v>
      </c>
      <c r="C129" s="332"/>
      <c r="D129" s="332"/>
      <c r="E129" s="332"/>
      <c r="F129" s="332"/>
    </row>
    <row r="130" spans="1:6">
      <c r="A130" s="1299" t="s">
        <v>294</v>
      </c>
      <c r="B130" s="1300">
        <v>0</v>
      </c>
      <c r="C130" s="332"/>
      <c r="D130" s="332"/>
      <c r="E130" s="332"/>
      <c r="F130" s="332"/>
    </row>
    <row r="131" spans="1:6">
      <c r="A131" s="1299" t="s">
        <v>295</v>
      </c>
      <c r="B131" s="1300">
        <v>1</v>
      </c>
      <c r="C131" s="332"/>
      <c r="D131" s="332"/>
      <c r="E131" s="332"/>
      <c r="F131" s="332"/>
    </row>
    <row r="132" spans="1:6">
      <c r="A132" s="1294" t="s">
        <v>296</v>
      </c>
      <c r="B132" s="1295">
        <v>9</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63097.581115327848</v>
      </c>
      <c r="C3" s="44" t="s">
        <v>169</v>
      </c>
      <c r="D3" s="44"/>
      <c r="E3" s="157"/>
      <c r="F3" s="44"/>
      <c r="G3" s="44"/>
      <c r="H3" s="44"/>
      <c r="I3" s="44"/>
      <c r="J3" s="44"/>
      <c r="K3" s="97"/>
    </row>
    <row r="4" spans="1:11">
      <c r="A4" s="362" t="s">
        <v>170</v>
      </c>
      <c r="B4" s="50">
        <f>IF(ISERROR('SEAP template'!B78+'SEAP template'!C78),0,'SEAP template'!B78+'SEAP template'!C78)</f>
        <v>2758.0876471780593</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0.21133976644980643</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2251.2660000000001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2251.2660000000001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0.21133976644980643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475.78203065638991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35045.850573568801</v>
      </c>
      <c r="C5" s="18">
        <f>IF(ISERROR('Eigen informatie GS &amp; warmtenet'!B57),0,'Eigen informatie GS &amp; warmtenet'!B57)</f>
        <v>0</v>
      </c>
      <c r="D5" s="31">
        <f>(SUM(HH_hh_gas_kWh,HH_rest_gas_kWh)/1000)*0.902</f>
        <v>85383.182986467349</v>
      </c>
      <c r="E5" s="18">
        <f>B46*B57</f>
        <v>1533.3315146612238</v>
      </c>
      <c r="F5" s="18">
        <f>B51*B62</f>
        <v>33326.015712841094</v>
      </c>
      <c r="G5" s="19"/>
      <c r="H5" s="18"/>
      <c r="I5" s="18"/>
      <c r="J5" s="18">
        <f>B50*B61+C50*C61</f>
        <v>0</v>
      </c>
      <c r="K5" s="18"/>
      <c r="L5" s="18"/>
      <c r="M5" s="18"/>
      <c r="N5" s="18">
        <f>B48*B59+C48*C59</f>
        <v>5973.6468543727333</v>
      </c>
      <c r="O5" s="18">
        <f>B69*B70*B71</f>
        <v>93.8</v>
      </c>
      <c r="P5" s="18">
        <f>B77*B78*B79/1000-B77*B78*B79/1000/B80</f>
        <v>419.4666666666667</v>
      </c>
    </row>
    <row r="6" spans="1:16">
      <c r="A6" s="17" t="s">
        <v>638</v>
      </c>
      <c r="B6" s="776">
        <f>kWh_PV_kleiner_dan_10kW</f>
        <v>2206.2892941166838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37252.139867685488</v>
      </c>
      <c r="C8" s="22">
        <f>C5</f>
        <v>0</v>
      </c>
      <c r="D8" s="22">
        <f>D5</f>
        <v>85383.182986467349</v>
      </c>
      <c r="E8" s="22">
        <f>E5</f>
        <v>1533.3315146612238</v>
      </c>
      <c r="F8" s="22">
        <f>F5</f>
        <v>33326.015712841094</v>
      </c>
      <c r="G8" s="22"/>
      <c r="H8" s="22"/>
      <c r="I8" s="22"/>
      <c r="J8" s="22">
        <f>J5</f>
        <v>0</v>
      </c>
      <c r="K8" s="22"/>
      <c r="L8" s="22">
        <f>L5</f>
        <v>0</v>
      </c>
      <c r="M8" s="22">
        <f>M5</f>
        <v>0</v>
      </c>
      <c r="N8" s="22">
        <f>N5</f>
        <v>5973.6468543727333</v>
      </c>
      <c r="O8" s="22">
        <f>O5</f>
        <v>93.8</v>
      </c>
      <c r="P8" s="22">
        <f>P5</f>
        <v>419.4666666666667</v>
      </c>
    </row>
    <row r="9" spans="1:16">
      <c r="B9" s="20"/>
      <c r="C9" s="20"/>
      <c r="D9" s="262"/>
      <c r="E9" s="20"/>
      <c r="F9" s="20"/>
      <c r="G9" s="20"/>
      <c r="H9" s="20"/>
      <c r="I9" s="20"/>
      <c r="J9" s="20"/>
      <c r="K9" s="20"/>
      <c r="L9" s="20"/>
      <c r="M9" s="20"/>
      <c r="N9" s="20"/>
      <c r="O9" s="20"/>
      <c r="P9" s="20"/>
    </row>
    <row r="10" spans="1:16">
      <c r="A10" s="25" t="s">
        <v>213</v>
      </c>
      <c r="B10" s="26">
        <f ca="1">'EF ele_warmte'!B12</f>
        <v>0.21133976644980643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7872.858539392174</v>
      </c>
      <c r="C12" s="24">
        <f ca="1">C10*C8</f>
        <v>0</v>
      </c>
      <c r="D12" s="24">
        <f>D8*D10</f>
        <v>17247.402963266406</v>
      </c>
      <c r="E12" s="24">
        <f>E10*E8</f>
        <v>348.06625382809779</v>
      </c>
      <c r="F12" s="24">
        <f>F10*F8</f>
        <v>8898.0461953285721</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3173</v>
      </c>
      <c r="C18" s="169" t="s">
        <v>110</v>
      </c>
      <c r="D18" s="231"/>
      <c r="E18" s="16"/>
    </row>
    <row r="19" spans="1:7">
      <c r="A19" s="174" t="s">
        <v>71</v>
      </c>
      <c r="B19" s="38">
        <f>aantalw2001_ander</f>
        <v>1</v>
      </c>
      <c r="C19" s="169" t="s">
        <v>110</v>
      </c>
      <c r="D19" s="232"/>
      <c r="E19" s="16"/>
    </row>
    <row r="20" spans="1:7">
      <c r="A20" s="174" t="s">
        <v>72</v>
      </c>
      <c r="B20" s="38">
        <f>aantalw2001_propaan</f>
        <v>41</v>
      </c>
      <c r="C20" s="170">
        <f>IF(ISERROR(B20/SUM($B$20,$B$21,$B$22)*100),0,B20/SUM($B$20,$B$21,$B$22)*100)</f>
        <v>5.774647887323944</v>
      </c>
      <c r="D20" s="232"/>
      <c r="E20" s="16"/>
    </row>
    <row r="21" spans="1:7">
      <c r="A21" s="174" t="s">
        <v>73</v>
      </c>
      <c r="B21" s="38">
        <f>aantalw2001_elektriciteit</f>
        <v>622</v>
      </c>
      <c r="C21" s="170">
        <f>IF(ISERROR(B21/SUM($B$20,$B$21,$B$22)*100),0,B21/SUM($B$20,$B$21,$B$22)*100)</f>
        <v>87.605633802816911</v>
      </c>
      <c r="D21" s="232"/>
      <c r="E21" s="16"/>
    </row>
    <row r="22" spans="1:7">
      <c r="A22" s="174" t="s">
        <v>74</v>
      </c>
      <c r="B22" s="38">
        <f>aantalw2001_hout</f>
        <v>47</v>
      </c>
      <c r="C22" s="170">
        <f>IF(ISERROR(B22/SUM($B$20,$B$21,$B$22)*100),0,B22/SUM($B$20,$B$21,$B$22)*100)</f>
        <v>6.6197183098591541</v>
      </c>
      <c r="D22" s="232"/>
      <c r="E22" s="16"/>
    </row>
    <row r="23" spans="1:7">
      <c r="A23" s="174" t="s">
        <v>75</v>
      </c>
      <c r="B23" s="38">
        <f>aantalw2001_niet_gespec</f>
        <v>97</v>
      </c>
      <c r="C23" s="169" t="s">
        <v>110</v>
      </c>
      <c r="D23" s="231"/>
      <c r="E23" s="16"/>
    </row>
    <row r="24" spans="1:7">
      <c r="A24" s="174" t="s">
        <v>76</v>
      </c>
      <c r="B24" s="38">
        <f>aantalw2001_steenkool</f>
        <v>88</v>
      </c>
      <c r="C24" s="169" t="s">
        <v>110</v>
      </c>
      <c r="D24" s="232"/>
      <c r="E24" s="16"/>
    </row>
    <row r="25" spans="1:7">
      <c r="A25" s="174" t="s">
        <v>77</v>
      </c>
      <c r="B25" s="38">
        <f>aantalw2001_stookolie</f>
        <v>2710</v>
      </c>
      <c r="C25" s="169" t="s">
        <v>110</v>
      </c>
      <c r="D25" s="231"/>
      <c r="E25" s="53"/>
    </row>
    <row r="26" spans="1:7">
      <c r="A26" s="174" t="s">
        <v>78</v>
      </c>
      <c r="B26" s="38">
        <f>aantalw2001_WP</f>
        <v>5</v>
      </c>
      <c r="C26" s="169" t="s">
        <v>110</v>
      </c>
      <c r="D26" s="231"/>
      <c r="E26" s="16"/>
    </row>
    <row r="27" spans="1:7" s="16" customFormat="1">
      <c r="A27" s="174"/>
      <c r="B27" s="30"/>
      <c r="C27" s="37"/>
      <c r="D27" s="231"/>
    </row>
    <row r="28" spans="1:7" s="16" customFormat="1">
      <c r="A28" s="233" t="s">
        <v>663</v>
      </c>
      <c r="B28" s="38">
        <f>aantalHuishoudens</f>
        <v>7285</v>
      </c>
      <c r="C28" s="37"/>
      <c r="D28" s="231"/>
    </row>
    <row r="29" spans="1:7" s="16" customFormat="1">
      <c r="A29" s="233" t="s">
        <v>664</v>
      </c>
      <c r="B29" s="38">
        <f>SUM(HH_hh_gas_aantal,HH_rest_gas_aantal)</f>
        <v>4427</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4427</v>
      </c>
      <c r="C32" s="170">
        <f>IF(ISERROR(B32/SUM($B$32,$B$34,$B$35,$B$36,$B$38,$B$39)*100),0,B32/SUM($B$32,$B$34,$B$35,$B$36,$B$38,$B$39)*100)</f>
        <v>60.952774335673979</v>
      </c>
      <c r="D32" s="236"/>
      <c r="G32" s="16"/>
    </row>
    <row r="33" spans="1:7">
      <c r="A33" s="174" t="s">
        <v>71</v>
      </c>
      <c r="B33" s="35" t="s">
        <v>110</v>
      </c>
      <c r="C33" s="170"/>
      <c r="D33" s="236"/>
      <c r="G33" s="16"/>
    </row>
    <row r="34" spans="1:7">
      <c r="A34" s="174" t="s">
        <v>72</v>
      </c>
      <c r="B34" s="34">
        <f>IF((($B$28-$B$32-$B$39-$B$77-$B$38)*C20/100)&lt;0,0,($B$28-$B$32-$B$39-$B$77-$B$38)*C20/100)</f>
        <v>72.448732394366203</v>
      </c>
      <c r="C34" s="170">
        <f>IF(ISERROR(B34/SUM($B$32,$B$34,$B$35,$B$36,$B$38,$B$39)*100),0,B34/SUM($B$32,$B$34,$B$35,$B$36,$B$38,$B$39)*100)</f>
        <v>0.99750423233328123</v>
      </c>
      <c r="D34" s="236"/>
      <c r="G34" s="16"/>
    </row>
    <row r="35" spans="1:7">
      <c r="A35" s="174" t="s">
        <v>73</v>
      </c>
      <c r="B35" s="34">
        <f>IF((($B$28-$B$32-$B$39-$B$77-$B$38)*C21/100)&lt;0,0,($B$28-$B$32-$B$39-$B$77-$B$38)*C21/100)</f>
        <v>1099.1002816901412</v>
      </c>
      <c r="C35" s="170">
        <f>IF(ISERROR(B35/SUM($B$32,$B$34,$B$35,$B$36,$B$38,$B$39)*100),0,B35/SUM($B$32,$B$34,$B$35,$B$36,$B$38,$B$39)*100)</f>
        <v>15.132869085641488</v>
      </c>
      <c r="D35" s="236"/>
      <c r="G35" s="16"/>
    </row>
    <row r="36" spans="1:7">
      <c r="A36" s="174" t="s">
        <v>74</v>
      </c>
      <c r="B36" s="34">
        <f>IF((($B$28-$B$32-$B$39-$B$77-$B$38)*C22/100)&lt;0,0,($B$28-$B$32-$B$39-$B$77-$B$38)*C22/100)</f>
        <v>83.050985915492959</v>
      </c>
      <c r="C36" s="170">
        <f>IF(ISERROR(B36/SUM($B$32,$B$34,$B$35,$B$36,$B$38,$B$39)*100),0,B36/SUM($B$32,$B$34,$B$35,$B$36,$B$38,$B$39)*100)</f>
        <v>1.1434804614552248</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1581.3999999999999</v>
      </c>
      <c r="C39" s="170">
        <f>IF(ISERROR(B39/SUM($B$32,$B$34,$B$35,$B$36,$B$38,$B$39)*100),0,B39/SUM($B$32,$B$34,$B$35,$B$36,$B$38,$B$39)*100)</f>
        <v>21.773371884896051</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4427</v>
      </c>
      <c r="C44" s="35" t="s">
        <v>110</v>
      </c>
      <c r="D44" s="177"/>
    </row>
    <row r="45" spans="1:7">
      <c r="A45" s="174" t="s">
        <v>71</v>
      </c>
      <c r="B45" s="34" t="str">
        <f t="shared" si="0"/>
        <v>-</v>
      </c>
      <c r="C45" s="35" t="s">
        <v>110</v>
      </c>
      <c r="D45" s="177"/>
    </row>
    <row r="46" spans="1:7">
      <c r="A46" s="174" t="s">
        <v>72</v>
      </c>
      <c r="B46" s="34">
        <f t="shared" si="0"/>
        <v>72.448732394366203</v>
      </c>
      <c r="C46" s="35" t="s">
        <v>110</v>
      </c>
      <c r="D46" s="177"/>
    </row>
    <row r="47" spans="1:7">
      <c r="A47" s="174" t="s">
        <v>73</v>
      </c>
      <c r="B47" s="34">
        <f t="shared" si="0"/>
        <v>1099.1002816901412</v>
      </c>
      <c r="C47" s="35" t="s">
        <v>110</v>
      </c>
      <c r="D47" s="177"/>
    </row>
    <row r="48" spans="1:7">
      <c r="A48" s="174" t="s">
        <v>74</v>
      </c>
      <c r="B48" s="34">
        <f t="shared" si="0"/>
        <v>83.050985915492959</v>
      </c>
      <c r="C48" s="34">
        <f>B48*10</f>
        <v>830.50985915492959</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1581.3999999999999</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60</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22</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15390.161480410439</v>
      </c>
      <c r="C5" s="18">
        <f>IF(ISERROR('Eigen informatie GS &amp; warmtenet'!B58),0,'Eigen informatie GS &amp; warmtenet'!B58)</f>
        <v>0</v>
      </c>
      <c r="D5" s="31">
        <f>SUM(D6:D12)</f>
        <v>29001.347705513352</v>
      </c>
      <c r="E5" s="18">
        <f>SUM(E6:E12)</f>
        <v>155.29400258026197</v>
      </c>
      <c r="F5" s="18">
        <f>SUM(F6:F12)</f>
        <v>3101.6637907915438</v>
      </c>
      <c r="G5" s="19"/>
      <c r="H5" s="18"/>
      <c r="I5" s="18"/>
      <c r="J5" s="18">
        <f>SUM(J6:J12)</f>
        <v>0</v>
      </c>
      <c r="K5" s="18"/>
      <c r="L5" s="18"/>
      <c r="M5" s="18"/>
      <c r="N5" s="18">
        <f>SUM(N6:N12)</f>
        <v>1756.162845926571</v>
      </c>
      <c r="O5" s="18">
        <f>B38*B39*B40</f>
        <v>0</v>
      </c>
      <c r="P5" s="18">
        <f>B46*B47*B48/1000-B46*B47*B48/1000/B49</f>
        <v>19.066666666666666</v>
      </c>
      <c r="R5" s="33"/>
    </row>
    <row r="6" spans="1:18">
      <c r="A6" s="33" t="s">
        <v>53</v>
      </c>
      <c r="B6" s="38">
        <f>B26</f>
        <v>4209.6394282712299</v>
      </c>
      <c r="C6" s="34"/>
      <c r="D6" s="38">
        <f>IF(ISERROR(TER_kantoor_gas_kWh/1000),0,TER_kantoor_gas_kWh/1000)*0.902</f>
        <v>14656.240145007359</v>
      </c>
      <c r="E6" s="34">
        <f>$C$26*'E Balans VL '!I12/100/3.6*1000000</f>
        <v>6.9088714940381104</v>
      </c>
      <c r="F6" s="34">
        <f>$C$26*('E Balans VL '!L12+'E Balans VL '!N12)/100/3.6*1000000</f>
        <v>496.21744115615672</v>
      </c>
      <c r="G6" s="35"/>
      <c r="H6" s="34"/>
      <c r="I6" s="34"/>
      <c r="J6" s="34">
        <f>$C$26*('E Balans VL '!D12+'E Balans VL '!E12)/100/3.6*1000000</f>
        <v>0</v>
      </c>
      <c r="K6" s="34"/>
      <c r="L6" s="34"/>
      <c r="M6" s="34"/>
      <c r="N6" s="34">
        <f>$C$26*'E Balans VL '!Y12/100/3.6*1000000</f>
        <v>0.85053771220754193</v>
      </c>
      <c r="O6" s="34"/>
      <c r="P6" s="34"/>
      <c r="R6" s="33"/>
    </row>
    <row r="7" spans="1:18">
      <c r="A7" s="33" t="s">
        <v>52</v>
      </c>
      <c r="B7" s="38">
        <f t="shared" ref="B7:B12" si="0">B27</f>
        <v>1591.45231764393</v>
      </c>
      <c r="C7" s="34"/>
      <c r="D7" s="38">
        <f>IF(ISERROR(TER_horeca_gas_kWh/1000),0,TER_horeca_gas_kWh/1000)*0.902</f>
        <v>2261.4600394143818</v>
      </c>
      <c r="E7" s="34">
        <f>$C$27*'E Balans VL '!I9/100/3.6*1000000</f>
        <v>82.584859290316388</v>
      </c>
      <c r="F7" s="34">
        <f>$C$27*('E Balans VL '!L9+'E Balans VL '!N9)/100/3.6*1000000</f>
        <v>363.17057364986982</v>
      </c>
      <c r="G7" s="35"/>
      <c r="H7" s="34"/>
      <c r="I7" s="34"/>
      <c r="J7" s="34">
        <f>$C$27*('E Balans VL '!D9+'E Balans VL '!E9)/100/3.6*1000000</f>
        <v>0</v>
      </c>
      <c r="K7" s="34"/>
      <c r="L7" s="34"/>
      <c r="M7" s="34"/>
      <c r="N7" s="34">
        <f>$C$27*'E Balans VL '!Y9/100/3.6*1000000</f>
        <v>0.16805663542835636</v>
      </c>
      <c r="O7" s="34"/>
      <c r="P7" s="34"/>
      <c r="R7" s="33"/>
    </row>
    <row r="8" spans="1:18">
      <c r="A8" s="6" t="s">
        <v>51</v>
      </c>
      <c r="B8" s="38">
        <f t="shared" si="0"/>
        <v>3890.4022900875002</v>
      </c>
      <c r="C8" s="34"/>
      <c r="D8" s="38">
        <f>IF(ISERROR(TER_handel_gas_kWh/1000),0,TER_handel_gas_kWh/1000)*0.902</f>
        <v>1839.5440337641867</v>
      </c>
      <c r="E8" s="34">
        <f>$C$28*'E Balans VL '!I13/100/3.6*1000000</f>
        <v>20.950294399022411</v>
      </c>
      <c r="F8" s="34">
        <f>$C$28*('E Balans VL '!L13+'E Balans VL '!N13)/100/3.6*1000000</f>
        <v>793.36863929207323</v>
      </c>
      <c r="G8" s="35"/>
      <c r="H8" s="34"/>
      <c r="I8" s="34"/>
      <c r="J8" s="34">
        <f>$C$28*('E Balans VL '!D13+'E Balans VL '!E13)/100/3.6*1000000</f>
        <v>0</v>
      </c>
      <c r="K8" s="34"/>
      <c r="L8" s="34"/>
      <c r="M8" s="34"/>
      <c r="N8" s="34">
        <f>$C$28*'E Balans VL '!Y13/100/3.6*1000000</f>
        <v>19.344916126017292</v>
      </c>
      <c r="O8" s="34"/>
      <c r="P8" s="34"/>
      <c r="R8" s="33"/>
    </row>
    <row r="9" spans="1:18">
      <c r="A9" s="33" t="s">
        <v>50</v>
      </c>
      <c r="B9" s="38">
        <f t="shared" si="0"/>
        <v>389.55013965570697</v>
      </c>
      <c r="C9" s="34"/>
      <c r="D9" s="38">
        <f>IF(ISERROR(TER_gezond_gas_kWh/1000),0,TER_gezond_gas_kWh/1000)*0.902</f>
        <v>512.26795639830277</v>
      </c>
      <c r="E9" s="34">
        <f>$C$29*'E Balans VL '!I10/100/3.6*1000000</f>
        <v>0.38604861834465992</v>
      </c>
      <c r="F9" s="34">
        <f>$C$29*('E Balans VL '!L10+'E Balans VL '!N10)/100/3.6*1000000</f>
        <v>135.16267010852323</v>
      </c>
      <c r="G9" s="35"/>
      <c r="H9" s="34"/>
      <c r="I9" s="34"/>
      <c r="J9" s="34">
        <f>$C$29*('E Balans VL '!D10+'E Balans VL '!E10)/100/3.6*1000000</f>
        <v>0</v>
      </c>
      <c r="K9" s="34"/>
      <c r="L9" s="34"/>
      <c r="M9" s="34"/>
      <c r="N9" s="34">
        <f>$C$29*'E Balans VL '!Y10/100/3.6*1000000</f>
        <v>3.3567198068464199</v>
      </c>
      <c r="O9" s="34"/>
      <c r="P9" s="34"/>
      <c r="R9" s="33"/>
    </row>
    <row r="10" spans="1:18">
      <c r="A10" s="33" t="s">
        <v>49</v>
      </c>
      <c r="B10" s="38">
        <f t="shared" si="0"/>
        <v>2708.9377769448397</v>
      </c>
      <c r="C10" s="34"/>
      <c r="D10" s="38">
        <f>IF(ISERROR(TER_ander_gas_kWh/1000),0,TER_ander_gas_kWh/1000)*0.902</f>
        <v>4496.5280847261893</v>
      </c>
      <c r="E10" s="34">
        <f>$C$30*'E Balans VL '!I14/100/3.6*1000000</f>
        <v>22.161818405902345</v>
      </c>
      <c r="F10" s="34">
        <f>$C$30*('E Balans VL '!L14+'E Balans VL '!N14)/100/3.6*1000000</f>
        <v>791.98312055413544</v>
      </c>
      <c r="G10" s="35"/>
      <c r="H10" s="34"/>
      <c r="I10" s="34"/>
      <c r="J10" s="34">
        <f>$C$30*('E Balans VL '!D14+'E Balans VL '!E14)/100/3.6*1000000</f>
        <v>0</v>
      </c>
      <c r="K10" s="34"/>
      <c r="L10" s="34"/>
      <c r="M10" s="34"/>
      <c r="N10" s="34">
        <f>$C$30*'E Balans VL '!Y14/100/3.6*1000000</f>
        <v>1562.7016546279117</v>
      </c>
      <c r="O10" s="34"/>
      <c r="P10" s="34"/>
      <c r="R10" s="33"/>
    </row>
    <row r="11" spans="1:18">
      <c r="A11" s="33" t="s">
        <v>54</v>
      </c>
      <c r="B11" s="38">
        <f t="shared" si="0"/>
        <v>20.479431410512401</v>
      </c>
      <c r="C11" s="34"/>
      <c r="D11" s="38">
        <f>IF(ISERROR(TER_onderwijs_gas_kWh/1000),0,TER_onderwijs_gas_kWh/1000)*0.902</f>
        <v>0</v>
      </c>
      <c r="E11" s="34">
        <f>$C$31*'E Balans VL '!I11/100/3.6*1000000</f>
        <v>1.2622657408437925E-2</v>
      </c>
      <c r="F11" s="34">
        <f>$C$31*('E Balans VL '!L11+'E Balans VL '!N11)/100/3.6*1000000</f>
        <v>7.917679840923542</v>
      </c>
      <c r="G11" s="35"/>
      <c r="H11" s="34"/>
      <c r="I11" s="34"/>
      <c r="J11" s="34">
        <f>$C$31*('E Balans VL '!D11+'E Balans VL '!E11)/100/3.6*1000000</f>
        <v>0</v>
      </c>
      <c r="K11" s="34"/>
      <c r="L11" s="34"/>
      <c r="M11" s="34"/>
      <c r="N11" s="34">
        <f>$C$31*'E Balans VL '!Y11/100/3.6*1000000</f>
        <v>6.6615201729949544E-2</v>
      </c>
      <c r="O11" s="34"/>
      <c r="P11" s="34"/>
      <c r="R11" s="33"/>
    </row>
    <row r="12" spans="1:18">
      <c r="A12" s="33" t="s">
        <v>259</v>
      </c>
      <c r="B12" s="38">
        <f t="shared" si="0"/>
        <v>2579.7000963967203</v>
      </c>
      <c r="C12" s="34"/>
      <c r="D12" s="38">
        <f>IF(ISERROR(TER_rest_gas_kWh/1000),0,TER_rest_gas_kWh/1000)*0.902</f>
        <v>5235.307446202929</v>
      </c>
      <c r="E12" s="34">
        <f>$C$32*'E Balans VL '!I8/100/3.6*1000000</f>
        <v>22.289487715229612</v>
      </c>
      <c r="F12" s="34">
        <f>$C$32*('E Balans VL '!L8+'E Balans VL '!N8)/100/3.6*1000000</f>
        <v>513.84366618986178</v>
      </c>
      <c r="G12" s="35"/>
      <c r="H12" s="34"/>
      <c r="I12" s="34"/>
      <c r="J12" s="34">
        <f>$C$32*('E Balans VL '!D8+'E Balans VL '!E8)/100/3.6*1000000</f>
        <v>0</v>
      </c>
      <c r="K12" s="34"/>
      <c r="L12" s="34"/>
      <c r="M12" s="34"/>
      <c r="N12" s="34">
        <f>$C$32*'E Balans VL '!Y8/100/3.6*1000000</f>
        <v>169.67434581642968</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15390.161480410439</v>
      </c>
      <c r="C16" s="22">
        <f t="shared" ca="1" si="1"/>
        <v>0</v>
      </c>
      <c r="D16" s="22">
        <f t="shared" ca="1" si="1"/>
        <v>29001.347705513352</v>
      </c>
      <c r="E16" s="22">
        <f t="shared" si="1"/>
        <v>155.29400258026197</v>
      </c>
      <c r="F16" s="22">
        <f t="shared" ca="1" si="1"/>
        <v>3101.6637907915438</v>
      </c>
      <c r="G16" s="22">
        <f t="shared" si="1"/>
        <v>0</v>
      </c>
      <c r="H16" s="22">
        <f t="shared" si="1"/>
        <v>0</v>
      </c>
      <c r="I16" s="22">
        <f t="shared" si="1"/>
        <v>0</v>
      </c>
      <c r="J16" s="22">
        <f t="shared" si="1"/>
        <v>0</v>
      </c>
      <c r="K16" s="22">
        <f t="shared" si="1"/>
        <v>0</v>
      </c>
      <c r="L16" s="22">
        <f t="shared" ca="1" si="1"/>
        <v>0</v>
      </c>
      <c r="M16" s="22">
        <f t="shared" si="1"/>
        <v>0</v>
      </c>
      <c r="N16" s="22">
        <f t="shared" ca="1" si="1"/>
        <v>1756.162845926571</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0.21133976644980643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3252.5531328947495</v>
      </c>
      <c r="C20" s="24">
        <f t="shared" ref="C20:P20" ca="1" si="2">C16*C18</f>
        <v>0</v>
      </c>
      <c r="D20" s="24">
        <f t="shared" ca="1" si="2"/>
        <v>5858.2722365136979</v>
      </c>
      <c r="E20" s="24">
        <f t="shared" si="2"/>
        <v>35.251738585719472</v>
      </c>
      <c r="F20" s="24">
        <f t="shared" ca="1" si="2"/>
        <v>828.14423214134229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4209.6394282712299</v>
      </c>
      <c r="C26" s="40">
        <f>IF(ISERROR(B26*3.6/1000000/'E Balans VL '!Z12*100),0,B26*3.6/1000000/'E Balans VL '!Z12*100)</f>
        <v>8.9451818987646842E-2</v>
      </c>
      <c r="D26" s="240" t="s">
        <v>703</v>
      </c>
      <c r="F26" s="6"/>
    </row>
    <row r="27" spans="1:18">
      <c r="A27" s="234" t="s">
        <v>52</v>
      </c>
      <c r="B27" s="34">
        <f>IF(ISERROR(TER_horeca_ele_kWh/1000),0,TER_horeca_ele_kWh/1000)</f>
        <v>1591.45231764393</v>
      </c>
      <c r="C27" s="40">
        <f>IF(ISERROR(B27*3.6/1000000/'E Balans VL '!Z9*100),0,B27*3.6/1000000/'E Balans VL '!Z9*100)</f>
        <v>0.12525960404597991</v>
      </c>
      <c r="D27" s="240" t="s">
        <v>703</v>
      </c>
      <c r="F27" s="6"/>
    </row>
    <row r="28" spans="1:18">
      <c r="A28" s="174" t="s">
        <v>51</v>
      </c>
      <c r="B28" s="34">
        <f>IF(ISERROR(TER_handel_ele_kWh/1000),0,TER_handel_ele_kWh/1000)</f>
        <v>3890.4022900875002</v>
      </c>
      <c r="C28" s="40">
        <f>IF(ISERROR(B28*3.6/1000000/'E Balans VL '!Z13*100),0,B28*3.6/1000000/'E Balans VL '!Z13*100)</f>
        <v>0.10897225020645737</v>
      </c>
      <c r="D28" s="240" t="s">
        <v>703</v>
      </c>
      <c r="F28" s="6"/>
    </row>
    <row r="29" spans="1:18">
      <c r="A29" s="234" t="s">
        <v>50</v>
      </c>
      <c r="B29" s="34">
        <f>IF(ISERROR(TER_gezond_ele_kWh/1000),0,TER_gezond_ele_kWh/1000)</f>
        <v>389.55013965570697</v>
      </c>
      <c r="C29" s="40">
        <f>IF(ISERROR(B29*3.6/1000000/'E Balans VL '!Z10*100),0,B29*3.6/1000000/'E Balans VL '!Z10*100)</f>
        <v>4.9835242383775034E-2</v>
      </c>
      <c r="D29" s="240" t="s">
        <v>703</v>
      </c>
      <c r="F29" s="6"/>
    </row>
    <row r="30" spans="1:18">
      <c r="A30" s="234" t="s">
        <v>49</v>
      </c>
      <c r="B30" s="34">
        <f>IF(ISERROR(TER_ander_ele_kWh/1000),0,TER_ander_ele_kWh/1000)</f>
        <v>2708.9377769448397</v>
      </c>
      <c r="C30" s="40">
        <f>IF(ISERROR(B30*3.6/1000000/'E Balans VL '!Z14*100),0,B30*3.6/1000000/'E Balans VL '!Z14*100)</f>
        <v>0.20260571980702194</v>
      </c>
      <c r="D30" s="240" t="s">
        <v>703</v>
      </c>
      <c r="F30" s="6"/>
    </row>
    <row r="31" spans="1:18">
      <c r="A31" s="234" t="s">
        <v>54</v>
      </c>
      <c r="B31" s="34">
        <f>IF(ISERROR(TER_onderwijs_ele_kWh/1000),0,TER_onderwijs_ele_kWh/1000)</f>
        <v>20.479431410512401</v>
      </c>
      <c r="C31" s="40">
        <f>IF(ISERROR(B31*3.6/1000000/'E Balans VL '!Z11*100),0,B31*3.6/1000000/'E Balans VL '!Z11*100)</f>
        <v>4.3242584699740051E-3</v>
      </c>
      <c r="D31" s="240" t="s">
        <v>703</v>
      </c>
    </row>
    <row r="32" spans="1:18">
      <c r="A32" s="234" t="s">
        <v>259</v>
      </c>
      <c r="B32" s="34">
        <f>IF(ISERROR(TER_rest_ele_kWh/1000),0,TER_rest_ele_kWh/1000)</f>
        <v>2579.7000963967203</v>
      </c>
      <c r="C32" s="40">
        <f>IF(ISERROR(B32*3.6/1000000/'E Balans VL '!Z8*100),0,B32*3.6/1000000/'E Balans VL '!Z8*100)</f>
        <v>2.1251394143324338E-2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6366.3277243098892</v>
      </c>
      <c r="C5" s="18">
        <f>IF(ISERROR('Eigen informatie GS &amp; warmtenet'!B59),0,'Eigen informatie GS &amp; warmtenet'!B59)</f>
        <v>0</v>
      </c>
      <c r="D5" s="31">
        <f>SUM(D6:D15)</f>
        <v>4475.8674843251829</v>
      </c>
      <c r="E5" s="18">
        <f>SUM(E6:E15)</f>
        <v>53.164246960116301</v>
      </c>
      <c r="F5" s="18">
        <f>SUM(F6:F15)</f>
        <v>2006.4648499715986</v>
      </c>
      <c r="G5" s="19"/>
      <c r="H5" s="18"/>
      <c r="I5" s="18"/>
      <c r="J5" s="18">
        <f>SUM(J6:J15)</f>
        <v>28.164885614458449</v>
      </c>
      <c r="K5" s="18"/>
      <c r="L5" s="18"/>
      <c r="M5" s="18"/>
      <c r="N5" s="18">
        <f>SUM(N6:N15)</f>
        <v>244.14639144689633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294.44514545464102</v>
      </c>
      <c r="C8" s="34"/>
      <c r="D8" s="38">
        <f>IF( ISERROR(IND_metaal_Gas_kWH/1000),0,IND_metaal_Gas_kWH/1000)*0.902</f>
        <v>0</v>
      </c>
      <c r="E8" s="34">
        <f>C30*'E Balans VL '!I18/100/3.6*1000000</f>
        <v>2.6814588770025023</v>
      </c>
      <c r="F8" s="34">
        <f>C30*'E Balans VL '!L18/100/3.6*1000000+C30*'E Balans VL '!N18/100/3.6*1000000</f>
        <v>38.835078630627116</v>
      </c>
      <c r="G8" s="35"/>
      <c r="H8" s="34"/>
      <c r="I8" s="34"/>
      <c r="J8" s="41">
        <f>C30*'E Balans VL '!D18/100/3.6*1000000+C30*'E Balans VL '!E18/100/3.6*1000000</f>
        <v>4.8284728664994088</v>
      </c>
      <c r="K8" s="34"/>
      <c r="L8" s="34"/>
      <c r="M8" s="34"/>
      <c r="N8" s="34">
        <f>C30*'E Balans VL '!Y18/100/3.6*1000000</f>
        <v>1.0118909968936149</v>
      </c>
      <c r="O8" s="34"/>
      <c r="P8" s="34"/>
      <c r="R8" s="33"/>
    </row>
    <row r="9" spans="1:18">
      <c r="A9" s="6" t="s">
        <v>32</v>
      </c>
      <c r="B9" s="38">
        <f t="shared" si="0"/>
        <v>1310.42416906365</v>
      </c>
      <c r="C9" s="34"/>
      <c r="D9" s="38">
        <f>IF( ISERROR(IND_andere_gas_kWh/1000),0,IND_andere_gas_kWh/1000)*0.902</f>
        <v>434.36186311518475</v>
      </c>
      <c r="E9" s="34">
        <f>C31*'E Balans VL '!I19/100/3.6*1000000</f>
        <v>7.5744475238825544</v>
      </c>
      <c r="F9" s="34">
        <f>C31*'E Balans VL '!L19/100/3.6*1000000+C31*'E Balans VL '!N19/100/3.6*1000000</f>
        <v>1042.5054816059665</v>
      </c>
      <c r="G9" s="35"/>
      <c r="H9" s="34"/>
      <c r="I9" s="34"/>
      <c r="J9" s="41">
        <f>C31*'E Balans VL '!D19/100/3.6*1000000+C31*'E Balans VL '!E19/100/3.6*1000000</f>
        <v>0.12395157061402629</v>
      </c>
      <c r="K9" s="34"/>
      <c r="L9" s="34"/>
      <c r="M9" s="34"/>
      <c r="N9" s="34">
        <f>C31*'E Balans VL '!Y19/100/3.6*1000000</f>
        <v>99.284461858150379</v>
      </c>
      <c r="O9" s="34"/>
      <c r="P9" s="34"/>
      <c r="R9" s="33"/>
    </row>
    <row r="10" spans="1:18">
      <c r="A10" s="6" t="s">
        <v>40</v>
      </c>
      <c r="B10" s="38">
        <f t="shared" si="0"/>
        <v>145.64076844130898</v>
      </c>
      <c r="C10" s="34"/>
      <c r="D10" s="38">
        <f>IF( ISERROR(IND_voed_gas_kWh/1000),0,IND_voed_gas_kWh/1000)*0.902</f>
        <v>207.21125414604759</v>
      </c>
      <c r="E10" s="34">
        <f>C32*'E Balans VL '!I20/100/3.6*1000000</f>
        <v>1.4320297720659003</v>
      </c>
      <c r="F10" s="34">
        <f>C32*'E Balans VL '!L20/100/3.6*1000000+C32*'E Balans VL '!N20/100/3.6*1000000</f>
        <v>16.175308332566743</v>
      </c>
      <c r="G10" s="35"/>
      <c r="H10" s="34"/>
      <c r="I10" s="34"/>
      <c r="J10" s="41">
        <f>C32*'E Balans VL '!D20/100/3.6*1000000+C32*'E Balans VL '!E20/100/3.6*1000000</f>
        <v>5.7403638535766298E-4</v>
      </c>
      <c r="K10" s="34"/>
      <c r="L10" s="34"/>
      <c r="M10" s="34"/>
      <c r="N10" s="34">
        <f>C32*'E Balans VL '!Y20/100/3.6*1000000</f>
        <v>2.1565971974174962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4615.8176413502897</v>
      </c>
      <c r="C15" s="34"/>
      <c r="D15" s="38">
        <f>IF( ISERROR(IND_rest_gas_kWh/1000),0,IND_rest_gas_kWh/1000)*0.902</f>
        <v>3834.2943670639502</v>
      </c>
      <c r="E15" s="34">
        <f>C37*'E Balans VL '!I15/100/3.6*1000000</f>
        <v>41.476310787165346</v>
      </c>
      <c r="F15" s="34">
        <f>C37*'E Balans VL '!L15/100/3.6*1000000+C37*'E Balans VL '!N15/100/3.6*1000000</f>
        <v>908.94898140243811</v>
      </c>
      <c r="G15" s="35"/>
      <c r="H15" s="34"/>
      <c r="I15" s="34"/>
      <c r="J15" s="41">
        <f>C37*'E Balans VL '!D15/100/3.6*1000000+C37*'E Balans VL '!E15/100/3.6*1000000</f>
        <v>23.211887140959657</v>
      </c>
      <c r="K15" s="34"/>
      <c r="L15" s="34"/>
      <c r="M15" s="34"/>
      <c r="N15" s="34">
        <f>C37*'E Balans VL '!Y15/100/3.6*1000000</f>
        <v>141.69344139443484</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6366.3277243098892</v>
      </c>
      <c r="C18" s="22">
        <f>C5+C16</f>
        <v>0</v>
      </c>
      <c r="D18" s="22">
        <f>MAX((D5+D16),0)</f>
        <v>4475.8674843251829</v>
      </c>
      <c r="E18" s="22">
        <f>MAX((E5+E16),0)</f>
        <v>53.164246960116301</v>
      </c>
      <c r="F18" s="22">
        <f>MAX((F5+F16),0)</f>
        <v>2006.4648499715986</v>
      </c>
      <c r="G18" s="22"/>
      <c r="H18" s="22"/>
      <c r="I18" s="22"/>
      <c r="J18" s="22">
        <f>MAX((J5+J16),0)</f>
        <v>28.164885614458449</v>
      </c>
      <c r="K18" s="22"/>
      <c r="L18" s="22">
        <f>MAX((L5+L16),0)</f>
        <v>0</v>
      </c>
      <c r="M18" s="22"/>
      <c r="N18" s="22">
        <f>MAX((N5+N16),0)</f>
        <v>244.14639144689633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0.21133976644980643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1345.4582143985797</v>
      </c>
      <c r="C22" s="24">
        <f ca="1">C18*C20</f>
        <v>0</v>
      </c>
      <c r="D22" s="24">
        <f>D18*D20</f>
        <v>904.12523183368705</v>
      </c>
      <c r="E22" s="24">
        <f>E18*E20</f>
        <v>12.0682840599464</v>
      </c>
      <c r="F22" s="24">
        <f>F18*F20</f>
        <v>535.72611494241687</v>
      </c>
      <c r="G22" s="24"/>
      <c r="H22" s="24"/>
      <c r="I22" s="24"/>
      <c r="J22" s="24">
        <f>J18*J20</f>
        <v>9.9703695075182903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294.44514545464102</v>
      </c>
      <c r="C30" s="40">
        <f>IF(ISERROR(B30*3.6/1000000/'E Balans VL '!Z18*100),0,B30*3.6/1000000/'E Balans VL '!Z18*100)</f>
        <v>1.6383903406756092E-2</v>
      </c>
      <c r="D30" s="240" t="s">
        <v>703</v>
      </c>
    </row>
    <row r="31" spans="1:18">
      <c r="A31" s="6" t="s">
        <v>32</v>
      </c>
      <c r="B31" s="38">
        <f>IF( ISERROR(IND_ander_ele_kWh/1000),0,IND_ander_ele_kWh/1000)</f>
        <v>1310.42416906365</v>
      </c>
      <c r="C31" s="40">
        <f>IF(ISERROR(B31*3.6/1000000/'E Balans VL '!Z19*100),0,B31*3.6/1000000/'E Balans VL '!Z19*100)</f>
        <v>6.0918178049214282E-2</v>
      </c>
      <c r="D31" s="240" t="s">
        <v>703</v>
      </c>
    </row>
    <row r="32" spans="1:18">
      <c r="A32" s="174" t="s">
        <v>40</v>
      </c>
      <c r="B32" s="38">
        <f>IF( ISERROR(IND_voed_ele_kWh/1000),0,IND_voed_ele_kWh/1000)</f>
        <v>145.64076844130898</v>
      </c>
      <c r="C32" s="40">
        <f>IF(ISERROR(B32*3.6/1000000/'E Balans VL '!Z20*100),0,B32*3.6/1000000/'E Balans VL '!Z20*100)</f>
        <v>5.1481070304117025E-3</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4615.8176413502897</v>
      </c>
      <c r="C37" s="40">
        <f>IF(ISERROR(B37*3.6/1000000/'E Balans VL '!Z15*100),0,B37*3.6/1000000/'E Balans VL '!Z15*100)</f>
        <v>3.4856241785924398E-2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750.48032653655582</v>
      </c>
      <c r="C5" s="18">
        <f>'Eigen informatie GS &amp; warmtenet'!B60</f>
        <v>0</v>
      </c>
      <c r="D5" s="31">
        <f>IF(ISERROR(SUM(LB_lb_gas_kWh,LB_rest_gas_kWh)/1000),0,SUM(LB_lb_gas_kWh,LB_rest_gas_kWh)/1000)*0.902</f>
        <v>158.5062954122713</v>
      </c>
      <c r="E5" s="18">
        <f>B17*'E Balans VL '!I25/3.6*1000000/100</f>
        <v>7.0700275142877889</v>
      </c>
      <c r="F5" s="18">
        <f>B17*('E Balans VL '!L25/3.6*1000000+'E Balans VL '!N25/3.6*1000000)/100</f>
        <v>2449.0663680356733</v>
      </c>
      <c r="G5" s="19"/>
      <c r="H5" s="18"/>
      <c r="I5" s="18"/>
      <c r="J5" s="18">
        <f>('E Balans VL '!D25+'E Balans VL '!E25)/3.6*1000000*landbouw!B17/100</f>
        <v>92.838066728179015</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750.48032653655582</v>
      </c>
      <c r="C8" s="22">
        <f>C5+C6</f>
        <v>0</v>
      </c>
      <c r="D8" s="22">
        <f>MAX((D5+D6),0)</f>
        <v>158.5062954122713</v>
      </c>
      <c r="E8" s="22">
        <f>MAX((E5+E6),0)</f>
        <v>7.0700275142877889</v>
      </c>
      <c r="F8" s="22">
        <f>MAX((F5+F6),0)</f>
        <v>2449.0663680356733</v>
      </c>
      <c r="G8" s="22"/>
      <c r="H8" s="22"/>
      <c r="I8" s="22"/>
      <c r="J8" s="22">
        <f>MAX((J5+J6),0)</f>
        <v>92.838066728179015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0.21133976644980643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158.60633693541018</v>
      </c>
      <c r="C12" s="24">
        <f ca="1">C8*C10</f>
        <v>0</v>
      </c>
      <c r="D12" s="24">
        <f>D8*D10</f>
        <v>32.018271673278804</v>
      </c>
      <c r="E12" s="24">
        <f>E8*E10</f>
        <v>1.6048962457433282</v>
      </c>
      <c r="F12" s="24">
        <f>F8*F10</f>
        <v>653.9007202655248</v>
      </c>
      <c r="G12" s="24"/>
      <c r="H12" s="24"/>
      <c r="I12" s="24"/>
      <c r="J12" s="24">
        <f>J8*J10</f>
        <v>32.864675621775369</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0.10160304392078884</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148.08304379773338</v>
      </c>
      <c r="C26" s="250">
        <f>B26*'GWP N2O_CH4'!B5</f>
        <v>3109.7439197524009</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19.283201962158586</v>
      </c>
      <c r="C27" s="250">
        <f>B27*'GWP N2O_CH4'!B5</f>
        <v>404.94724120533033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2.0242797757155886</v>
      </c>
      <c r="C28" s="250">
        <f>B28*'GWP N2O_CH4'!B4</f>
        <v>627.52673047183248</v>
      </c>
      <c r="D28" s="51"/>
    </row>
    <row r="29" spans="1:4">
      <c r="A29" s="42" t="s">
        <v>276</v>
      </c>
      <c r="B29" s="250">
        <f>B34*'ha_N2O bodem landbouw'!B4</f>
        <v>9.6849806838706609</v>
      </c>
      <c r="C29" s="250">
        <f>B29*'GWP N2O_CH4'!B4</f>
        <v>3002.344011999905</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2.6146398988688259E-3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2.2274485308457829E-5</v>
      </c>
      <c r="C5" s="443" t="s">
        <v>210</v>
      </c>
      <c r="D5" s="428">
        <f>SUM(D6:D11)</f>
        <v>4.9372831453928129E-5</v>
      </c>
      <c r="E5" s="428">
        <f>SUM(E6:E11)</f>
        <v>3.5336545297150078E-3</v>
      </c>
      <c r="F5" s="441" t="s">
        <v>210</v>
      </c>
      <c r="G5" s="428">
        <f>SUM(G6:G11)</f>
        <v>0.74918681335904047</v>
      </c>
      <c r="H5" s="428">
        <f>SUM(H6:H11)</f>
        <v>0.12931812844396554</v>
      </c>
      <c r="I5" s="443" t="s">
        <v>210</v>
      </c>
      <c r="J5" s="443" t="s">
        <v>210</v>
      </c>
      <c r="K5" s="443" t="s">
        <v>210</v>
      </c>
      <c r="L5" s="443" t="s">
        <v>210</v>
      </c>
      <c r="M5" s="428">
        <f>SUM(M6:M11)</f>
        <v>3.925903549144772E-2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7.1058367144503901E-6</v>
      </c>
      <c r="C6" s="429"/>
      <c r="D6" s="429">
        <f>vkm_GW_PW*SUMIFS(TableVerdeelsleutelVkm[CNG],TableVerdeelsleutelVkm[Voertuigtype],"Lichte voertuigen")*SUMIFS(TableECFTransport[EnergieConsumptieFactor (PJ per km)],TableECFTransport[Index],CONCATENATE($A6,"_CNG_CNG"))</f>
        <v>1.4376974822856627E-5</v>
      </c>
      <c r="E6" s="431">
        <f>vkm_GW_PW*SUMIFS(TableVerdeelsleutelVkm[LPG],TableVerdeelsleutelVkm[Voertuigtype],"Lichte voertuigen")*SUMIFS(TableECFTransport[EnergieConsumptieFactor (PJ per km)],TableECFTransport[Index],CONCATENATE($A6,"_LPG_LPG"))</f>
        <v>9.2816819174469992E-4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0.14821065781822063</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3.7138945253383064E-2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8.2959068969071046E-3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3.5804478131520261E-2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9.7931271249156206E-7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1.5931833258095048E-3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3.1829551963115196E-6</v>
      </c>
      <c r="C8" s="429"/>
      <c r="D8" s="431">
        <f>vkm_NGW_PW*SUMIFS(TableVerdeelsleutelVkm[CNG],TableVerdeelsleutelVkm[Voertuigtype],"Lichte voertuigen")*SUMIFS(TableECFTransport[EnergieConsumptieFactor (PJ per km)],TableECFTransport[Index],CONCATENATE($A8,"_CNG_CNG"))</f>
        <v>1.0930424166438744E-5</v>
      </c>
      <c r="E8" s="431">
        <f>vkm_NGW_PW*SUMIFS(TableVerdeelsleutelVkm[LPG],TableVerdeelsleutelVkm[Voertuigtype],"Lichte voertuigen")*SUMIFS(TableECFTransport[EnergieConsumptieFactor (PJ per km)],TableECFTransport[Index],CONCATENATE($A8,"_LPG_LPG"))</f>
        <v>6.6422814058659651E-4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0.10097115807310998</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2.6945668732130862E-2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5.7270448742256282E-3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1.6352033333947018E-2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5.1939504501484359E-7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7.2761583254543909E-4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1.198569339769592E-5</v>
      </c>
      <c r="C10" s="429"/>
      <c r="D10" s="431">
        <f>vkm_SW_PW*SUMIFS(TableVerdeelsleutelVkm[CNG],TableVerdeelsleutelVkm[Voertuigtype],"Lichte voertuigen")*SUMIFS(TableECFTransport[EnergieConsumptieFactor (PJ per km)],TableECFTransport[Index],CONCATENATE($A10,"_CNG_CNG"))</f>
        <v>2.4065432464632753E-5</v>
      </c>
      <c r="E10" s="431">
        <f>vkm_SW_PW*SUMIFS(TableVerdeelsleutelVkm[LPG],TableVerdeelsleutelVkm[Voertuigtype],"Lichte voertuigen")*SUMIFS(TableECFTransport[EnergieConsumptieFactor (PJ per km)],TableECFTransport[Index],CONCATENATE($A10,"_LPG_LPG"))</f>
        <v>1.9412581973837113E-3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0.28336335942849905</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6.5227109937708264E-2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1.5596210469301881E-2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0.16448512657374351</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4.9058129858570733E-6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7.3190740926581599E-3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6.1873570301271741</v>
      </c>
      <c r="C14" s="22"/>
      <c r="D14" s="22">
        <f t="shared" ref="D14:M14" si="0">((D5)*10^9/3600)+D12</f>
        <v>13.714675403868924</v>
      </c>
      <c r="E14" s="22">
        <f t="shared" si="0"/>
        <v>981.57070269861322</v>
      </c>
      <c r="F14" s="22"/>
      <c r="G14" s="22">
        <f t="shared" si="0"/>
        <v>208107.44815528902</v>
      </c>
      <c r="H14" s="22">
        <f t="shared" si="0"/>
        <v>35921.702345545986</v>
      </c>
      <c r="I14" s="22"/>
      <c r="J14" s="22"/>
      <c r="K14" s="22"/>
      <c r="L14" s="22"/>
      <c r="M14" s="22">
        <f t="shared" si="0"/>
        <v>10905.287636513254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0.21133976644980643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1.3076345896886448</v>
      </c>
      <c r="C18" s="24"/>
      <c r="D18" s="24">
        <f t="shared" ref="D18:M18" si="1">D14*D16</f>
        <v>2.7703644315815228</v>
      </c>
      <c r="E18" s="24">
        <f t="shared" si="1"/>
        <v>222.8165495125852</v>
      </c>
      <c r="F18" s="24"/>
      <c r="G18" s="24">
        <f t="shared" si="1"/>
        <v>55564.688657462175</v>
      </c>
      <c r="H18" s="24">
        <f t="shared" si="1"/>
        <v>8944.5038840409507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1.7548796741447117E-2</v>
      </c>
      <c r="H50" s="321">
        <f t="shared" si="2"/>
        <v>0</v>
      </c>
      <c r="I50" s="321">
        <f t="shared" si="2"/>
        <v>0</v>
      </c>
      <c r="J50" s="321">
        <f t="shared" si="2"/>
        <v>0</v>
      </c>
      <c r="K50" s="321">
        <f t="shared" si="2"/>
        <v>0</v>
      </c>
      <c r="L50" s="321">
        <f t="shared" si="2"/>
        <v>0</v>
      </c>
      <c r="M50" s="321">
        <f t="shared" si="2"/>
        <v>7.6997395370553736E-4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1.7548796741447117E-2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7.6997395370553736E-4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4874.665761513088</v>
      </c>
      <c r="H54" s="22">
        <f t="shared" si="3"/>
        <v>0</v>
      </c>
      <c r="I54" s="22">
        <f t="shared" si="3"/>
        <v>0</v>
      </c>
      <c r="J54" s="22">
        <f t="shared" si="3"/>
        <v>0</v>
      </c>
      <c r="K54" s="22">
        <f t="shared" si="3"/>
        <v>0</v>
      </c>
      <c r="L54" s="22">
        <f t="shared" si="3"/>
        <v>0</v>
      </c>
      <c r="M54" s="22">
        <f t="shared" si="3"/>
        <v>213.8816538070937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0.21133976644980643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1301.5357583239945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2758.0876471780593</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2758.0876471780593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2020-06-20T16:27:31Z</dcterms:modified>
</cp:coreProperties>
</file>