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76" i="14" l="1"/>
  <c r="I8" i="56" s="1"/>
  <c r="I10" i="56" s="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B38" i="13"/>
  <c r="C24" i="14"/>
  <c r="C26" i="14" s="1"/>
  <c r="B7" i="48"/>
  <c r="P11" i="14"/>
  <c r="O4" i="48"/>
  <c r="O22" i="48" s="1"/>
  <c r="P4" i="48"/>
  <c r="P22" i="48" s="1"/>
  <c r="Q11" i="14"/>
  <c r="D4" i="48"/>
  <c r="D22" i="48" s="1"/>
  <c r="E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Q63" i="14"/>
  <c r="D16" i="14"/>
  <c r="D27" i="14" s="1"/>
  <c r="B20" i="6" s="1"/>
  <c r="B22" i="6" s="1"/>
  <c r="C22" i="56" s="1"/>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Q5" i="48" l="1"/>
  <c r="F13" i="14"/>
  <c r="F16" i="14" s="1"/>
  <c r="F27" i="14" s="1"/>
  <c r="E8" i="48"/>
  <c r="J8" i="48"/>
  <c r="K13" i="14"/>
  <c r="K16" i="14" s="1"/>
  <c r="K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J26" i="48" l="1"/>
  <c r="J33" i="48" s="1"/>
  <c r="J15" i="48"/>
  <c r="E26" i="48"/>
  <c r="E33" i="48" s="1"/>
  <c r="E15" i="48"/>
  <c r="K63" i="14"/>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<sst xmlns="http://schemas.openxmlformats.org/spreadsheetml/2006/main" count="2507" uniqueCount="959">
  <si>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</si>
  <si>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</si>
  <si>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</si>
  <si>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</si>
  <si>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</si>
  <si>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</si>
  <si>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</si>
  <si>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</si>
  <si>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</si>
  <si>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</si>
  <si>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</si>
  <si>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</si>
  <si>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</si>
  <si>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</si>
  <si>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</si>
  <si>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</si>
  <si>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</si>
  <si>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</si>
  <si>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</si>
  <si>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</si>
  <si>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</si>
  <si>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</si>
  <si>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</si>
  <si>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</si>
  <si>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</si>
  <si>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</si>
  <si>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</si>
  <si>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</si>
  <si>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</si>
  <si>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</si>
  <si>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</si>
  <si>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</si>
  <si>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</si>
  <si>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</si>
  <si>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</si>
  <si>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</si>
  <si>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</si>
  <si>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</si>
  <si>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</si>
  <si>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</si>
  <si>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</si>
  <si>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</si>
  <si>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</si>
  <si>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</si>
  <si>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</si>
  <si>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</si>
  <si>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</si>
  <si>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</si>
  <si>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</si>
  <si>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</si>
  <si>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</si>
  <si>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</si>
  <si>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</si>
  <si>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</si>
  <si>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</si>
  <si>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</si>
  <si>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</si>
  <si>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</si>
  <si>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</si>
  <si>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</si>
  <si>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</si>
  <si>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</si>
  <si>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</si>
  <si>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</si>
  <si>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</si>
  <si>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</si>
  <si>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</si>
  <si>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</si>
  <si>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</si>
  <si>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</si>
  <si>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</si>
  <si>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</si>
  <si>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</si>
  <si>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</si>
  <si>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</si>
  <si>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</si>
  <si>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</si>
  <si>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</si>
  <si>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</si>
  <si>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</si>
  <si>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</si>
  <si>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</si>
  <si>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</si>
  <si>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</si>
  <si>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</si>
  <si>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</si>
  <si>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</si>
  <si>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</si>
  <si>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</si>
  <si>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</si>
  <si>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</si>
  <si>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</si>
  <si>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</si>
  <si>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</si>
  <si>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</si>
  <si>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</si>
  <si>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</si>
  <si>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</si>
  <si>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</si>
  <si>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</si>
  <si>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</si>
  <si>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</si>
  <si>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</si>
  <si>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</si>
  <si>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</si>
  <si>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</si>
  <si>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</si>
  <si>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</si>
  <si>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</si>
  <si>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</si>
  <si>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</si>
  <si>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</si>
  <si>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</si>
  <si>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</si>
  <si>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</si>
  <si>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</si>
  <si>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</si>
  <si>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</si>
  <si>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</si>
  <si>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</si>
  <si>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</si>
  <si>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</si>
  <si>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</si>
  <si>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</si>
  <si>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</si>
  <si>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</si>
  <si>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</si>
  <si>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</si>
  <si>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</si>
  <si>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</si>
  <si>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</si>
  <si>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</si>
  <si>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</si>
  <si>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</si>
  <si>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</si>
  <si>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</si>
  <si>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</si>
  <si>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</si>
  <si>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</si>
  <si>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</si>
  <si>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</si>
  <si>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</si>
  <si>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</si>
  <si>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</si>
  <si>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</si>
  <si>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</si>
  <si>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</si>
  <si>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</si>
  <si>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</si>
  <si>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</si>
  <si>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</si>
  <si>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</si>
  <si>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</si>
  <si>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</si>
  <si>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</si>
  <si>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</si>
  <si>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</si>
  <si>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</si>
  <si>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</si>
  <si>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</si>
  <si>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</si>
  <si>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</si>
  <si>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</si>
  <si>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</si>
  <si>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</si>
  <si>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</si>
  <si>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</si>
  <si>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</si>
  <si>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</si>
  <si>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</si>
  <si>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</si>
  <si>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</si>
  <si>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</si>
  <si>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</si>
  <si>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</si>
  <si>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</si>
  <si>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</si>
  <si>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</si>
  <si>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</si>
  <si>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</si>
  <si>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</si>
  <si>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</si>
  <si>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</si>
  <si>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</si>
  <si>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</si>
  <si>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</si>
  <si>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</si>
  <si>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</si>
  <si>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</si>
  <si>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</si>
  <si>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</si>
  <si>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</si>
  <si>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</si>
  <si>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</si>
  <si>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</si>
  <si>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</si>
  <si>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</si>
  <si>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</si>
  <si>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</si>
  <si>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</si>
  <si>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</si>
  <si>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</si>
  <si>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</si>
  <si>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</si>
  <si>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</si>
  <si>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</si>
  <si>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</si>
  <si>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</si>
  <si>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</si>
  <si>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</si>
  <si>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</si>
  <si>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</si>
  <si>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</si>
  <si>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</si>
  <si>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</si>
  <si>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</si>
  <si>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</si>
  <si>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</si>
  <si>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</si>
  <si>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</si>
  <si>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</si>
  <si>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</si>
  <si>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</si>
  <si>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</si>
  <si>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</si>
  <si>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</si>
  <si>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</si>
  <si>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</si>
  <si>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</si>
  <si>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</si>
  <si>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</si>
  <si>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</si>
  <si>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</si>
  <si>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</si>
  <si>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</si>
  <si>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</si>
  <si>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</si>
  <si>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</si>
  <si>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</si>
  <si>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</si>
  <si>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</si>
  <si>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</si>
  <si>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</si>
  <si>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</si>
  <si>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</si>
  <si>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</si>
  <si>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</si>
  <si>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</si>
  <si>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</si>
  <si>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</si>
  <si>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</si>
  <si>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</si>
  <si>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</si>
  <si>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</si>
  <si>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</si>
  <si>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</si>
  <si>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</si>
  <si>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</si>
  <si>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</si>
  <si>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</si>
  <si>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</si>
  <si>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</si>
  <si>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</si>
  <si>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</si>
  <si>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</si>
  <si>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</si>
  <si>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</si>
  <si>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</si>
  <si>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</si>
  <si>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</si>
  <si>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</si>
  <si>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</si>
  <si>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</si>
  <si>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</si>
  <si>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</si>
  <si>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</si>
  <si>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</si>
  <si>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</si>
  <si>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</si>
  <si>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</si>
  <si>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</si>
  <si>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</si>
  <si>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</si>
  <si>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</si>
  <si>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</si>
  <si>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</si>
  <si>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</si>
  <si>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</si>
  <si>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</si>
  <si>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</si>
  <si>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</si>
  <si>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</si>
  <si>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</si>
  <si>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</si>
  <si>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</si>
  <si>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</si>
  <si>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</si>
  <si>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</si>
  <si>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</si>
  <si>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</si>
  <si>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</si>
  <si>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</si>
  <si>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</si>
  <si>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</si>
  <si>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</si>
  <si>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</si>
  <si>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</si>
  <si>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</si>
  <si>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</si>
  <si>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</si>
  <si>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</si>
  <si>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</si>
  <si>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</si>
  <si>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</si>
  <si>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</si>
  <si>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</si>
  <si>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</si>
  <si>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</si>
  <si>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</si>
  <si>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</si>
  <si>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</si>
  <si>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</si>
  <si>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</si>
  <si>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</si>
  <si>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</si>
  <si>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</si>
  <si>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</si>
  <si>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</si>
  <si>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</si>
  <si>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</si>
  <si>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</si>
  <si>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</si>
  <si>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</si>
  <si>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</si>
  <si>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</si>
  <si>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</si>
  <si>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</si>
  <si>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</si>
  <si>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</si>
  <si>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</si>
  <si>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</si>
  <si>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</si>
  <si>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</si>
  <si>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</si>
  <si>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</si>
  <si>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</si>
  <si>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</si>
  <si>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</si>
  <si>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</si>
  <si>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</si>
  <si>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</si>
  <si>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</si>
  <si>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</si>
  <si>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</si>
  <si>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</si>
  <si>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</si>
  <si>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</si>
  <si>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</si>
  <si>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</si>
  <si>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</si>
  <si>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</si>
  <si>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</si>
  <si>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</si>
  <si>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</si>
  <si>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</si>
  <si>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</si>
  <si>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</si>
  <si>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</si>
  <si>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</si>
  <si>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</si>
  <si>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</si>
  <si>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</si>
  <si>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</si>
  <si>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</si>
  <si>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</si>
  <si>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</si>
  <si>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</si>
  <si>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</si>
  <si>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</si>
  <si>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</si>
  <si>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</si>
  <si>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</si>
  <si>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</si>
  <si>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</si>
  <si>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</si>
  <si>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</si>
  <si>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</si>
  <si>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</si>
  <si>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</si>
  <si>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</si>
  <si>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</si>
  <si>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</si>
  <si>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</si>
  <si>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</si>
  <si>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</si>
  <si>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</si>
  <si>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</si>
  <si>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</si>
  <si>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</si>
  <si>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</si>
  <si>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</si>
  <si>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</si>
  <si>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</si>
  <si>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</si>
  <si>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</si>
  <si>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</si>
  <si>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</si>
  <si>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</si>
  <si>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</si>
  <si>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</si>
  <si>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</si>
  <si>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</si>
  <si>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</si>
  <si>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</si>
  <si>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</si>
  <si>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</si>
  <si>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</si>
  <si>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</si>
  <si>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</si>
  <si>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</si>
  <si>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</si>
  <si>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</si>
  <si>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</si>
  <si>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</si>
  <si>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</si>
  <si>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</si>
  <si>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</si>
  <si>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</si>
  <si>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</si>
  <si>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</si>
  <si>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</si>
  <si>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</si>
  <si>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</si>
  <si>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</si>
  <si>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</si>
  <si>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</si>
  <si>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</si>
  <si>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</si>
  <si>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</si>
  <si>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</si>
  <si>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</si>
  <si>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</si>
  <si>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</si>
  <si>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</si>
  <si>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</si>
  <si>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</si>
  <si>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</si>
  <si>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</si>
  <si>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</si>
  <si>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</si>
  <si>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</si>
  <si>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</si>
  <si>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</si>
  <si>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</si>
  <si>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</si>
  <si>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</si>
  <si>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</si>
  <si>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</si>
  <si>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</si>
  <si>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</si>
  <si>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</si>
  <si>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</si>
  <si>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</si>
  <si>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</si>
  <si>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</si>
  <si>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</si>
  <si>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</si>
  <si>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</si>
  <si>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</si>
  <si>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</si>
  <si>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</si>
  <si>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</si>
  <si>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</si>
  <si>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</si>
  <si>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</si>
  <si>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</si>
  <si>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</si>
  <si>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</si>
  <si>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</si>
  <si>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</si>
  <si>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</si>
  <si>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</si>
  <si>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</si>
  <si>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</si>
  <si>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</si>
  <si>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</si>
  <si>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</si>
  <si>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</si>
  <si>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</si>
  <si>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</si>
  <si>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</si>
  <si>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</si>
  <si>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</si>
  <si>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</si>
  <si>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</si>
  <si>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</si>
  <si>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</si>
  <si>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</si>
  <si>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</si>
  <si>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</si>
  <si>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</si>
  <si>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</si>
  <si>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</si>
  <si>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</si>
  <si>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</si>
  <si>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</si>
  <si>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</si>
  <si>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</si>
  <si>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</si>
  <si>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</si>
  <si>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</si>
  <si>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</si>
  <si>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</si>
  <si>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</si>
  <si>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</si>
  <si>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</si>
  <si>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</si>
  <si>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</si>
  <si>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</si>
  <si>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</si>
  <si>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</si>
  <si>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</si>
  <si>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</si>
  <si>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</si>
  <si>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</si>
  <si>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</si>
  <si>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</si>
  <si>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</si>
  <si>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</si>
  <si>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</si>
  <si>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</si>
  <si>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</si>
  <si>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</si>
  <si>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</si>
  <si>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</si>
  <si>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</si>
  <si>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</si>
  <si>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</si>
  <si>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</si>
  <si>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</si>
  <si>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</si>
  <si>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</si>
  <si>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</si>
  <si>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</si>
  <si>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</si>
  <si>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</si>
  <si>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</si>
  <si>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</si>
  <si>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</si>
  <si>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</si>
  <si>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</si>
  <si>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</si>
  <si>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</si>
  <si>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</si>
  <si>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</si>
  <si>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</si>
  <si>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</si>
  <si>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</si>
  <si>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</si>
  <si>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</si>
  <si>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</si>
  <si>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</si>
  <si>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</si>
  <si>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</si>
  <si>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</si>
  <si>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</si>
  <si>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</si>
  <si>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</si>
  <si>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</si>
  <si>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</si>
  <si>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</si>
  <si>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</si>
  <si>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</si>
  <si>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</si>
  <si>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</si>
  <si>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</si>
  <si>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</si>
  <si>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</si>
  <si>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</si>
  <si>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</si>
  <si>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</si>
  <si>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</si>
  <si>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</si>
  <si>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</si>
  <si>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</si>
  <si>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</si>
  <si>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</si>
  <si>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</si>
  <si>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</si>
  <si>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</si>
  <si>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</si>
  <si>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</si>
  <si>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</si>
  <si>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</si>
  <si>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</si>
  <si>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</si>
  <si>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</si>
  <si>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</si>
  <si>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</si>
  <si>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</si>
  <si>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</si>
  <si>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</si>
  <si>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</si>
  <si>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</si>
  <si>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</si>
  <si>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</si>
  <si>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</si>
  <si>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</si>
  <si>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</si>
  <si>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</si>
  <si>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</si>
  <si>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</si>
  <si>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</si>
  <si>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</si>
  <si>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</si>
  <si>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</si>
  <si>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</si>
  <si>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</si>
  <si>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</si>
  <si>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</si>
  <si>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</si>
  <si>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</si>
  <si>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</si>
  <si>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</si>
  <si>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</si>
  <si>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</si>
  <si>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</si>
  <si>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</si>
  <si>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</si>
  <si>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</si>
  <si>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</si>
  <si>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</si>
  <si>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</si>
  <si>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</si>
  <si>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</si>
  <si>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</si>
  <si>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</si>
  <si>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</si>
  <si>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</si>
  <si>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</si>
  <si>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</si>
  <si>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</si>
  <si>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</si>
  <si>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</si>
  <si>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</si>
  <si>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</si>
  <si>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</si>
  <si>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</si>
  <si>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</si>
  <si>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</si>
  <si>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</si>
  <si>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</si>
  <si>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</si>
  <si>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</si>
  <si>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</si>
  <si>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</si>
  <si>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</si>
  <si>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</si>
  <si>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</si>
  <si>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</si>
  <si>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</si>
  <si>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</si>
  <si>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</si>
  <si>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</si>
  <si>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</si>
  <si>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</si>
  <si>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</si>
  <si>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</si>
  <si>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</si>
  <si>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</si>
  <si>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</si>
  <si>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</si>
  <si>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</si>
  <si>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</si>
  <si>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</si>
  <si>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</si>
  <si>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</si>
  <si>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</si>
  <si>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</si>
  <si>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</si>
  <si>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</si>
  <si>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</si>
  <si>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</si>
  <si>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</si>
  <si>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</si>
  <si>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</si>
  <si>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</si>
  <si>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</si>
  <si>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</si>
  <si>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</si>
  <si>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</si>
  <si>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</si>
  <si>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</si>
  <si>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</si>
  <si>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</si>
  <si>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</si>
  <si>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</si>
  <si>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</si>
  <si>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</si>
  <si>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</si>
  <si>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</si>
  <si>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</si>
  <si>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</si>
  <si>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</si>
  <si>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</si>
  <si>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</si>
  <si>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</si>
  <si>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</si>
  <si>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</si>
  <si>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</si>
  <si>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</si>
  <si>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</si>
  <si>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</si>
  <si>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</si>
  <si>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</si>
  <si>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</si>
  <si>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</si>
  <si>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</si>
  <si>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</si>
  <si>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</si>
  <si>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</si>
  <si>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</si>
  <si>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</si>
  <si>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</si>
  <si>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</si>
  <si>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</si>
  <si>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</si>
  <si>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</si>
  <si>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</si>
  <si>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</si>
  <si>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</si>
  <si>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</si>
  <si>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</si>
  <si>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</si>
  <si>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</si>
  <si>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</si>
  <si>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</si>
  <si>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</si>
  <si>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</si>
  <si>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</si>
  <si>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</si>
  <si>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</si>
  <si>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</si>
  <si>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</si>
  <si>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</si>
  <si>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</si>
  <si>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</si>
  <si>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</si>
  <si>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</si>
  <si>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</si>
  <si>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</si>
  <si>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</si>
  <si>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</si>
  <si>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</si>
  <si>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</si>
  <si>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</si>
  <si>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</si>
  <si>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</si>
  <si>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</si>
  <si>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</si>
  <si>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</si>
  <si>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</si>
  <si>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</si>
  <si>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</si>
  <si>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</si>
  <si>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</si>
  <si>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</si>
  <si>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</si>
  <si>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</si>
  <si>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</si>
  <si>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</si>
  <si>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</si>
  <si>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</si>
  <si>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</si>
  <si>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</si>
  <si>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</si>
  <si>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</si>
  <si>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</si>
  <si>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</si>
  <si>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</si>
  <si>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</si>
  <si>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</si>
  <si>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</si>
  <si>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</si>
  <si>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</si>
  <si>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</si>
  <si>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</si>
  <si>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</si>
  <si>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</si>
  <si>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</si>
  <si>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</si>
  <si>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</si>
  <si>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</si>
  <si>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</si>
  <si>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</si>
  <si>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</si>
  <si>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</si>
  <si>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</si>
  <si>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</si>
  <si>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</si>
  <si>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</si>
  <si>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</si>
  <si>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</si>
  <si>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</si>
  <si>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</si>
  <si>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</si>
  <si>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</si>
  <si>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</si>
  <si>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</si>
  <si>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</si>
  <si>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</si>
  <si>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</si>
  <si>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</si>
  <si>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</si>
  <si>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</si>
  <si>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</si>
  <si>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</si>
  <si>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</si>
  <si>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</si>
  <si>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</si>
  <si>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</si>
  <si>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</si>
  <si>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</si>
  <si>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</si>
  <si>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</si>
  <si>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</si>
  <si>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</si>
  <si>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</si>
  <si>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</si>
  <si>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</si>
  <si>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</si>
  <si>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</si>
  <si>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</si>
  <si>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</si>
  <si>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</si>
  <si>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</si>
  <si>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</si>
  <si>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</si>
  <si>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</si>
  <si>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</si>
  <si>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</si>
  <si>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</si>
  <si>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</si>
  <si>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</si>
  <si>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</si>
  <si>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</si>
  <si>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</si>
  <si>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</si>
  <si>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</si>
  <si>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</si>
  <si>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</si>
  <si>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</si>
  <si>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</si>
  <si>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</si>
  <si>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</si>
  <si>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</si>
  <si>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</si>
  <si>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</si>
  <si>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</si>
  <si>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</si>
  <si>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</si>
  <si>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</si>
  <si>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</si>
  <si>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</si>
  <si>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</si>
  <si>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</si>
  <si>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</si>
  <si>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</si>
  <si>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</si>
  <si>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</si>
  <si>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</si>
  <si>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</si>
  <si>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</si>
  <si>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</si>
  <si>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</si>
  <si>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</si>
  <si>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</si>
  <si>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</si>
  <si>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</si>
  <si>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</si>
  <si>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</si>
  <si>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</si>
  <si>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</si>
  <si>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</si>
  <si>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</si>
  <si>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</si>
  <si>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</si>
  <si>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</si>
  <si>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</si>
  <si>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</si>
  <si>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</si>
  <si>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</si>
  <si>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</si>
  <si>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</si>
  <si>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</si>
  <si>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</si>
  <si>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</si>
  <si>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</si>
  <si>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</si>
  <si>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</si>
  <si>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</si>
  <si>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</si>
  <si>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</si>
  <si>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</si>
  <si>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</si>
  <si>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</si>
  <si>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</si>
  <si>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</si>
  <si>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</si>
  <si>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</si>
  <si>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</si>
  <si>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</si>
  <si>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</si>
  <si>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</si>
  <si>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</si>
  <si>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</si>
  <si>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</si>
  <si>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</si>
  <si>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</si>
  <si>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</si>
  <si>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</si>
  <si>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</si>
  <si>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</si>
  <si>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</si>
  <si>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</si>
  <si>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</si>
  <si>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</si>
  <si>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</si>
  <si>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</si>
  <si>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</si>
  <si>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</si>
  <si>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</si>
  <si>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</si>
  <si>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</si>
  <si>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</si>
  <si>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</si>
  <si>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</si>
  <si>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</si>
  <si>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</si>
  <si>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</si>
  <si>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</si>
  <si>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</si>
  <si>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</si>
  <si>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</si>
  <si>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</si>
  <si>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</si>
  <si>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</si>
  <si>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</si>
  <si>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23025</t>
  </si>
  <si>
    <t>GRIMBERGEN</t>
  </si>
  <si>
    <t>Paarden&amp;pony's 200 - 600 kg</t>
  </si>
  <si>
    <t>Paarden&amp;pony's &lt; 200 kg</t>
  </si>
  <si>
    <t>Fluvius</t>
  </si>
  <si>
    <t>referentietaak LNE (2017); Jaarverslag De Lijn</t>
  </si>
  <si>
    <t>Marc Depaepe</t>
  </si>
  <si>
    <t>Reinaardlaan 2 , 1850 Grimbergen</t>
  </si>
  <si>
    <t>WKK-0519 Marc Depaepe</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</si>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</sst>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23025</v>
      </c>
      <c r="B6" s="394"/>
      <c r="C6" s="395"/>
    </row>
    <row r="7" spans="1:7" s="392" customFormat="1" ht="15.75" customHeight="1">
      <c r="A7" s="396" t="str">
        <f>txtMunicipality</f>
        <v>GRIMBERGEN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80341.336789329216</v>
      </c>
      <c r="D10" s="684">
        <f ca="1">tertiair!C16</f>
        <v>0</v>
      </c>
      <c r="E10" s="684">
        <f ca="1">tertiair!D16</f>
        <v>69923.97909224921</v>
      </c>
      <c r="F10" s="684">
        <f>tertiair!E16</f>
        <v>514.2380719733344</v>
      </c>
      <c r="G10" s="684">
        <f ca="1">tertiair!F16</f>
        <v>13910.707714371372</v>
      </c>
      <c r="H10" s="684">
        <f>tertiair!G16</f>
        <v>0</v>
      </c>
      <c r="I10" s="684">
        <f>tertiair!H16</f>
        <v>0</v>
      </c>
      <c r="J10" s="684">
        <f>tertiair!I16</f>
        <v>0</v>
      </c>
      <c r="K10" s="684">
        <f>tertiair!J16</f>
        <v>0</v>
      </c>
      <c r="L10" s="684">
        <f>tertiair!K16</f>
        <v>0</v>
      </c>
      <c r="M10" s="684">
        <f ca="1">tertiair!L16</f>
        <v>0</v>
      </c>
      <c r="N10" s="684">
        <f>tertiair!M16</f>
        <v>0</v>
      </c>
      <c r="O10" s="684">
        <f ca="1">tertiair!N16</f>
        <v>5289.9371618013711</v>
      </c>
      <c r="P10" s="684">
        <f>tertiair!O16</f>
        <v>0</v>
      </c>
      <c r="Q10" s="685">
        <f>tertiair!P16</f>
        <v>38.133333333333333</v>
      </c>
      <c r="R10" s="687">
        <f ca="1">SUM(C10:Q10)</f>
        <v>170018.33216305787</v>
      </c>
      <c r="S10" s="68"/>
    </row>
    <row r="11" spans="1:19" s="453" customFormat="1">
      <c r="A11" s="799" t="s">
        <v>224</v>
      </c>
      <c r="B11" s="804"/>
      <c r="C11" s="684">
        <f>huishoudens!B8</f>
        <v>62809.577556773394</v>
      </c>
      <c r="D11" s="684">
        <f>huishoudens!C8</f>
        <v>0</v>
      </c>
      <c r="E11" s="684">
        <f>huishoudens!D8</f>
        <v>162464.47649719252</v>
      </c>
      <c r="F11" s="684">
        <f>huishoudens!E8</f>
        <v>6335.8162655549377</v>
      </c>
      <c r="G11" s="684">
        <f>huishoudens!F8</f>
        <v>42870.313497301526</v>
      </c>
      <c r="H11" s="684">
        <f>huishoudens!G8</f>
        <v>0</v>
      </c>
      <c r="I11" s="684">
        <f>huishoudens!H8</f>
        <v>0</v>
      </c>
      <c r="J11" s="684">
        <f>huishoudens!I8</f>
        <v>0</v>
      </c>
      <c r="K11" s="684">
        <f>huishoudens!J8</f>
        <v>0</v>
      </c>
      <c r="L11" s="684">
        <f>huishoudens!K8</f>
        <v>0</v>
      </c>
      <c r="M11" s="684">
        <f>huishoudens!L8</f>
        <v>0</v>
      </c>
      <c r="N11" s="684">
        <f>huishoudens!M8</f>
        <v>0</v>
      </c>
      <c r="O11" s="684">
        <f>huishoudens!N8</f>
        <v>9275.4872093163413</v>
      </c>
      <c r="P11" s="684">
        <f>huishoudens!O8</f>
        <v>131.32000000000002</v>
      </c>
      <c r="Q11" s="685">
        <f>huishoudens!P8</f>
        <v>362.26666666666665</v>
      </c>
      <c r="R11" s="687">
        <f>SUM(C11:Q11)</f>
        <v>284249.25769280537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26236.331746171676</v>
      </c>
      <c r="D13" s="684">
        <f>industrie!C18</f>
        <v>0</v>
      </c>
      <c r="E13" s="684">
        <f>industrie!D18</f>
        <v>44868.063693466822</v>
      </c>
      <c r="F13" s="684">
        <f>industrie!E18</f>
        <v>239.63844605214666</v>
      </c>
      <c r="G13" s="684">
        <f>industrie!F18</f>
        <v>5516.0137803207135</v>
      </c>
      <c r="H13" s="684">
        <f>industrie!G18</f>
        <v>0</v>
      </c>
      <c r="I13" s="684">
        <f>industrie!H18</f>
        <v>0</v>
      </c>
      <c r="J13" s="684">
        <f>industrie!I18</f>
        <v>0</v>
      </c>
      <c r="K13" s="684">
        <f>industrie!J18</f>
        <v>124.72356050981172</v>
      </c>
      <c r="L13" s="684">
        <f>industrie!K18</f>
        <v>0</v>
      </c>
      <c r="M13" s="684">
        <f>industrie!L18</f>
        <v>0</v>
      </c>
      <c r="N13" s="684">
        <f>industrie!M18</f>
        <v>0</v>
      </c>
      <c r="O13" s="684">
        <f>industrie!N18</f>
        <v>893.84209354069219</v>
      </c>
      <c r="P13" s="684">
        <f>industrie!O18</f>
        <v>0</v>
      </c>
      <c r="Q13" s="685">
        <f>industrie!P18</f>
        <v>0</v>
      </c>
      <c r="R13" s="687">
        <f>SUM(C13:Q13)</f>
        <v>77878.613320061864</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169387.24609227429</v>
      </c>
      <c r="D16" s="717">
        <f t="shared" ref="D16:R16" ca="1" si="0">SUM(D9:D15)</f>
        <v>0</v>
      </c>
      <c r="E16" s="717">
        <f t="shared" ca="1" si="0"/>
        <v>277256.51928290853</v>
      </c>
      <c r="F16" s="717">
        <f t="shared" si="0"/>
        <v>7089.692783580419</v>
      </c>
      <c r="G16" s="717">
        <f t="shared" ca="1" si="0"/>
        <v>62297.034991993605</v>
      </c>
      <c r="H16" s="717">
        <f t="shared" si="0"/>
        <v>0</v>
      </c>
      <c r="I16" s="717">
        <f t="shared" si="0"/>
        <v>0</v>
      </c>
      <c r="J16" s="717">
        <f t="shared" si="0"/>
        <v>0</v>
      </c>
      <c r="K16" s="717">
        <f t="shared" si="0"/>
        <v>124.72356050981172</v>
      </c>
      <c r="L16" s="717">
        <f t="shared" si="0"/>
        <v>0</v>
      </c>
      <c r="M16" s="717">
        <f t="shared" ca="1" si="0"/>
        <v>0</v>
      </c>
      <c r="N16" s="717">
        <f t="shared" si="0"/>
        <v>0</v>
      </c>
      <c r="O16" s="717">
        <f t="shared" ca="1" si="0"/>
        <v>15459.266464658403</v>
      </c>
      <c r="P16" s="717">
        <f t="shared" si="0"/>
        <v>131.32000000000002</v>
      </c>
      <c r="Q16" s="717">
        <f t="shared" si="0"/>
        <v>400.4</v>
      </c>
      <c r="R16" s="717">
        <f t="shared" ca="1" si="0"/>
        <v>532146.20317592507</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4851.0672018971864</v>
      </c>
      <c r="I19" s="684">
        <f>transport!H54</f>
        <v>0</v>
      </c>
      <c r="J19" s="684">
        <f>transport!I54</f>
        <v>0</v>
      </c>
      <c r="K19" s="684">
        <f>transport!J54</f>
        <v>0</v>
      </c>
      <c r="L19" s="684">
        <f>transport!K54</f>
        <v>0</v>
      </c>
      <c r="M19" s="684">
        <f>transport!L54</f>
        <v>0</v>
      </c>
      <c r="N19" s="684">
        <f>transport!M54</f>
        <v>212.84623944125877</v>
      </c>
      <c r="O19" s="684">
        <f>transport!N54</f>
        <v>0</v>
      </c>
      <c r="P19" s="684">
        <f>transport!O54</f>
        <v>0</v>
      </c>
      <c r="Q19" s="685">
        <f>transport!P54</f>
        <v>0</v>
      </c>
      <c r="R19" s="687">
        <f>SUM(C19:Q19)</f>
        <v>5063.9134413384454</v>
      </c>
      <c r="S19" s="68"/>
    </row>
    <row r="20" spans="1:19" s="453" customFormat="1">
      <c r="A20" s="799" t="s">
        <v>306</v>
      </c>
      <c r="B20" s="804"/>
      <c r="C20" s="684">
        <f>transport!B14</f>
        <v>8.7042342450787693</v>
      </c>
      <c r="D20" s="684">
        <f>transport!C14</f>
        <v>0</v>
      </c>
      <c r="E20" s="684">
        <f>transport!D14</f>
        <v>19.456464349948867</v>
      </c>
      <c r="F20" s="684">
        <f>transport!E14</f>
        <v>1425.6109582800359</v>
      </c>
      <c r="G20" s="684">
        <f>transport!F14</f>
        <v>0</v>
      </c>
      <c r="H20" s="684">
        <f>transport!G14</f>
        <v>309366.93845099839</v>
      </c>
      <c r="I20" s="684">
        <f>transport!H14</f>
        <v>51186.95177144021</v>
      </c>
      <c r="J20" s="684">
        <f>transport!I14</f>
        <v>0</v>
      </c>
      <c r="K20" s="684">
        <f>transport!J14</f>
        <v>0</v>
      </c>
      <c r="L20" s="684">
        <f>transport!K14</f>
        <v>0</v>
      </c>
      <c r="M20" s="684">
        <f>transport!L14</f>
        <v>0</v>
      </c>
      <c r="N20" s="684">
        <f>transport!M14</f>
        <v>16110.125014067557</v>
      </c>
      <c r="O20" s="684">
        <f>transport!N14</f>
        <v>0</v>
      </c>
      <c r="P20" s="684">
        <f>transport!O14</f>
        <v>0</v>
      </c>
      <c r="Q20" s="685">
        <f>transport!P14</f>
        <v>0</v>
      </c>
      <c r="R20" s="687">
        <f>SUM(C20:Q20)</f>
        <v>378117.78689338127</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8.7042342450787693</v>
      </c>
      <c r="D22" s="802">
        <f t="shared" ref="D22:R22" si="1">SUM(D18:D21)</f>
        <v>0</v>
      </c>
      <c r="E22" s="802">
        <f t="shared" si="1"/>
        <v>19.456464349948867</v>
      </c>
      <c r="F22" s="802">
        <f t="shared" si="1"/>
        <v>1425.6109582800359</v>
      </c>
      <c r="G22" s="802">
        <f t="shared" si="1"/>
        <v>0</v>
      </c>
      <c r="H22" s="802">
        <f t="shared" si="1"/>
        <v>314218.0056528956</v>
      </c>
      <c r="I22" s="802">
        <f t="shared" si="1"/>
        <v>51186.95177144021</v>
      </c>
      <c r="J22" s="802">
        <f t="shared" si="1"/>
        <v>0</v>
      </c>
      <c r="K22" s="802">
        <f t="shared" si="1"/>
        <v>0</v>
      </c>
      <c r="L22" s="802">
        <f t="shared" si="1"/>
        <v>0</v>
      </c>
      <c r="M22" s="802">
        <f t="shared" si="1"/>
        <v>0</v>
      </c>
      <c r="N22" s="802">
        <f t="shared" si="1"/>
        <v>16322.971253508815</v>
      </c>
      <c r="O22" s="802">
        <f t="shared" si="1"/>
        <v>0</v>
      </c>
      <c r="P22" s="802">
        <f t="shared" si="1"/>
        <v>0</v>
      </c>
      <c r="Q22" s="802">
        <f t="shared" si="1"/>
        <v>0</v>
      </c>
      <c r="R22" s="802">
        <f t="shared" si="1"/>
        <v>383181.70033471973</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523.65682833972789</v>
      </c>
      <c r="D24" s="684">
        <f>+landbouw!C8</f>
        <v>22.5</v>
      </c>
      <c r="E24" s="684">
        <f>+landbouw!D8</f>
        <v>59.580621101413954</v>
      </c>
      <c r="F24" s="684">
        <f>+landbouw!E8</f>
        <v>4.9331981845445707</v>
      </c>
      <c r="G24" s="684">
        <f>+landbouw!F8</f>
        <v>1708.8660173113662</v>
      </c>
      <c r="H24" s="684">
        <f>+landbouw!G8</f>
        <v>0</v>
      </c>
      <c r="I24" s="684">
        <f>+landbouw!H8</f>
        <v>0</v>
      </c>
      <c r="J24" s="684">
        <f>+landbouw!I8</f>
        <v>0</v>
      </c>
      <c r="K24" s="684">
        <f>+landbouw!J8</f>
        <v>64.778896731948123</v>
      </c>
      <c r="L24" s="684">
        <f>+landbouw!K8</f>
        <v>0</v>
      </c>
      <c r="M24" s="684">
        <f>+landbouw!L8</f>
        <v>0</v>
      </c>
      <c r="N24" s="684">
        <f>+landbouw!M8</f>
        <v>0</v>
      </c>
      <c r="O24" s="684">
        <f>+landbouw!N8</f>
        <v>0</v>
      </c>
      <c r="P24" s="684">
        <f>+landbouw!O8</f>
        <v>0</v>
      </c>
      <c r="Q24" s="685">
        <f>+landbouw!P8</f>
        <v>0</v>
      </c>
      <c r="R24" s="687">
        <f>SUM(C24:Q24)</f>
        <v>2384.3155616690005</v>
      </c>
      <c r="S24" s="68"/>
    </row>
    <row r="25" spans="1:19" s="453" customFormat="1" ht="15" thickBot="1">
      <c r="A25" s="821" t="s">
        <v>896</v>
      </c>
      <c r="B25" s="990"/>
      <c r="C25" s="991">
        <f>IF(Onbekend_ele_kWh="---",0,Onbekend_ele_kWh)/1000+IF(REST_rest_ele_kWh="---",0,REST_rest_ele_kWh)/1000</f>
        <v>2310.4299017698299</v>
      </c>
      <c r="D25" s="991"/>
      <c r="E25" s="991">
        <f>IF(onbekend_gas_kWh="---",0,onbekend_gas_kWh)/1000+IF(REST_rest_gas_kWh="---",0,REST_rest_gas_kWh)/1000</f>
        <v>8854.4662004263191</v>
      </c>
      <c r="F25" s="991"/>
      <c r="G25" s="991"/>
      <c r="H25" s="991"/>
      <c r="I25" s="991"/>
      <c r="J25" s="991"/>
      <c r="K25" s="991"/>
      <c r="L25" s="991"/>
      <c r="M25" s="991"/>
      <c r="N25" s="991"/>
      <c r="O25" s="991"/>
      <c r="P25" s="991"/>
      <c r="Q25" s="992"/>
      <c r="R25" s="687">
        <f>SUM(C25:Q25)</f>
        <v>11164.89610219615</v>
      </c>
      <c r="S25" s="68"/>
    </row>
    <row r="26" spans="1:19" s="453" customFormat="1" ht="15.75" thickBot="1">
      <c r="A26" s="690" t="s">
        <v>897</v>
      </c>
      <c r="B26" s="807"/>
      <c r="C26" s="802">
        <f>SUM(C24:C25)</f>
        <v>2834.0867301095577</v>
      </c>
      <c r="D26" s="802">
        <f t="shared" ref="D26:R26" si="2">SUM(D24:D25)</f>
        <v>22.5</v>
      </c>
      <c r="E26" s="802">
        <f t="shared" si="2"/>
        <v>8914.0468215277324</v>
      </c>
      <c r="F26" s="802">
        <f t="shared" si="2"/>
        <v>4.9331981845445707</v>
      </c>
      <c r="G26" s="802">
        <f t="shared" si="2"/>
        <v>1708.8660173113662</v>
      </c>
      <c r="H26" s="802">
        <f t="shared" si="2"/>
        <v>0</v>
      </c>
      <c r="I26" s="802">
        <f t="shared" si="2"/>
        <v>0</v>
      </c>
      <c r="J26" s="802">
        <f t="shared" si="2"/>
        <v>0</v>
      </c>
      <c r="K26" s="802">
        <f t="shared" si="2"/>
        <v>64.778896731948123</v>
      </c>
      <c r="L26" s="802">
        <f t="shared" si="2"/>
        <v>0</v>
      </c>
      <c r="M26" s="802">
        <f t="shared" si="2"/>
        <v>0</v>
      </c>
      <c r="N26" s="802">
        <f t="shared" si="2"/>
        <v>0</v>
      </c>
      <c r="O26" s="802">
        <f t="shared" si="2"/>
        <v>0</v>
      </c>
      <c r="P26" s="802">
        <f t="shared" si="2"/>
        <v>0</v>
      </c>
      <c r="Q26" s="802">
        <f t="shared" si="2"/>
        <v>0</v>
      </c>
      <c r="R26" s="802">
        <f t="shared" si="2"/>
        <v>13549.21166386515</v>
      </c>
      <c r="S26" s="68"/>
    </row>
    <row r="27" spans="1:19" s="453" customFormat="1" ht="17.25" thickTop="1" thickBot="1">
      <c r="A27" s="691" t="s">
        <v>115</v>
      </c>
      <c r="B27" s="794"/>
      <c r="C27" s="692">
        <f ca="1">C22+C16+C26</f>
        <v>172230.03705662893</v>
      </c>
      <c r="D27" s="692">
        <f t="shared" ref="D27:R27" ca="1" si="3">D22+D16+D26</f>
        <v>22.5</v>
      </c>
      <c r="E27" s="692">
        <f t="shared" ca="1" si="3"/>
        <v>286190.02256878617</v>
      </c>
      <c r="F27" s="692">
        <f t="shared" si="3"/>
        <v>8520.2369400449988</v>
      </c>
      <c r="G27" s="692">
        <f t="shared" ca="1" si="3"/>
        <v>64005.901009304973</v>
      </c>
      <c r="H27" s="692">
        <f t="shared" si="3"/>
        <v>314218.0056528956</v>
      </c>
      <c r="I27" s="692">
        <f t="shared" si="3"/>
        <v>51186.95177144021</v>
      </c>
      <c r="J27" s="692">
        <f t="shared" si="3"/>
        <v>0</v>
      </c>
      <c r="K27" s="692">
        <f t="shared" si="3"/>
        <v>189.50245724175983</v>
      </c>
      <c r="L27" s="692">
        <f t="shared" si="3"/>
        <v>0</v>
      </c>
      <c r="M27" s="692">
        <f t="shared" ca="1" si="3"/>
        <v>0</v>
      </c>
      <c r="N27" s="692">
        <f t="shared" si="3"/>
        <v>16322.971253508815</v>
      </c>
      <c r="O27" s="692">
        <f t="shared" ca="1" si="3"/>
        <v>15459.266464658403</v>
      </c>
      <c r="P27" s="692">
        <f t="shared" si="3"/>
        <v>131.32000000000002</v>
      </c>
      <c r="Q27" s="692">
        <f t="shared" si="3"/>
        <v>400.4</v>
      </c>
      <c r="R27" s="692">
        <f t="shared" ca="1" si="3"/>
        <v>928877.11517450993</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17094.789702845883</v>
      </c>
      <c r="D40" s="684">
        <f ca="1">tertiair!C20</f>
        <v>0</v>
      </c>
      <c r="E40" s="684">
        <f ca="1">tertiair!D20</f>
        <v>14124.643776634341</v>
      </c>
      <c r="F40" s="684">
        <f>tertiair!E20</f>
        <v>116.73204233794691</v>
      </c>
      <c r="G40" s="684">
        <f ca="1">tertiair!F20</f>
        <v>3714.1589597371567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35050.324481555326</v>
      </c>
    </row>
    <row r="41" spans="1:18">
      <c r="A41" s="812" t="s">
        <v>224</v>
      </c>
      <c r="B41" s="819"/>
      <c r="C41" s="684">
        <f ca="1">huishoudens!B12</f>
        <v>13364.434331894743</v>
      </c>
      <c r="D41" s="684">
        <f ca="1">huishoudens!C12</f>
        <v>0</v>
      </c>
      <c r="E41" s="684">
        <f>huishoudens!D12</f>
        <v>32817.824252432889</v>
      </c>
      <c r="F41" s="684">
        <f>huishoudens!E12</f>
        <v>1438.2302922809708</v>
      </c>
      <c r="G41" s="684">
        <f>huishoudens!F12</f>
        <v>11446.373703779507</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59066.862580388108</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5582.4883142157723</v>
      </c>
      <c r="D43" s="684">
        <f ca="1">industrie!C22</f>
        <v>0</v>
      </c>
      <c r="E43" s="684">
        <f>industrie!D22</f>
        <v>9063.3488660802977</v>
      </c>
      <c r="F43" s="684">
        <f>industrie!E22</f>
        <v>54.397927253837295</v>
      </c>
      <c r="G43" s="684">
        <f>industrie!F22</f>
        <v>1472.7756793456306</v>
      </c>
      <c r="H43" s="684">
        <f>industrie!G22</f>
        <v>0</v>
      </c>
      <c r="I43" s="684">
        <f>industrie!H22</f>
        <v>0</v>
      </c>
      <c r="J43" s="684">
        <f>industrie!I22</f>
        <v>0</v>
      </c>
      <c r="K43" s="684">
        <f>industrie!J22</f>
        <v>44.152140420473344</v>
      </c>
      <c r="L43" s="684">
        <f>industrie!K22</f>
        <v>0</v>
      </c>
      <c r="M43" s="684">
        <f>industrie!L22</f>
        <v>0</v>
      </c>
      <c r="N43" s="684">
        <f>industrie!M22</f>
        <v>0</v>
      </c>
      <c r="O43" s="684">
        <f>industrie!N22</f>
        <v>0</v>
      </c>
      <c r="P43" s="684">
        <f>industrie!O22</f>
        <v>0</v>
      </c>
      <c r="Q43" s="759">
        <f>industrie!P22</f>
        <v>0</v>
      </c>
      <c r="R43" s="839">
        <f t="shared" ca="1" si="4"/>
        <v>16217.162927316012</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36041.712348956396</v>
      </c>
      <c r="D46" s="717">
        <f t="shared" ref="D46:Q46" ca="1" si="5">SUM(D39:D45)</f>
        <v>0</v>
      </c>
      <c r="E46" s="717">
        <f t="shared" ca="1" si="5"/>
        <v>56005.816895147524</v>
      </c>
      <c r="F46" s="717">
        <f t="shared" si="5"/>
        <v>1609.360261872755</v>
      </c>
      <c r="G46" s="717">
        <f t="shared" ca="1" si="5"/>
        <v>16633.308342862296</v>
      </c>
      <c r="H46" s="717">
        <f t="shared" si="5"/>
        <v>0</v>
      </c>
      <c r="I46" s="717">
        <f t="shared" si="5"/>
        <v>0</v>
      </c>
      <c r="J46" s="717">
        <f t="shared" si="5"/>
        <v>0</v>
      </c>
      <c r="K46" s="717">
        <f t="shared" si="5"/>
        <v>44.152140420473344</v>
      </c>
      <c r="L46" s="717">
        <f t="shared" si="5"/>
        <v>0</v>
      </c>
      <c r="M46" s="717">
        <f t="shared" ca="1" si="5"/>
        <v>0</v>
      </c>
      <c r="N46" s="717">
        <f t="shared" si="5"/>
        <v>0</v>
      </c>
      <c r="O46" s="717">
        <f t="shared" ca="1" si="5"/>
        <v>0</v>
      </c>
      <c r="P46" s="717">
        <f t="shared" si="5"/>
        <v>0</v>
      </c>
      <c r="Q46" s="717">
        <f t="shared" si="5"/>
        <v>0</v>
      </c>
      <c r="R46" s="717">
        <f ca="1">SUM(R39:R45)</f>
        <v>110334.34998925944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1295.2349429065489</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1295.2349429065489</v>
      </c>
    </row>
    <row r="50" spans="1:18">
      <c r="A50" s="815" t="s">
        <v>306</v>
      </c>
      <c r="B50" s="825"/>
      <c r="C50" s="997">
        <f ca="1">transport!B18</f>
        <v>1.8520609674955519</v>
      </c>
      <c r="D50" s="997">
        <f>transport!C18</f>
        <v>0</v>
      </c>
      <c r="E50" s="997">
        <f>transport!D18</f>
        <v>3.9302057986896712</v>
      </c>
      <c r="F50" s="997">
        <f>transport!E18</f>
        <v>323.61368752956815</v>
      </c>
      <c r="G50" s="997">
        <f>transport!F18</f>
        <v>0</v>
      </c>
      <c r="H50" s="997">
        <f>transport!G18</f>
        <v>82600.972566416574</v>
      </c>
      <c r="I50" s="997">
        <f>transport!H18</f>
        <v>12745.550991088612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95675.919511800952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1.8520609674955519</v>
      </c>
      <c r="D52" s="717">
        <f t="shared" ref="D52:Q52" ca="1" si="6">SUM(D48:D51)</f>
        <v>0</v>
      </c>
      <c r="E52" s="717">
        <f t="shared" si="6"/>
        <v>3.9302057986896712</v>
      </c>
      <c r="F52" s="717">
        <f t="shared" si="6"/>
        <v>323.61368752956815</v>
      </c>
      <c r="G52" s="717">
        <f t="shared" si="6"/>
        <v>0</v>
      </c>
      <c r="H52" s="717">
        <f t="shared" si="6"/>
        <v>83896.207509323125</v>
      </c>
      <c r="I52" s="717">
        <f t="shared" si="6"/>
        <v>12745.550991088612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96971.154454707503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111.42213603440906</v>
      </c>
      <c r="D54" s="997">
        <f ca="1">+landbouw!C12</f>
        <v>5.0500000000000007</v>
      </c>
      <c r="E54" s="997">
        <f>+landbouw!D12</f>
        <v>12.03528546248562</v>
      </c>
      <c r="F54" s="997">
        <f>+landbouw!E12</f>
        <v>1.1198359878916175</v>
      </c>
      <c r="G54" s="997">
        <f>+landbouw!F12</f>
        <v>456.26722662213484</v>
      </c>
      <c r="H54" s="997">
        <f>+landbouw!G12</f>
        <v>0</v>
      </c>
      <c r="I54" s="997">
        <f>+landbouw!H12</f>
        <v>0</v>
      </c>
      <c r="J54" s="997">
        <f>+landbouw!I12</f>
        <v>0</v>
      </c>
      <c r="K54" s="997">
        <f>+landbouw!J12</f>
        <v>22.931729443109635</v>
      </c>
      <c r="L54" s="997">
        <f>+landbouw!K12</f>
        <v>0</v>
      </c>
      <c r="M54" s="997">
        <f>+landbouw!L12</f>
        <v>0</v>
      </c>
      <c r="N54" s="997">
        <f>+landbouw!M12</f>
        <v>0</v>
      </c>
      <c r="O54" s="997">
        <f>+landbouw!N12</f>
        <v>0</v>
      </c>
      <c r="P54" s="997">
        <f>+landbouw!O12</f>
        <v>0</v>
      </c>
      <c r="Q54" s="998">
        <f>+landbouw!P12</f>
        <v>0</v>
      </c>
      <c r="R54" s="716">
        <f ca="1">SUM(C54:Q54)</f>
        <v>608.82621355003073</v>
      </c>
    </row>
    <row r="55" spans="1:18" ht="15" thickBot="1">
      <c r="A55" s="815" t="s">
        <v>896</v>
      </c>
      <c r="B55" s="825"/>
      <c r="C55" s="997">
        <f ca="1">C25*'EF ele_warmte'!B12</f>
        <v>491.60637440585799</v>
      </c>
      <c r="D55" s="997"/>
      <c r="E55" s="997">
        <f>E25*EF_CO2_aardgas</f>
        <v>1788.6021724861166</v>
      </c>
      <c r="F55" s="997"/>
      <c r="G55" s="997"/>
      <c r="H55" s="997"/>
      <c r="I55" s="997"/>
      <c r="J55" s="997"/>
      <c r="K55" s="997"/>
      <c r="L55" s="997"/>
      <c r="M55" s="997"/>
      <c r="N55" s="997"/>
      <c r="O55" s="997"/>
      <c r="P55" s="997"/>
      <c r="Q55" s="998"/>
      <c r="R55" s="716">
        <f ca="1">SUM(C55:Q55)</f>
        <v>2280.2085468919745</v>
      </c>
    </row>
    <row r="56" spans="1:18" ht="15.75" thickBot="1">
      <c r="A56" s="813" t="s">
        <v>897</v>
      </c>
      <c r="B56" s="826"/>
      <c r="C56" s="717">
        <f ca="1">SUM(C54:C55)</f>
        <v>603.02851044026704</v>
      </c>
      <c r="D56" s="717">
        <f t="shared" ref="D56:Q56" ca="1" si="7">SUM(D54:D55)</f>
        <v>5.0500000000000007</v>
      </c>
      <c r="E56" s="717">
        <f t="shared" si="7"/>
        <v>1800.6374579486023</v>
      </c>
      <c r="F56" s="717">
        <f t="shared" si="7"/>
        <v>1.1198359878916175</v>
      </c>
      <c r="G56" s="717">
        <f t="shared" si="7"/>
        <v>456.26722662213484</v>
      </c>
      <c r="H56" s="717">
        <f t="shared" si="7"/>
        <v>0</v>
      </c>
      <c r="I56" s="717">
        <f t="shared" si="7"/>
        <v>0</v>
      </c>
      <c r="J56" s="717">
        <f t="shared" si="7"/>
        <v>0</v>
      </c>
      <c r="K56" s="717">
        <f t="shared" si="7"/>
        <v>22.931729443109635</v>
      </c>
      <c r="L56" s="717">
        <f t="shared" si="7"/>
        <v>0</v>
      </c>
      <c r="M56" s="717">
        <f t="shared" si="7"/>
        <v>0</v>
      </c>
      <c r="N56" s="717">
        <f t="shared" si="7"/>
        <v>0</v>
      </c>
      <c r="O56" s="717">
        <f t="shared" si="7"/>
        <v>0</v>
      </c>
      <c r="P56" s="717">
        <f t="shared" si="7"/>
        <v>0</v>
      </c>
      <c r="Q56" s="718">
        <f t="shared" si="7"/>
        <v>0</v>
      </c>
      <c r="R56" s="719">
        <f ca="1">SUM(R54:R55)</f>
        <v>2889.0347604420053</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36646.592920364157</v>
      </c>
      <c r="D61" s="725">
        <f t="shared" ref="D61:Q61" ca="1" si="8">D46+D52+D56</f>
        <v>5.0500000000000007</v>
      </c>
      <c r="E61" s="725">
        <f t="shared" ca="1" si="8"/>
        <v>57810.38455889481</v>
      </c>
      <c r="F61" s="725">
        <f t="shared" si="8"/>
        <v>1934.0937853902146</v>
      </c>
      <c r="G61" s="725">
        <f t="shared" ca="1" si="8"/>
        <v>17089.57556948443</v>
      </c>
      <c r="H61" s="725">
        <f t="shared" si="8"/>
        <v>83896.207509323125</v>
      </c>
      <c r="I61" s="725">
        <f t="shared" si="8"/>
        <v>12745.550991088612</v>
      </c>
      <c r="J61" s="725">
        <f t="shared" si="8"/>
        <v>0</v>
      </c>
      <c r="K61" s="725">
        <f t="shared" si="8"/>
        <v>67.083869863582976</v>
      </c>
      <c r="L61" s="725">
        <f t="shared" si="8"/>
        <v>0</v>
      </c>
      <c r="M61" s="725">
        <f t="shared" ca="1" si="8"/>
        <v>0</v>
      </c>
      <c r="N61" s="725">
        <f t="shared" si="8"/>
        <v>0</v>
      </c>
      <c r="O61" s="725">
        <f t="shared" ca="1" si="8"/>
        <v>0</v>
      </c>
      <c r="P61" s="725">
        <f t="shared" si="8"/>
        <v>0</v>
      </c>
      <c r="Q61" s="725">
        <f t="shared" si="8"/>
        <v>0</v>
      </c>
      <c r="R61" s="725">
        <f ca="1">R46+R52+R56</f>
        <v>210194.53920440897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0.21277701350267272</v>
      </c>
      <c r="D63" s="769">
        <f t="shared" ca="1" si="9"/>
        <v>0.22444444444444447</v>
      </c>
      <c r="E63" s="999">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6408.4197699132883</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4.5</v>
      </c>
      <c r="D76" s="1009">
        <f>'lokale energieproductie'!C8</f>
        <v>5</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1.01</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6408.4197699132883</v>
      </c>
      <c r="C78" s="740">
        <f>SUM(C72:C77)</f>
        <v>4.5</v>
      </c>
      <c r="D78" s="741">
        <f t="shared" ref="D78:H78" si="10">SUM(D76:D77)</f>
        <v>5</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1.01</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22.5</v>
      </c>
      <c r="D87" s="762">
        <f>'lokale energieproductie'!C17</f>
        <v>25</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5.0500000000000007</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22.5</v>
      </c>
      <c r="D90" s="740">
        <f t="shared" ref="D90:H90" si="12">SUM(D87:D89)</f>
        <v>25</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5.0500000000000007</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62809.577556773394</v>
      </c>
      <c r="C4" s="457">
        <f>huishoudens!C8</f>
        <v>0</v>
      </c>
      <c r="D4" s="457">
        <f>huishoudens!D8</f>
        <v>162464.47649719252</v>
      </c>
      <c r="E4" s="457">
        <f>huishoudens!E8</f>
        <v>6335.8162655549377</v>
      </c>
      <c r="F4" s="457">
        <f>huishoudens!F8</f>
        <v>42870.313497301526</v>
      </c>
      <c r="G4" s="457">
        <f>huishoudens!G8</f>
        <v>0</v>
      </c>
      <c r="H4" s="457">
        <f>huishoudens!H8</f>
        <v>0</v>
      </c>
      <c r="I4" s="457">
        <f>huishoudens!I8</f>
        <v>0</v>
      </c>
      <c r="J4" s="457">
        <f>huishoudens!J8</f>
        <v>0</v>
      </c>
      <c r="K4" s="457">
        <f>huishoudens!K8</f>
        <v>0</v>
      </c>
      <c r="L4" s="457">
        <f>huishoudens!L8</f>
        <v>0</v>
      </c>
      <c r="M4" s="457">
        <f>huishoudens!M8</f>
        <v>0</v>
      </c>
      <c r="N4" s="457">
        <f>huishoudens!N8</f>
        <v>9275.4872093163413</v>
      </c>
      <c r="O4" s="457">
        <f>huishoudens!O8</f>
        <v>131.32000000000002</v>
      </c>
      <c r="P4" s="458">
        <f>huishoudens!P8</f>
        <v>362.26666666666665</v>
      </c>
      <c r="Q4" s="459">
        <f>SUM(B4:P4)</f>
        <v>284249.25769280537</v>
      </c>
    </row>
    <row r="5" spans="1:17">
      <c r="A5" s="456" t="s">
        <v>155</v>
      </c>
      <c r="B5" s="457">
        <f ca="1">tertiair!B16</f>
        <v>76931.232789329209</v>
      </c>
      <c r="C5" s="457">
        <f ca="1">tertiair!C16</f>
        <v>0</v>
      </c>
      <c r="D5" s="457">
        <f ca="1">tertiair!D16</f>
        <v>69923.97909224921</v>
      </c>
      <c r="E5" s="457">
        <f>tertiair!E16</f>
        <v>514.2380719733344</v>
      </c>
      <c r="F5" s="457">
        <f ca="1">tertiair!F16</f>
        <v>13910.707714371372</v>
      </c>
      <c r="G5" s="457">
        <f>tertiair!G16</f>
        <v>0</v>
      </c>
      <c r="H5" s="457">
        <f>tertiair!H16</f>
        <v>0</v>
      </c>
      <c r="I5" s="457">
        <f>tertiair!I16</f>
        <v>0</v>
      </c>
      <c r="J5" s="457">
        <f>tertiair!J16</f>
        <v>0</v>
      </c>
      <c r="K5" s="457">
        <f>tertiair!K16</f>
        <v>0</v>
      </c>
      <c r="L5" s="457">
        <f ca="1">tertiair!L16</f>
        <v>0</v>
      </c>
      <c r="M5" s="457">
        <f>tertiair!M16</f>
        <v>0</v>
      </c>
      <c r="N5" s="457">
        <f ca="1">tertiair!N16</f>
        <v>5289.9371618013711</v>
      </c>
      <c r="O5" s="457">
        <f>tertiair!O16</f>
        <v>0</v>
      </c>
      <c r="P5" s="458">
        <f>tertiair!P16</f>
        <v>38.133333333333333</v>
      </c>
      <c r="Q5" s="456">
        <f t="shared" ref="Q5:Q14" ca="1" si="0">SUM(B5:P5)</f>
        <v>166608.22816305788</v>
      </c>
    </row>
    <row r="6" spans="1:17">
      <c r="A6" s="456" t="s">
        <v>193</v>
      </c>
      <c r="B6" s="457">
        <f>'openbare verlichting'!B8</f>
        <v>3410.1039999999998</v>
      </c>
      <c r="C6" s="457"/>
      <c r="D6" s="457"/>
      <c r="E6" s="457"/>
      <c r="F6" s="457"/>
      <c r="G6" s="457"/>
      <c r="H6" s="457"/>
      <c r="I6" s="457"/>
      <c r="J6" s="457"/>
      <c r="K6" s="457"/>
      <c r="L6" s="457"/>
      <c r="M6" s="457"/>
      <c r="N6" s="457"/>
      <c r="O6" s="457"/>
      <c r="P6" s="458"/>
      <c r="Q6" s="456">
        <f t="shared" si="0"/>
        <v>3410.1039999999998</v>
      </c>
    </row>
    <row r="7" spans="1:17">
      <c r="A7" s="456" t="s">
        <v>111</v>
      </c>
      <c r="B7" s="457">
        <f>landbouw!B8</f>
        <v>523.65682833972789</v>
      </c>
      <c r="C7" s="457">
        <f>landbouw!C8</f>
        <v>22.5</v>
      </c>
      <c r="D7" s="457">
        <f>landbouw!D8</f>
        <v>59.580621101413954</v>
      </c>
      <c r="E7" s="457">
        <f>landbouw!E8</f>
        <v>4.9331981845445707</v>
      </c>
      <c r="F7" s="457">
        <f>landbouw!F8</f>
        <v>1708.8660173113662</v>
      </c>
      <c r="G7" s="457">
        <f>landbouw!G8</f>
        <v>0</v>
      </c>
      <c r="H7" s="457">
        <f>landbouw!H8</f>
        <v>0</v>
      </c>
      <c r="I7" s="457">
        <f>landbouw!I8</f>
        <v>0</v>
      </c>
      <c r="J7" s="457">
        <f>landbouw!J8</f>
        <v>64.778896731948123</v>
      </c>
      <c r="K7" s="457">
        <f>landbouw!K8</f>
        <v>0</v>
      </c>
      <c r="L7" s="457">
        <f>landbouw!L8</f>
        <v>0</v>
      </c>
      <c r="M7" s="457">
        <f>landbouw!M8</f>
        <v>0</v>
      </c>
      <c r="N7" s="457">
        <f>landbouw!N8</f>
        <v>0</v>
      </c>
      <c r="O7" s="457">
        <f>landbouw!O8</f>
        <v>0</v>
      </c>
      <c r="P7" s="458">
        <f>landbouw!P8</f>
        <v>0</v>
      </c>
      <c r="Q7" s="456">
        <f t="shared" si="0"/>
        <v>2384.3155616690005</v>
      </c>
    </row>
    <row r="8" spans="1:17">
      <c r="A8" s="456" t="s">
        <v>682</v>
      </c>
      <c r="B8" s="457">
        <f>industrie!B18</f>
        <v>26236.331746171676</v>
      </c>
      <c r="C8" s="457">
        <f>industrie!C18</f>
        <v>0</v>
      </c>
      <c r="D8" s="457">
        <f>industrie!D18</f>
        <v>44868.063693466822</v>
      </c>
      <c r="E8" s="457">
        <f>industrie!E18</f>
        <v>239.63844605214666</v>
      </c>
      <c r="F8" s="457">
        <f>industrie!F18</f>
        <v>5516.0137803207135</v>
      </c>
      <c r="G8" s="457">
        <f>industrie!G18</f>
        <v>0</v>
      </c>
      <c r="H8" s="457">
        <f>industrie!H18</f>
        <v>0</v>
      </c>
      <c r="I8" s="457">
        <f>industrie!I18</f>
        <v>0</v>
      </c>
      <c r="J8" s="457">
        <f>industrie!J18</f>
        <v>124.72356050981172</v>
      </c>
      <c r="K8" s="457">
        <f>industrie!K18</f>
        <v>0</v>
      </c>
      <c r="L8" s="457">
        <f>industrie!L18</f>
        <v>0</v>
      </c>
      <c r="M8" s="457">
        <f>industrie!M18</f>
        <v>0</v>
      </c>
      <c r="N8" s="457">
        <f>industrie!N18</f>
        <v>893.84209354069219</v>
      </c>
      <c r="O8" s="457">
        <f>industrie!O18</f>
        <v>0</v>
      </c>
      <c r="P8" s="458">
        <f>industrie!P18</f>
        <v>0</v>
      </c>
      <c r="Q8" s="456">
        <f t="shared" si="0"/>
        <v>77878.613320061864</v>
      </c>
    </row>
    <row r="9" spans="1:17" s="462" customFormat="1">
      <c r="A9" s="460" t="s">
        <v>578</v>
      </c>
      <c r="B9" s="461">
        <f>transport!B14</f>
        <v>8.7042342450787693</v>
      </c>
      <c r="C9" s="461">
        <f>transport!C14</f>
        <v>0</v>
      </c>
      <c r="D9" s="461">
        <f>transport!D14</f>
        <v>19.456464349948867</v>
      </c>
      <c r="E9" s="461">
        <f>transport!E14</f>
        <v>1425.6109582800359</v>
      </c>
      <c r="F9" s="461">
        <f>transport!F14</f>
        <v>0</v>
      </c>
      <c r="G9" s="461">
        <f>transport!G14</f>
        <v>309366.93845099839</v>
      </c>
      <c r="H9" s="461">
        <f>transport!H14</f>
        <v>51186.95177144021</v>
      </c>
      <c r="I9" s="461">
        <f>transport!I14</f>
        <v>0</v>
      </c>
      <c r="J9" s="461">
        <f>transport!J14</f>
        <v>0</v>
      </c>
      <c r="K9" s="461">
        <f>transport!K14</f>
        <v>0</v>
      </c>
      <c r="L9" s="461">
        <f>transport!L14</f>
        <v>0</v>
      </c>
      <c r="M9" s="461">
        <f>transport!M14</f>
        <v>16110.125014067557</v>
      </c>
      <c r="N9" s="461">
        <f>transport!N14</f>
        <v>0</v>
      </c>
      <c r="O9" s="461">
        <f>transport!O14</f>
        <v>0</v>
      </c>
      <c r="P9" s="461">
        <f>transport!P14</f>
        <v>0</v>
      </c>
      <c r="Q9" s="460">
        <f>SUM(B9:P9)</f>
        <v>378117.78689338127</v>
      </c>
    </row>
    <row r="10" spans="1:17">
      <c r="A10" s="456" t="s">
        <v>568</v>
      </c>
      <c r="B10" s="457">
        <f>transport!B54</f>
        <v>0</v>
      </c>
      <c r="C10" s="457">
        <f>transport!C54</f>
        <v>0</v>
      </c>
      <c r="D10" s="457">
        <f>transport!D54</f>
        <v>0</v>
      </c>
      <c r="E10" s="457">
        <f>transport!E54</f>
        <v>0</v>
      </c>
      <c r="F10" s="457">
        <f>transport!F54</f>
        <v>0</v>
      </c>
      <c r="G10" s="457">
        <f>transport!G54</f>
        <v>4851.0672018971864</v>
      </c>
      <c r="H10" s="457">
        <f>transport!H54</f>
        <v>0</v>
      </c>
      <c r="I10" s="457">
        <f>transport!I54</f>
        <v>0</v>
      </c>
      <c r="J10" s="457">
        <f>transport!J54</f>
        <v>0</v>
      </c>
      <c r="K10" s="457">
        <f>transport!K54</f>
        <v>0</v>
      </c>
      <c r="L10" s="457">
        <f>transport!L54</f>
        <v>0</v>
      </c>
      <c r="M10" s="457">
        <f>transport!M54</f>
        <v>212.84623944125877</v>
      </c>
      <c r="N10" s="457">
        <f>transport!N54</f>
        <v>0</v>
      </c>
      <c r="O10" s="457">
        <f>transport!O54</f>
        <v>0</v>
      </c>
      <c r="P10" s="458">
        <f>transport!P54</f>
        <v>0</v>
      </c>
      <c r="Q10" s="456">
        <f t="shared" si="0"/>
        <v>5063.9134413384454</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2310.4299017698299</v>
      </c>
      <c r="C14" s="464"/>
      <c r="D14" s="464">
        <f>'SEAP template'!E25</f>
        <v>8854.4662004263191</v>
      </c>
      <c r="E14" s="464"/>
      <c r="F14" s="464"/>
      <c r="G14" s="464"/>
      <c r="H14" s="464"/>
      <c r="I14" s="464"/>
      <c r="J14" s="464"/>
      <c r="K14" s="464"/>
      <c r="L14" s="464"/>
      <c r="M14" s="464"/>
      <c r="N14" s="464"/>
      <c r="O14" s="464"/>
      <c r="P14" s="465"/>
      <c r="Q14" s="456">
        <f t="shared" si="0"/>
        <v>11164.89610219615</v>
      </c>
    </row>
    <row r="15" spans="1:17" s="469" customFormat="1">
      <c r="A15" s="466" t="s">
        <v>572</v>
      </c>
      <c r="B15" s="467">
        <f ca="1">SUM(B4:B14)</f>
        <v>172230.03705662891</v>
      </c>
      <c r="C15" s="467">
        <f t="shared" ref="C15:Q15" ca="1" si="1">SUM(C4:C14)</f>
        <v>22.5</v>
      </c>
      <c r="D15" s="467">
        <f t="shared" ca="1" si="1"/>
        <v>286190.02256878623</v>
      </c>
      <c r="E15" s="467">
        <f t="shared" si="1"/>
        <v>8520.2369400449988</v>
      </c>
      <c r="F15" s="467">
        <f t="shared" ca="1" si="1"/>
        <v>64005.901009304973</v>
      </c>
      <c r="G15" s="467">
        <f t="shared" si="1"/>
        <v>314218.0056528956</v>
      </c>
      <c r="H15" s="467">
        <f t="shared" si="1"/>
        <v>51186.95177144021</v>
      </c>
      <c r="I15" s="467">
        <f t="shared" si="1"/>
        <v>0</v>
      </c>
      <c r="J15" s="467">
        <f t="shared" si="1"/>
        <v>189.50245724175983</v>
      </c>
      <c r="K15" s="467">
        <f t="shared" si="1"/>
        <v>0</v>
      </c>
      <c r="L15" s="467">
        <f t="shared" ca="1" si="1"/>
        <v>0</v>
      </c>
      <c r="M15" s="467">
        <f t="shared" si="1"/>
        <v>16322.971253508815</v>
      </c>
      <c r="N15" s="467">
        <f t="shared" ca="1" si="1"/>
        <v>15459.266464658403</v>
      </c>
      <c r="O15" s="467">
        <f t="shared" si="1"/>
        <v>131.32000000000002</v>
      </c>
      <c r="P15" s="467">
        <f t="shared" si="1"/>
        <v>400.4</v>
      </c>
      <c r="Q15" s="467">
        <f t="shared" ca="1" si="1"/>
        <v>928877.11517451005</v>
      </c>
    </row>
    <row r="17" spans="1:17">
      <c r="A17" s="470" t="s">
        <v>573</v>
      </c>
      <c r="B17" s="774">
        <f ca="1">huishoudens!B10</f>
        <v>0.21277701350267275</v>
      </c>
      <c r="C17" s="774">
        <f ca="1">huishoudens!C10</f>
        <v>0.22444444444444447</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13364.434331894743</v>
      </c>
      <c r="C22" s="457">
        <f t="shared" ref="C22:C32" ca="1" si="3">C4*$C$17</f>
        <v>0</v>
      </c>
      <c r="D22" s="457">
        <f t="shared" ref="D22:D32" si="4">D4*$D$17</f>
        <v>32817.824252432889</v>
      </c>
      <c r="E22" s="457">
        <f t="shared" ref="E22:E32" si="5">E4*$E$17</f>
        <v>1438.2302922809708</v>
      </c>
      <c r="F22" s="457">
        <f t="shared" ref="F22:F32" si="6">F4*$F$17</f>
        <v>11446.373703779507</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59066.862580388108</v>
      </c>
    </row>
    <row r="23" spans="1:17">
      <c r="A23" s="456" t="s">
        <v>155</v>
      </c>
      <c r="B23" s="457">
        <f t="shared" ca="1" si="2"/>
        <v>16369.197957992363</v>
      </c>
      <c r="C23" s="457">
        <f t="shared" ca="1" si="3"/>
        <v>0</v>
      </c>
      <c r="D23" s="457">
        <f t="shared" ca="1" si="4"/>
        <v>14124.643776634341</v>
      </c>
      <c r="E23" s="457">
        <f t="shared" si="5"/>
        <v>116.73204233794691</v>
      </c>
      <c r="F23" s="457">
        <f t="shared" ca="1" si="6"/>
        <v>3714.1589597371567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34324.732736701801</v>
      </c>
    </row>
    <row r="24" spans="1:17">
      <c r="A24" s="456" t="s">
        <v>193</v>
      </c>
      <c r="B24" s="457">
        <f t="shared" ca="1" si="2"/>
        <v>725.59174485351832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725.59174485351832</v>
      </c>
    </row>
    <row r="25" spans="1:17">
      <c r="A25" s="456" t="s">
        <v>111</v>
      </c>
      <c r="B25" s="457">
        <f t="shared" ca="1" si="2"/>
        <v>111.42213603440906</v>
      </c>
      <c r="C25" s="457">
        <f t="shared" ca="1" si="3"/>
        <v>5.0500000000000007</v>
      </c>
      <c r="D25" s="457">
        <f t="shared" si="4"/>
        <v>12.03528546248562</v>
      </c>
      <c r="E25" s="457">
        <f t="shared" si="5"/>
        <v>1.1198359878916175</v>
      </c>
      <c r="F25" s="457">
        <f t="shared" si="6"/>
        <v>456.26722662213484</v>
      </c>
      <c r="G25" s="457">
        <f t="shared" si="7"/>
        <v>0</v>
      </c>
      <c r="H25" s="457">
        <f t="shared" si="8"/>
        <v>0</v>
      </c>
      <c r="I25" s="457">
        <f t="shared" si="9"/>
        <v>0</v>
      </c>
      <c r="J25" s="457">
        <f t="shared" si="10"/>
        <v>22.931729443109635</v>
      </c>
      <c r="K25" s="457">
        <f t="shared" si="11"/>
        <v>0</v>
      </c>
      <c r="L25" s="457">
        <f t="shared" si="12"/>
        <v>0</v>
      </c>
      <c r="M25" s="457">
        <f t="shared" si="13"/>
        <v>0</v>
      </c>
      <c r="N25" s="457">
        <f t="shared" si="14"/>
        <v>0</v>
      </c>
      <c r="O25" s="457">
        <f t="shared" si="15"/>
        <v>0</v>
      </c>
      <c r="P25" s="458">
        <f t="shared" si="16"/>
        <v>0</v>
      </c>
      <c r="Q25" s="456">
        <f t="shared" ca="1" si="17"/>
        <v>608.82621355003073</v>
      </c>
    </row>
    <row r="26" spans="1:17">
      <c r="A26" s="456" t="s">
        <v>682</v>
      </c>
      <c r="B26" s="457">
        <f t="shared" ca="1" si="2"/>
        <v>5582.4883142157723</v>
      </c>
      <c r="C26" s="457">
        <f t="shared" ca="1" si="3"/>
        <v>0</v>
      </c>
      <c r="D26" s="457">
        <f t="shared" si="4"/>
        <v>9063.3488660802977</v>
      </c>
      <c r="E26" s="457">
        <f t="shared" si="5"/>
        <v>54.397927253837295</v>
      </c>
      <c r="F26" s="457">
        <f t="shared" si="6"/>
        <v>1472.7756793456306</v>
      </c>
      <c r="G26" s="457">
        <f t="shared" si="7"/>
        <v>0</v>
      </c>
      <c r="H26" s="457">
        <f t="shared" si="8"/>
        <v>0</v>
      </c>
      <c r="I26" s="457">
        <f t="shared" si="9"/>
        <v>0</v>
      </c>
      <c r="J26" s="457">
        <f t="shared" si="10"/>
        <v>44.152140420473344</v>
      </c>
      <c r="K26" s="457">
        <f t="shared" si="11"/>
        <v>0</v>
      </c>
      <c r="L26" s="457">
        <f t="shared" si="12"/>
        <v>0</v>
      </c>
      <c r="M26" s="457">
        <f t="shared" si="13"/>
        <v>0</v>
      </c>
      <c r="N26" s="457">
        <f t="shared" si="14"/>
        <v>0</v>
      </c>
      <c r="O26" s="457">
        <f t="shared" si="15"/>
        <v>0</v>
      </c>
      <c r="P26" s="458">
        <f t="shared" si="16"/>
        <v>0</v>
      </c>
      <c r="Q26" s="456">
        <f t="shared" ca="1" si="17"/>
        <v>16217.162927316012</v>
      </c>
    </row>
    <row r="27" spans="1:17" s="462" customFormat="1">
      <c r="A27" s="460" t="s">
        <v>578</v>
      </c>
      <c r="B27" s="768">
        <f t="shared" ca="1" si="2"/>
        <v>1.8520609674955519</v>
      </c>
      <c r="C27" s="461">
        <f t="shared" ca="1" si="3"/>
        <v>0</v>
      </c>
      <c r="D27" s="461">
        <f t="shared" si="4"/>
        <v>3.9302057986896712</v>
      </c>
      <c r="E27" s="461">
        <f t="shared" si="5"/>
        <v>323.61368752956815</v>
      </c>
      <c r="F27" s="461">
        <f t="shared" si="6"/>
        <v>0</v>
      </c>
      <c r="G27" s="461">
        <f t="shared" si="7"/>
        <v>82600.972566416574</v>
      </c>
      <c r="H27" s="461">
        <f t="shared" si="8"/>
        <v>12745.550991088612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95675.919511800952</v>
      </c>
    </row>
    <row r="28" spans="1:17">
      <c r="A28" s="456" t="s">
        <v>568</v>
      </c>
      <c r="B28" s="457">
        <f t="shared" ca="1" si="2"/>
        <v>0</v>
      </c>
      <c r="C28" s="457">
        <f t="shared" ca="1" si="3"/>
        <v>0</v>
      </c>
      <c r="D28" s="457">
        <f t="shared" si="4"/>
        <v>0</v>
      </c>
      <c r="E28" s="457">
        <f t="shared" si="5"/>
        <v>0</v>
      </c>
      <c r="F28" s="457">
        <f t="shared" si="6"/>
        <v>0</v>
      </c>
      <c r="G28" s="457">
        <f t="shared" si="7"/>
        <v>1295.2349429065489</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1295.2349429065489</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491.60637440585799</v>
      </c>
      <c r="C32" s="457">
        <f t="shared" ca="1" si="3"/>
        <v>0</v>
      </c>
      <c r="D32" s="457">
        <f t="shared" si="4"/>
        <v>1788.6021724861166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2280.2085468919745</v>
      </c>
    </row>
    <row r="33" spans="1:17" s="469" customFormat="1">
      <c r="A33" s="466" t="s">
        <v>572</v>
      </c>
      <c r="B33" s="467">
        <f ca="1">SUM(B22:B32)</f>
        <v>36646.592920364157</v>
      </c>
      <c r="C33" s="467">
        <f t="shared" ref="C33:Q33" ca="1" si="18">SUM(C22:C32)</f>
        <v>5.0500000000000007</v>
      </c>
      <c r="D33" s="467">
        <f t="shared" ca="1" si="18"/>
        <v>57810.384558894817</v>
      </c>
      <c r="E33" s="467">
        <f t="shared" si="18"/>
        <v>1934.0937853902146</v>
      </c>
      <c r="F33" s="467">
        <f t="shared" ca="1" si="18"/>
        <v>17089.57556948443</v>
      </c>
      <c r="G33" s="467">
        <f t="shared" si="18"/>
        <v>83896.207509323125</v>
      </c>
      <c r="H33" s="467">
        <f t="shared" si="18"/>
        <v>12745.550991088612</v>
      </c>
      <c r="I33" s="467">
        <f t="shared" si="18"/>
        <v>0</v>
      </c>
      <c r="J33" s="467">
        <f t="shared" si="18"/>
        <v>67.083869863582976</v>
      </c>
      <c r="K33" s="467">
        <f t="shared" si="18"/>
        <v>0</v>
      </c>
      <c r="L33" s="467">
        <f t="shared" ca="1" si="18"/>
        <v>0</v>
      </c>
      <c r="M33" s="467">
        <f t="shared" si="18"/>
        <v>0</v>
      </c>
      <c r="N33" s="467">
        <f t="shared" ca="1" si="18"/>
        <v>0</v>
      </c>
      <c r="O33" s="467">
        <f t="shared" si="18"/>
        <v>0</v>
      </c>
      <c r="P33" s="467">
        <f t="shared" si="18"/>
        <v>0</v>
      </c>
      <c r="Q33" s="467">
        <f t="shared" ca="1" si="18"/>
        <v>210194.53920440894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6408.4197699132883</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4.5</v>
      </c>
      <c r="D8" s="1026">
        <f>'SEAP template'!D76</f>
        <v>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6408.4197699132883</v>
      </c>
      <c r="C10" s="1030">
        <f>SUM(C4:C9)</f>
        <v>4.5</v>
      </c>
      <c r="D10" s="1030">
        <f t="shared" ref="D10:H10" si="0">SUM(D8:D9)</f>
        <v>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1.01</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0.21277701350267275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22.5</v>
      </c>
      <c r="D17" s="1027">
        <f>'SEAP template'!D87</f>
        <v>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5.0500000000000007</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22.5</v>
      </c>
      <c r="D20" s="1030">
        <f t="shared" ref="D20:H20" si="2">SUM(D17:D19)</f>
        <v>25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5.0500000000000007</v>
      </c>
    </row>
    <row r="22" spans="1:16">
      <c r="A22" s="470" t="s">
        <v>916</v>
      </c>
      <c r="B22" s="774" t="s">
        <v>910</v>
      </c>
      <c r="C22" s="774">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0.21277701350267275</v>
      </c>
      <c r="C17" s="506">
        <f ca="1">'EF ele_warmte'!B22</f>
        <v>0.22444444444444447</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0.21277701350267275</v>
      </c>
      <c r="C17" s="506">
        <f ca="1">'EF ele_warmte'!B22</f>
        <v>0.22444444444444447</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0.21277701350267275</v>
      </c>
      <c r="C29" s="507">
        <f ca="1">'EF ele_warmte'!B22</f>
        <v>0.22444444444444447</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15131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1473</v>
      </c>
      <c r="C14" s="332"/>
      <c r="D14" s="332"/>
      <c r="E14" s="332"/>
      <c r="F14" s="332"/>
    </row>
    <row r="15" spans="1:6">
      <c r="A15" s="1299" t="s">
        <v>183</v>
      </c>
      <c r="B15" s="1300">
        <v>396</v>
      </c>
      <c r="C15" s="332"/>
      <c r="D15" s="332"/>
      <c r="E15" s="332"/>
      <c r="F15" s="332"/>
    </row>
    <row r="16" spans="1:6">
      <c r="A16" s="1299" t="s">
        <v>6</v>
      </c>
      <c r="B16" s="1300">
        <v>89</v>
      </c>
      <c r="C16" s="332"/>
      <c r="D16" s="332"/>
      <c r="E16" s="332"/>
      <c r="F16" s="332"/>
    </row>
    <row r="17" spans="1:6">
      <c r="A17" s="1299" t="s">
        <v>7</v>
      </c>
      <c r="B17" s="1300">
        <v>135</v>
      </c>
      <c r="C17" s="332"/>
      <c r="D17" s="332"/>
      <c r="E17" s="332"/>
      <c r="F17" s="332"/>
    </row>
    <row r="18" spans="1:6">
      <c r="A18" s="1299" t="s">
        <v>8</v>
      </c>
      <c r="B18" s="1300">
        <v>159</v>
      </c>
      <c r="C18" s="332"/>
      <c r="D18" s="332"/>
      <c r="E18" s="332"/>
      <c r="F18" s="332"/>
    </row>
    <row r="19" spans="1:6">
      <c r="A19" s="1299" t="s">
        <v>9</v>
      </c>
      <c r="B19" s="1300">
        <v>130</v>
      </c>
      <c r="C19" s="332"/>
      <c r="D19" s="332"/>
      <c r="E19" s="332"/>
      <c r="F19" s="332"/>
    </row>
    <row r="20" spans="1:6">
      <c r="A20" s="1299" t="s">
        <v>10</v>
      </c>
      <c r="B20" s="1300">
        <v>172</v>
      </c>
      <c r="C20" s="332"/>
      <c r="D20" s="332"/>
      <c r="E20" s="332"/>
      <c r="F20" s="332"/>
    </row>
    <row r="21" spans="1:6">
      <c r="A21" s="1299" t="s">
        <v>11</v>
      </c>
      <c r="B21" s="1300">
        <v>0</v>
      </c>
      <c r="C21" s="332"/>
      <c r="D21" s="332"/>
      <c r="E21" s="332"/>
      <c r="F21" s="332"/>
    </row>
    <row r="22" spans="1:6">
      <c r="A22" s="1299" t="s">
        <v>12</v>
      </c>
      <c r="B22" s="1300">
        <v>0</v>
      </c>
      <c r="C22" s="332"/>
      <c r="D22" s="332"/>
      <c r="E22" s="332"/>
      <c r="F22" s="332"/>
    </row>
    <row r="23" spans="1:6">
      <c r="A23" s="1299" t="s">
        <v>13</v>
      </c>
      <c r="B23" s="1300">
        <v>0</v>
      </c>
      <c r="C23" s="332"/>
      <c r="D23" s="332"/>
      <c r="E23" s="332"/>
      <c r="F23" s="332"/>
    </row>
    <row r="24" spans="1:6">
      <c r="A24" s="1299" t="s">
        <v>14</v>
      </c>
      <c r="B24" s="1300">
        <v>0</v>
      </c>
      <c r="C24" s="332"/>
      <c r="D24" s="332"/>
      <c r="E24" s="332"/>
      <c r="F24" s="332"/>
    </row>
    <row r="25" spans="1:6">
      <c r="A25" s="1299" t="s">
        <v>15</v>
      </c>
      <c r="B25" s="1300">
        <v>0</v>
      </c>
      <c r="C25" s="332"/>
      <c r="D25" s="332"/>
      <c r="E25" s="332"/>
      <c r="F25" s="332"/>
    </row>
    <row r="26" spans="1:6">
      <c r="A26" s="1299" t="s">
        <v>16</v>
      </c>
      <c r="B26" s="1300">
        <v>92</v>
      </c>
      <c r="C26" s="332"/>
      <c r="D26" s="332"/>
      <c r="E26" s="332"/>
      <c r="F26" s="332"/>
    </row>
    <row r="27" spans="1:6">
      <c r="A27" s="1299" t="s">
        <v>17</v>
      </c>
      <c r="B27" s="1300">
        <v>2</v>
      </c>
      <c r="C27" s="332"/>
      <c r="D27" s="332"/>
      <c r="E27" s="332"/>
      <c r="F27" s="332"/>
    </row>
    <row r="28" spans="1:6" s="44" customFormat="1">
      <c r="A28" s="1301" t="s">
        <v>18</v>
      </c>
      <c r="B28" s="1302">
        <v>0</v>
      </c>
      <c r="C28" s="338"/>
      <c r="D28" s="338"/>
      <c r="E28" s="338"/>
      <c r="F28" s="338"/>
    </row>
    <row r="29" spans="1:6">
      <c r="A29" s="1301" t="s">
        <v>950</v>
      </c>
      <c r="B29" s="1302">
        <v>218</v>
      </c>
      <c r="C29" s="338"/>
      <c r="D29" s="338"/>
      <c r="E29" s="338"/>
      <c r="F29" s="338"/>
    </row>
    <row r="30" spans="1:6">
      <c r="A30" s="1294" t="s">
        <v>951</v>
      </c>
      <c r="B30" s="1303">
        <v>45</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6</v>
      </c>
      <c r="F35" s="1300">
        <v>57502.918532143703</v>
      </c>
    </row>
    <row r="36" spans="1:6">
      <c r="A36" s="1299" t="s">
        <v>24</v>
      </c>
      <c r="B36" s="1299" t="s">
        <v>26</v>
      </c>
      <c r="C36" s="1300">
        <v>0</v>
      </c>
      <c r="D36" s="1300">
        <v>0</v>
      </c>
      <c r="E36" s="1300">
        <v>4</v>
      </c>
      <c r="F36" s="1300">
        <v>10268.9434561988</v>
      </c>
    </row>
    <row r="37" spans="1:6">
      <c r="A37" s="1299" t="s">
        <v>24</v>
      </c>
      <c r="B37" s="1299" t="s">
        <v>27</v>
      </c>
      <c r="C37" s="1300">
        <v>0</v>
      </c>
      <c r="D37" s="1300">
        <v>0</v>
      </c>
      <c r="E37" s="1300">
        <v>0</v>
      </c>
      <c r="F37" s="1300">
        <v>0</v>
      </c>
    </row>
    <row r="38" spans="1:6">
      <c r="A38" s="1299" t="s">
        <v>24</v>
      </c>
      <c r="B38" s="1299" t="s">
        <v>28</v>
      </c>
      <c r="C38" s="1300">
        <v>3</v>
      </c>
      <c r="D38" s="1300">
        <v>1000706.99107136</v>
      </c>
      <c r="E38" s="1300">
        <v>7</v>
      </c>
      <c r="F38" s="1300">
        <v>23682.585852383902</v>
      </c>
    </row>
    <row r="39" spans="1:6">
      <c r="A39" s="1299" t="s">
        <v>29</v>
      </c>
      <c r="B39" s="1299" t="s">
        <v>30</v>
      </c>
      <c r="C39" s="1300">
        <v>9939</v>
      </c>
      <c r="D39" s="1300">
        <v>180115827.602209</v>
      </c>
      <c r="E39" s="1300">
        <v>15518</v>
      </c>
      <c r="F39" s="1300">
        <v>60172334.8357208</v>
      </c>
    </row>
    <row r="40" spans="1:6">
      <c r="A40" s="1299" t="s">
        <v>29</v>
      </c>
      <c r="B40" s="1299" t="s">
        <v>28</v>
      </c>
      <c r="C40" s="1300">
        <v>0</v>
      </c>
      <c r="D40" s="1300">
        <v>0</v>
      </c>
      <c r="E40" s="1300">
        <v>0</v>
      </c>
      <c r="F40" s="1300">
        <v>0</v>
      </c>
    </row>
    <row r="41" spans="1:6">
      <c r="A41" s="1299" t="s">
        <v>31</v>
      </c>
      <c r="B41" s="1299" t="s">
        <v>32</v>
      </c>
      <c r="C41" s="1300">
        <v>23</v>
      </c>
      <c r="D41" s="1300">
        <v>586563.557008759</v>
      </c>
      <c r="E41" s="1300">
        <v>101</v>
      </c>
      <c r="F41" s="1300">
        <v>741515.16578940302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12</v>
      </c>
      <c r="F44" s="1300">
        <v>175428.91414092801</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7</v>
      </c>
      <c r="F47" s="1300">
        <v>219057.21268124599</v>
      </c>
    </row>
    <row r="48" spans="1:6">
      <c r="A48" s="1299" t="s">
        <v>31</v>
      </c>
      <c r="B48" s="1299" t="s">
        <v>28</v>
      </c>
      <c r="C48" s="1300">
        <v>56</v>
      </c>
      <c r="D48" s="1300">
        <v>48522918.024909697</v>
      </c>
      <c r="E48" s="1300">
        <v>86</v>
      </c>
      <c r="F48" s="1300">
        <v>24215293.966799799</v>
      </c>
    </row>
    <row r="49" spans="1:6">
      <c r="A49" s="1299" t="s">
        <v>31</v>
      </c>
      <c r="B49" s="1299" t="s">
        <v>39</v>
      </c>
      <c r="C49" s="1300">
        <v>0</v>
      </c>
      <c r="D49" s="1300">
        <v>0</v>
      </c>
      <c r="E49" s="1300">
        <v>0</v>
      </c>
      <c r="F49" s="1300">
        <v>0</v>
      </c>
    </row>
    <row r="50" spans="1:6">
      <c r="A50" s="1299" t="s">
        <v>31</v>
      </c>
      <c r="B50" s="1299" t="s">
        <v>40</v>
      </c>
      <c r="C50" s="1300">
        <v>6</v>
      </c>
      <c r="D50" s="1300">
        <v>633382.82325540797</v>
      </c>
      <c r="E50" s="1300">
        <v>13</v>
      </c>
      <c r="F50" s="1300">
        <v>885036.48676029802</v>
      </c>
    </row>
    <row r="51" spans="1:6">
      <c r="A51" s="1299" t="s">
        <v>41</v>
      </c>
      <c r="B51" s="1299" t="s">
        <v>42</v>
      </c>
      <c r="C51" s="1300">
        <v>0</v>
      </c>
      <c r="D51" s="1300">
        <v>0</v>
      </c>
      <c r="E51" s="1300">
        <v>38</v>
      </c>
      <c r="F51" s="1300">
        <v>219814.385745601</v>
      </c>
    </row>
    <row r="52" spans="1:6">
      <c r="A52" s="1299" t="s">
        <v>41</v>
      </c>
      <c r="B52" s="1299" t="s">
        <v>28</v>
      </c>
      <c r="C52" s="1300">
        <v>4</v>
      </c>
      <c r="D52" s="1300">
        <v>99313.327163430105</v>
      </c>
      <c r="E52" s="1300">
        <v>16</v>
      </c>
      <c r="F52" s="1300">
        <v>303842.44259412697</v>
      </c>
    </row>
    <row r="53" spans="1:6">
      <c r="A53" s="1299" t="s">
        <v>43</v>
      </c>
      <c r="B53" s="1299" t="s">
        <v>44</v>
      </c>
      <c r="C53" s="1300">
        <v>225</v>
      </c>
      <c r="D53" s="1300">
        <v>8854466.2004263196</v>
      </c>
      <c r="E53" s="1300">
        <v>436</v>
      </c>
      <c r="F53" s="1300">
        <v>2310429.9017698299</v>
      </c>
    </row>
    <row r="54" spans="1:6">
      <c r="A54" s="1299" t="s">
        <v>45</v>
      </c>
      <c r="B54" s="1299" t="s">
        <v>46</v>
      </c>
      <c r="C54" s="1300">
        <v>0</v>
      </c>
      <c r="D54" s="1300">
        <v>0</v>
      </c>
      <c r="E54" s="1300">
        <v>1</v>
      </c>
      <c r="F54" s="1300">
        <v>3410104</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47</v>
      </c>
      <c r="D57" s="1300">
        <v>3562831.0104454798</v>
      </c>
      <c r="E57" s="1300">
        <v>198</v>
      </c>
      <c r="F57" s="1300">
        <v>7112604.3486754997</v>
      </c>
    </row>
    <row r="58" spans="1:6">
      <c r="A58" s="1299" t="s">
        <v>48</v>
      </c>
      <c r="B58" s="1299" t="s">
        <v>50</v>
      </c>
      <c r="C58" s="1300">
        <v>38</v>
      </c>
      <c r="D58" s="1300">
        <v>1586387.8181285099</v>
      </c>
      <c r="E58" s="1300">
        <v>58</v>
      </c>
      <c r="F58" s="1300">
        <v>550096.85336152697</v>
      </c>
    </row>
    <row r="59" spans="1:6">
      <c r="A59" s="1299" t="s">
        <v>48</v>
      </c>
      <c r="B59" s="1299" t="s">
        <v>51</v>
      </c>
      <c r="C59" s="1300">
        <v>157</v>
      </c>
      <c r="D59" s="1300">
        <v>22213683.876809102</v>
      </c>
      <c r="E59" s="1300">
        <v>349</v>
      </c>
      <c r="F59" s="1300">
        <v>21127557.974378798</v>
      </c>
    </row>
    <row r="60" spans="1:6">
      <c r="A60" s="1299" t="s">
        <v>48</v>
      </c>
      <c r="B60" s="1299" t="s">
        <v>52</v>
      </c>
      <c r="C60" s="1300">
        <v>85</v>
      </c>
      <c r="D60" s="1300">
        <v>5314569.4606896602</v>
      </c>
      <c r="E60" s="1300">
        <v>110</v>
      </c>
      <c r="F60" s="1300">
        <v>2960919.4675235101</v>
      </c>
    </row>
    <row r="61" spans="1:6">
      <c r="A61" s="1299" t="s">
        <v>48</v>
      </c>
      <c r="B61" s="1299" t="s">
        <v>53</v>
      </c>
      <c r="C61" s="1300">
        <v>269</v>
      </c>
      <c r="D61" s="1300">
        <v>26319022.708969101</v>
      </c>
      <c r="E61" s="1300">
        <v>679</v>
      </c>
      <c r="F61" s="1300">
        <v>28873868.588481899</v>
      </c>
    </row>
    <row r="62" spans="1:6">
      <c r="A62" s="1299" t="s">
        <v>48</v>
      </c>
      <c r="B62" s="1299" t="s">
        <v>54</v>
      </c>
      <c r="C62" s="1300">
        <v>3</v>
      </c>
      <c r="D62" s="1300">
        <v>81089.484716352701</v>
      </c>
      <c r="E62" s="1300">
        <v>4</v>
      </c>
      <c r="F62" s="1300">
        <v>24794.666232076001</v>
      </c>
    </row>
    <row r="63" spans="1:6">
      <c r="A63" s="1299" t="s">
        <v>48</v>
      </c>
      <c r="B63" s="1299" t="s">
        <v>28</v>
      </c>
      <c r="C63" s="1300">
        <v>243</v>
      </c>
      <c r="D63" s="1300">
        <v>18443456.762469299</v>
      </c>
      <c r="E63" s="1300">
        <v>305</v>
      </c>
      <c r="F63" s="1300">
        <v>16281390.890675901</v>
      </c>
    </row>
    <row r="64" spans="1:6">
      <c r="A64" s="1299" t="s">
        <v>55</v>
      </c>
      <c r="B64" s="1299" t="s">
        <v>56</v>
      </c>
      <c r="C64" s="1300">
        <v>0</v>
      </c>
      <c r="D64" s="1300">
        <v>0</v>
      </c>
      <c r="E64" s="1300">
        <v>0</v>
      </c>
      <c r="F64" s="1300">
        <v>0</v>
      </c>
    </row>
    <row r="65" spans="1:6">
      <c r="A65" s="1299" t="s">
        <v>55</v>
      </c>
      <c r="B65" s="1299" t="s">
        <v>28</v>
      </c>
      <c r="C65" s="1300">
        <v>4</v>
      </c>
      <c r="D65" s="1300">
        <v>330692.46646562999</v>
      </c>
      <c r="E65" s="1300">
        <v>10</v>
      </c>
      <c r="F65" s="1300">
        <v>502709.93661598099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6</v>
      </c>
      <c r="D68" s="1303">
        <v>206528.79363351699</v>
      </c>
      <c r="E68" s="1303">
        <v>9</v>
      </c>
      <c r="F68" s="1303">
        <v>144501.00917917601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69117665</v>
      </c>
      <c r="E73" s="455"/>
      <c r="F73" s="332"/>
    </row>
    <row r="74" spans="1:6">
      <c r="A74" s="1299" t="s">
        <v>63</v>
      </c>
      <c r="B74" s="1299" t="s">
        <v>768</v>
      </c>
      <c r="C74" s="1313" t="s">
        <v>762</v>
      </c>
      <c r="D74" s="1314">
        <v>2114262.2109735846</v>
      </c>
      <c r="E74" s="455"/>
      <c r="F74" s="332"/>
    </row>
    <row r="75" spans="1:6">
      <c r="A75" s="1299" t="s">
        <v>64</v>
      </c>
      <c r="B75" s="1299" t="s">
        <v>767</v>
      </c>
      <c r="C75" s="1313" t="s">
        <v>763</v>
      </c>
      <c r="D75" s="1314">
        <v>61592597</v>
      </c>
      <c r="E75" s="455"/>
      <c r="F75" s="332"/>
    </row>
    <row r="76" spans="1:6">
      <c r="A76" s="1299" t="s">
        <v>64</v>
      </c>
      <c r="B76" s="1299" t="s">
        <v>768</v>
      </c>
      <c r="C76" s="1313" t="s">
        <v>764</v>
      </c>
      <c r="D76" s="1314">
        <v>2124216.2109735846</v>
      </c>
      <c r="E76" s="455"/>
      <c r="F76" s="332"/>
    </row>
    <row r="77" spans="1:6">
      <c r="A77" s="1299" t="s">
        <v>65</v>
      </c>
      <c r="B77" s="1299" t="s">
        <v>767</v>
      </c>
      <c r="C77" s="1313" t="s">
        <v>765</v>
      </c>
      <c r="D77" s="1314">
        <v>260200461</v>
      </c>
      <c r="E77" s="455"/>
      <c r="F77" s="332"/>
    </row>
    <row r="78" spans="1:6">
      <c r="A78" s="1294" t="s">
        <v>65</v>
      </c>
      <c r="B78" s="1294" t="s">
        <v>768</v>
      </c>
      <c r="C78" s="1294" t="s">
        <v>766</v>
      </c>
      <c r="D78" s="1315">
        <v>33240664</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1332919.5780528309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2637.2427210525921</v>
      </c>
      <c r="C91" s="332"/>
      <c r="D91" s="332"/>
      <c r="E91" s="332"/>
      <c r="F91" s="332"/>
    </row>
    <row r="92" spans="1:6">
      <c r="A92" s="1294" t="s">
        <v>68</v>
      </c>
      <c r="B92" s="1295">
        <v>3771.1770488606962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6866</v>
      </c>
      <c r="C97" s="332"/>
      <c r="D97" s="332"/>
      <c r="E97" s="332"/>
      <c r="F97" s="332"/>
    </row>
    <row r="98" spans="1:6">
      <c r="A98" s="1299" t="s">
        <v>71</v>
      </c>
      <c r="B98" s="1300">
        <v>3</v>
      </c>
      <c r="C98" s="332"/>
      <c r="D98" s="332"/>
      <c r="E98" s="332"/>
      <c r="F98" s="332"/>
    </row>
    <row r="99" spans="1:6">
      <c r="A99" s="1299" t="s">
        <v>72</v>
      </c>
      <c r="B99" s="1300">
        <v>130</v>
      </c>
      <c r="C99" s="332"/>
      <c r="D99" s="332"/>
      <c r="E99" s="332"/>
      <c r="F99" s="332"/>
    </row>
    <row r="100" spans="1:6">
      <c r="A100" s="1299" t="s">
        <v>73</v>
      </c>
      <c r="B100" s="1300">
        <v>1177</v>
      </c>
      <c r="C100" s="332"/>
      <c r="D100" s="332"/>
      <c r="E100" s="332"/>
      <c r="F100" s="332"/>
    </row>
    <row r="101" spans="1:6">
      <c r="A101" s="1299" t="s">
        <v>74</v>
      </c>
      <c r="B101" s="1300">
        <v>56</v>
      </c>
      <c r="C101" s="332"/>
      <c r="D101" s="332"/>
      <c r="E101" s="332"/>
      <c r="F101" s="332"/>
    </row>
    <row r="102" spans="1:6">
      <c r="A102" s="1299" t="s">
        <v>75</v>
      </c>
      <c r="B102" s="1300">
        <v>230</v>
      </c>
      <c r="C102" s="332"/>
      <c r="D102" s="332"/>
      <c r="E102" s="332"/>
      <c r="F102" s="332"/>
    </row>
    <row r="103" spans="1:6">
      <c r="A103" s="1299" t="s">
        <v>76</v>
      </c>
      <c r="B103" s="1300">
        <v>159</v>
      </c>
      <c r="C103" s="332"/>
      <c r="D103" s="332"/>
      <c r="E103" s="332"/>
      <c r="F103" s="332"/>
    </row>
    <row r="104" spans="1:6">
      <c r="A104" s="1299" t="s">
        <v>77</v>
      </c>
      <c r="B104" s="1300">
        <v>4800</v>
      </c>
      <c r="C104" s="332"/>
      <c r="D104" s="332"/>
      <c r="E104" s="332"/>
      <c r="F104" s="332"/>
    </row>
    <row r="105" spans="1:6">
      <c r="A105" s="1294" t="s">
        <v>78</v>
      </c>
      <c r="B105" s="1303">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13</v>
      </c>
      <c r="C123" s="1300">
        <v>11</v>
      </c>
      <c r="D123" s="332"/>
      <c r="E123" s="332"/>
      <c r="F123" s="332"/>
    </row>
    <row r="124" spans="1:6" s="44" customFormat="1">
      <c r="A124" s="1301" t="s">
        <v>88</v>
      </c>
      <c r="B124" s="1322">
        <v>1</v>
      </c>
      <c r="C124" s="1322">
        <v>1</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72</v>
      </c>
      <c r="C129" s="332"/>
      <c r="D129" s="332"/>
      <c r="E129" s="332"/>
      <c r="F129" s="332"/>
    </row>
    <row r="130" spans="1:6">
      <c r="A130" s="1299" t="s">
        <v>294</v>
      </c>
      <c r="B130" s="1300">
        <v>0</v>
      </c>
      <c r="C130" s="332"/>
      <c r="D130" s="332"/>
      <c r="E130" s="332"/>
      <c r="F130" s="332"/>
    </row>
    <row r="131" spans="1:6">
      <c r="A131" s="1299" t="s">
        <v>295</v>
      </c>
      <c r="B131" s="1300">
        <v>2</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172230.03705662893</v>
      </c>
      <c r="C3" s="44" t="s">
        <v>169</v>
      </c>
      <c r="D3" s="44"/>
      <c r="E3" s="157"/>
      <c r="F3" s="44"/>
      <c r="G3" s="44"/>
      <c r="H3" s="44"/>
      <c r="I3" s="44"/>
      <c r="J3" s="44"/>
      <c r="K3" s="97"/>
    </row>
    <row r="4" spans="1:11">
      <c r="A4" s="362" t="s">
        <v>170</v>
      </c>
      <c r="B4" s="50">
        <f>IF(ISERROR('SEAP template'!B78+'SEAP template'!C78),0,'SEAP template'!B78+'SEAP template'!C78)</f>
        <v>6412.9197699132883</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1.01</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0.21277701350267275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5.0500000000000007</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22.5</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0.22444444444444447</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3410.1039999999998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3410.1039999999998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0.21277701350267275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725.59174485351832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60172.334835720801</v>
      </c>
      <c r="C5" s="18">
        <f>IF(ISERROR('Eigen informatie GS &amp; warmtenet'!B57),0,'Eigen informatie GS &amp; warmtenet'!B57)</f>
        <v>0</v>
      </c>
      <c r="D5" s="31">
        <f>(SUM(HH_hh_gas_kWh,HH_rest_gas_kWh)/1000)*0.902</f>
        <v>162464.47649719252</v>
      </c>
      <c r="E5" s="18">
        <f>B46*B57</f>
        <v>6335.8162655549377</v>
      </c>
      <c r="F5" s="18">
        <f>B51*B62</f>
        <v>42870.313497301526</v>
      </c>
      <c r="G5" s="19"/>
      <c r="H5" s="18"/>
      <c r="I5" s="18"/>
      <c r="J5" s="18">
        <f>B50*B61+C50*C61</f>
        <v>0</v>
      </c>
      <c r="K5" s="18"/>
      <c r="L5" s="18"/>
      <c r="M5" s="18"/>
      <c r="N5" s="18">
        <f>B48*B59+C48*C59</f>
        <v>9275.4872093163413</v>
      </c>
      <c r="O5" s="18">
        <f>B69*B70*B71</f>
        <v>131.32000000000002</v>
      </c>
      <c r="P5" s="18">
        <f>B77*B78*B79/1000-B77*B78*B79/1000/B80</f>
        <v>362.26666666666665</v>
      </c>
    </row>
    <row r="6" spans="1:16">
      <c r="A6" s="17" t="s">
        <v>638</v>
      </c>
      <c r="B6" s="776">
        <f>kWh_PV_kleiner_dan_10kW</f>
        <v>2637.2427210525921</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62809.577556773394</v>
      </c>
      <c r="C8" s="22">
        <f>C5</f>
        <v>0</v>
      </c>
      <c r="D8" s="22">
        <f>D5</f>
        <v>162464.47649719252</v>
      </c>
      <c r="E8" s="22">
        <f>E5</f>
        <v>6335.8162655549377</v>
      </c>
      <c r="F8" s="22">
        <f>F5</f>
        <v>42870.313497301526</v>
      </c>
      <c r="G8" s="22"/>
      <c r="H8" s="22"/>
      <c r="I8" s="22"/>
      <c r="J8" s="22">
        <f>J5</f>
        <v>0</v>
      </c>
      <c r="K8" s="22"/>
      <c r="L8" s="22">
        <f>L5</f>
        <v>0</v>
      </c>
      <c r="M8" s="22">
        <f>M5</f>
        <v>0</v>
      </c>
      <c r="N8" s="22">
        <f>N5</f>
        <v>9275.4872093163413</v>
      </c>
      <c r="O8" s="22">
        <f>O5</f>
        <v>131.32000000000002</v>
      </c>
      <c r="P8" s="22">
        <f>P5</f>
        <v>362.26666666666665</v>
      </c>
    </row>
    <row r="9" spans="1:16">
      <c r="B9" s="20"/>
      <c r="C9" s="20"/>
      <c r="D9" s="262"/>
      <c r="E9" s="20"/>
      <c r="F9" s="20"/>
      <c r="G9" s="20"/>
      <c r="H9" s="20"/>
      <c r="I9" s="20"/>
      <c r="J9" s="20"/>
      <c r="K9" s="20"/>
      <c r="L9" s="20"/>
      <c r="M9" s="20"/>
      <c r="N9" s="20"/>
      <c r="O9" s="20"/>
      <c r="P9" s="20"/>
    </row>
    <row r="10" spans="1:16">
      <c r="A10" s="25" t="s">
        <v>213</v>
      </c>
      <c r="B10" s="26">
        <f ca="1">'EF ele_warmte'!B12</f>
        <v>0.21277701350267275</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13364.434331894743</v>
      </c>
      <c r="C12" s="24">
        <f ca="1">C10*C8</f>
        <v>0</v>
      </c>
      <c r="D12" s="24">
        <f>D8*D10</f>
        <v>32817.824252432889</v>
      </c>
      <c r="E12" s="24">
        <f>E10*E8</f>
        <v>1438.2302922809708</v>
      </c>
      <c r="F12" s="24">
        <f>F10*F8</f>
        <v>11446.373703779507</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6866</v>
      </c>
      <c r="C18" s="169" t="s">
        <v>110</v>
      </c>
      <c r="D18" s="231"/>
      <c r="E18" s="16"/>
    </row>
    <row r="19" spans="1:7">
      <c r="A19" s="174" t="s">
        <v>71</v>
      </c>
      <c r="B19" s="38">
        <f>aantalw2001_ander</f>
        <v>3</v>
      </c>
      <c r="C19" s="169" t="s">
        <v>110</v>
      </c>
      <c r="D19" s="232"/>
      <c r="E19" s="16"/>
    </row>
    <row r="20" spans="1:7">
      <c r="A20" s="174" t="s">
        <v>72</v>
      </c>
      <c r="B20" s="38">
        <f>aantalw2001_propaan</f>
        <v>130</v>
      </c>
      <c r="C20" s="170">
        <f>IF(ISERROR(B20/SUM($B$20,$B$21,$B$22)*100),0,B20/SUM($B$20,$B$21,$B$22)*100)</f>
        <v>9.5377842993396929</v>
      </c>
      <c r="D20" s="232"/>
      <c r="E20" s="16"/>
    </row>
    <row r="21" spans="1:7">
      <c r="A21" s="174" t="s">
        <v>73</v>
      </c>
      <c r="B21" s="38">
        <f>aantalw2001_elektriciteit</f>
        <v>1177</v>
      </c>
      <c r="C21" s="170">
        <f>IF(ISERROR(B21/SUM($B$20,$B$21,$B$22)*100),0,B21/SUM($B$20,$B$21,$B$22)*100)</f>
        <v>86.353631694790906</v>
      </c>
      <c r="D21" s="232"/>
      <c r="E21" s="16"/>
    </row>
    <row r="22" spans="1:7">
      <c r="A22" s="174" t="s">
        <v>74</v>
      </c>
      <c r="B22" s="38">
        <f>aantalw2001_hout</f>
        <v>56</v>
      </c>
      <c r="C22" s="170">
        <f>IF(ISERROR(B22/SUM($B$20,$B$21,$B$22)*100),0,B22/SUM($B$20,$B$21,$B$22)*100)</f>
        <v>4.1085840058694059</v>
      </c>
      <c r="D22" s="232"/>
      <c r="E22" s="16"/>
    </row>
    <row r="23" spans="1:7">
      <c r="A23" s="174" t="s">
        <v>75</v>
      </c>
      <c r="B23" s="38">
        <f>aantalw2001_niet_gespec</f>
        <v>230</v>
      </c>
      <c r="C23" s="169" t="s">
        <v>110</v>
      </c>
      <c r="D23" s="231"/>
      <c r="E23" s="16"/>
    </row>
    <row r="24" spans="1:7">
      <c r="A24" s="174" t="s">
        <v>76</v>
      </c>
      <c r="B24" s="38">
        <f>aantalw2001_steenkool</f>
        <v>159</v>
      </c>
      <c r="C24" s="169" t="s">
        <v>110</v>
      </c>
      <c r="D24" s="232"/>
      <c r="E24" s="16"/>
    </row>
    <row r="25" spans="1:7">
      <c r="A25" s="174" t="s">
        <v>77</v>
      </c>
      <c r="B25" s="38">
        <f>aantalw2001_stookolie</f>
        <v>4800</v>
      </c>
      <c r="C25" s="169" t="s">
        <v>110</v>
      </c>
      <c r="D25" s="231"/>
      <c r="E25" s="53"/>
    </row>
    <row r="26" spans="1:7">
      <c r="A26" s="174" t="s">
        <v>78</v>
      </c>
      <c r="B26" s="38">
        <f>aantalw2001_WP</f>
        <v>11</v>
      </c>
      <c r="C26" s="169" t="s">
        <v>110</v>
      </c>
      <c r="D26" s="231"/>
      <c r="E26" s="16"/>
    </row>
    <row r="27" spans="1:7" s="16" customFormat="1">
      <c r="A27" s="174"/>
      <c r="B27" s="30"/>
      <c r="C27" s="37"/>
      <c r="D27" s="231"/>
    </row>
    <row r="28" spans="1:7" s="16" customFormat="1">
      <c r="A28" s="233" t="s">
        <v>663</v>
      </c>
      <c r="B28" s="38">
        <f>aantalHuishoudens</f>
        <v>15131</v>
      </c>
      <c r="C28" s="37"/>
      <c r="D28" s="231"/>
    </row>
    <row r="29" spans="1:7" s="16" customFormat="1">
      <c r="A29" s="233" t="s">
        <v>664</v>
      </c>
      <c r="B29" s="38">
        <f>SUM(HH_hh_gas_aantal,HH_rest_gas_aantal)</f>
        <v>9939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9939</v>
      </c>
      <c r="C32" s="170">
        <f>IF(ISERROR(B32/SUM($B$32,$B$34,$B$35,$B$36,$B$38,$B$39)*100),0,B32/SUM($B$32,$B$34,$B$35,$B$36,$B$38,$B$39)*100)</f>
        <v>65.768925357331923</v>
      </c>
      <c r="D32" s="236"/>
      <c r="G32" s="16"/>
    </row>
    <row r="33" spans="1:7">
      <c r="A33" s="174" t="s">
        <v>71</v>
      </c>
      <c r="B33" s="35" t="s">
        <v>110</v>
      </c>
      <c r="C33" s="170"/>
      <c r="D33" s="236"/>
      <c r="G33" s="16"/>
    </row>
    <row r="34" spans="1:7">
      <c r="A34" s="174" t="s">
        <v>72</v>
      </c>
      <c r="B34" s="34">
        <f>IF((($B$28-$B$32-$B$39-$B$77-$B$38)*C20/100)&lt;0,0,($B$28-$B$32-$B$39-$B$77-$B$38)*C20/100)</f>
        <v>299.36243580337498</v>
      </c>
      <c r="C34" s="170">
        <f>IF(ISERROR(B34/SUM($B$32,$B$34,$B$35,$B$36,$B$38,$B$39)*100),0,B34/SUM($B$32,$B$34,$B$35,$B$36,$B$38,$B$39)*100)</f>
        <v>1.9809584158508138</v>
      </c>
      <c r="D34" s="236"/>
      <c r="G34" s="16"/>
    </row>
    <row r="35" spans="1:7">
      <c r="A35" s="174" t="s">
        <v>73</v>
      </c>
      <c r="B35" s="34">
        <f>IF((($B$28-$B$32-$B$39-$B$77-$B$38)*C21/100)&lt;0,0,($B$28-$B$32-$B$39-$B$77-$B$38)*C21/100)</f>
        <v>2710.3814380044023</v>
      </c>
      <c r="C35" s="170">
        <f>IF(ISERROR(B35/SUM($B$32,$B$34,$B$35,$B$36,$B$38,$B$39)*100),0,B35/SUM($B$32,$B$34,$B$35,$B$36,$B$38,$B$39)*100)</f>
        <v>17.935292734280058</v>
      </c>
      <c r="D35" s="236"/>
      <c r="G35" s="16"/>
    </row>
    <row r="36" spans="1:7">
      <c r="A36" s="174" t="s">
        <v>74</v>
      </c>
      <c r="B36" s="34">
        <f>IF((($B$28-$B$32-$B$39-$B$77-$B$38)*C22/100)&lt;0,0,($B$28-$B$32-$B$39-$B$77-$B$38)*C22/100)</f>
        <v>128.95612619222305</v>
      </c>
      <c r="C36" s="170">
        <f>IF(ISERROR(B36/SUM($B$32,$B$34,$B$35,$B$36,$B$38,$B$39)*100),0,B36/SUM($B$32,$B$34,$B$35,$B$36,$B$38,$B$39)*100)</f>
        <v>0.85333593298188903</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2034.2999999999997</v>
      </c>
      <c r="C39" s="170">
        <f>IF(ISERROR(B39/SUM($B$32,$B$34,$B$35,$B$36,$B$38,$B$39)*100),0,B39/SUM($B$32,$B$34,$B$35,$B$36,$B$38,$B$39)*100)</f>
        <v>13.461487559555319</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9939</v>
      </c>
      <c r="C44" s="35" t="s">
        <v>110</v>
      </c>
      <c r="D44" s="177"/>
    </row>
    <row r="45" spans="1:7">
      <c r="A45" s="174" t="s">
        <v>71</v>
      </c>
      <c r="B45" s="34" t="str">
        <f t="shared" si="0"/>
        <v>-</v>
      </c>
      <c r="C45" s="35" t="s">
        <v>110</v>
      </c>
      <c r="D45" s="177"/>
    </row>
    <row r="46" spans="1:7">
      <c r="A46" s="174" t="s">
        <v>72</v>
      </c>
      <c r="B46" s="34">
        <f t="shared" si="0"/>
        <v>299.36243580337498</v>
      </c>
      <c r="C46" s="35" t="s">
        <v>110</v>
      </c>
      <c r="D46" s="177"/>
    </row>
    <row r="47" spans="1:7">
      <c r="A47" s="174" t="s">
        <v>73</v>
      </c>
      <c r="B47" s="34">
        <f t="shared" si="0"/>
        <v>2710.3814380044023</v>
      </c>
      <c r="C47" s="35" t="s">
        <v>110</v>
      </c>
      <c r="D47" s="177"/>
    </row>
    <row r="48" spans="1:7">
      <c r="A48" s="174" t="s">
        <v>74</v>
      </c>
      <c r="B48" s="34">
        <f t="shared" si="0"/>
        <v>128.95612619222305</v>
      </c>
      <c r="C48" s="34">
        <f>B48*10</f>
        <v>1289.5612619222306</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2034.2999999999997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84</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76931.232789329209</v>
      </c>
      <c r="C5" s="18">
        <f>IF(ISERROR('Eigen informatie GS &amp; warmtenet'!B58),0,'Eigen informatie GS &amp; warmtenet'!B58)</f>
        <v>0</v>
      </c>
      <c r="D5" s="31">
        <f>SUM(D6:D12)</f>
        <v>69923.97909224921</v>
      </c>
      <c r="E5" s="18">
        <f>SUM(E6:E12)</f>
        <v>514.2380719733344</v>
      </c>
      <c r="F5" s="18">
        <f>SUM(F6:F12)</f>
        <v>13910.707714371372</v>
      </c>
      <c r="G5" s="19"/>
      <c r="H5" s="18"/>
      <c r="I5" s="18"/>
      <c r="J5" s="18">
        <f>SUM(J6:J12)</f>
        <v>0</v>
      </c>
      <c r="K5" s="18"/>
      <c r="L5" s="18"/>
      <c r="M5" s="18"/>
      <c r="N5" s="18">
        <f>SUM(N6:N12)</f>
        <v>5289.9371618013711</v>
      </c>
      <c r="O5" s="18">
        <f>B38*B39*B40</f>
        <v>0</v>
      </c>
      <c r="P5" s="18">
        <f>B46*B47*B48/1000-B46*B47*B48/1000/B49</f>
        <v>38.133333333333333</v>
      </c>
      <c r="R5" s="33"/>
    </row>
    <row r="6" spans="1:18">
      <c r="A6" s="33" t="s">
        <v>53</v>
      </c>
      <c r="B6" s="38">
        <f>B26</f>
        <v>28873.868588481899</v>
      </c>
      <c r="C6" s="34"/>
      <c r="D6" s="38">
        <f>IF(ISERROR(TER_kantoor_gas_kWh/1000),0,TER_kantoor_gas_kWh/1000)*0.902</f>
        <v>23739.758483490128</v>
      </c>
      <c r="E6" s="34">
        <f>$C$26*'E Balans VL '!I12/100/3.6*1000000</f>
        <v>47.387870389528288</v>
      </c>
      <c r="F6" s="34">
        <f>$C$26*('E Balans VL '!L12+'E Balans VL '!N12)/100/3.6*1000000</f>
        <v>3403.5497413467479</v>
      </c>
      <c r="G6" s="35"/>
      <c r="H6" s="34"/>
      <c r="I6" s="34"/>
      <c r="J6" s="34">
        <f>$C$26*('E Balans VL '!D12+'E Balans VL '!E12)/100/3.6*1000000</f>
        <v>0</v>
      </c>
      <c r="K6" s="34"/>
      <c r="L6" s="34"/>
      <c r="M6" s="34"/>
      <c r="N6" s="34">
        <f>$C$26*'E Balans VL '!Y12/100/3.6*1000000</f>
        <v>5.8338284193413568</v>
      </c>
      <c r="O6" s="34"/>
      <c r="P6" s="34"/>
      <c r="R6" s="33"/>
    </row>
    <row r="7" spans="1:18">
      <c r="A7" s="33" t="s">
        <v>52</v>
      </c>
      <c r="B7" s="38">
        <f t="shared" ref="B7:B12" si="0">B27</f>
        <v>2960.9194675235103</v>
      </c>
      <c r="C7" s="34"/>
      <c r="D7" s="38">
        <f>IF(ISERROR(TER_horeca_gas_kWh/1000),0,TER_horeca_gas_kWh/1000)*0.902</f>
        <v>4793.7416535420734</v>
      </c>
      <c r="E7" s="34">
        <f>$C$27*'E Balans VL '!I9/100/3.6*1000000</f>
        <v>153.6502946927109</v>
      </c>
      <c r="F7" s="34">
        <f>$C$27*('E Balans VL '!L9+'E Balans VL '!N9)/100/3.6*1000000</f>
        <v>675.68397094267891</v>
      </c>
      <c r="G7" s="35"/>
      <c r="H7" s="34"/>
      <c r="I7" s="34"/>
      <c r="J7" s="34">
        <f>$C$27*('E Balans VL '!D9+'E Balans VL '!E9)/100/3.6*1000000</f>
        <v>0</v>
      </c>
      <c r="K7" s="34"/>
      <c r="L7" s="34"/>
      <c r="M7" s="34"/>
      <c r="N7" s="34">
        <f>$C$27*'E Balans VL '!Y9/100/3.6*1000000</f>
        <v>0.31267173886993871</v>
      </c>
      <c r="O7" s="34"/>
      <c r="P7" s="34"/>
      <c r="R7" s="33"/>
    </row>
    <row r="8" spans="1:18">
      <c r="A8" s="6" t="s">
        <v>51</v>
      </c>
      <c r="B8" s="38">
        <f t="shared" si="0"/>
        <v>21127.557974378797</v>
      </c>
      <c r="C8" s="34"/>
      <c r="D8" s="38">
        <f>IF(ISERROR(TER_handel_gas_kWh/1000),0,TER_handel_gas_kWh/1000)*0.902</f>
        <v>20036.74285688181</v>
      </c>
      <c r="E8" s="34">
        <f>$C$28*'E Balans VL '!I13/100/3.6*1000000</f>
        <v>113.77449592383779</v>
      </c>
      <c r="F8" s="34">
        <f>$C$28*('E Balans VL '!L13+'E Balans VL '!N13)/100/3.6*1000000</f>
        <v>4308.5369254500156</v>
      </c>
      <c r="G8" s="35"/>
      <c r="H8" s="34"/>
      <c r="I8" s="34"/>
      <c r="J8" s="34">
        <f>$C$28*('E Balans VL '!D13+'E Balans VL '!E13)/100/3.6*1000000</f>
        <v>0</v>
      </c>
      <c r="K8" s="34"/>
      <c r="L8" s="34"/>
      <c r="M8" s="34"/>
      <c r="N8" s="34">
        <f>$C$28*'E Balans VL '!Y13/100/3.6*1000000</f>
        <v>105.05618866287816</v>
      </c>
      <c r="O8" s="34"/>
      <c r="P8" s="34"/>
      <c r="R8" s="33"/>
    </row>
    <row r="9" spans="1:18">
      <c r="A9" s="33" t="s">
        <v>50</v>
      </c>
      <c r="B9" s="38">
        <f t="shared" si="0"/>
        <v>550.096853361527</v>
      </c>
      <c r="C9" s="34"/>
      <c r="D9" s="38">
        <f>IF(ISERROR(TER_gezond_gas_kWh/1000),0,TER_gezond_gas_kWh/1000)*0.902</f>
        <v>1430.921811951916</v>
      </c>
      <c r="E9" s="34">
        <f>$C$29*'E Balans VL '!I10/100/3.6*1000000</f>
        <v>0.54515223735679985</v>
      </c>
      <c r="F9" s="34">
        <f>$C$29*('E Balans VL '!L10+'E Balans VL '!N10)/100/3.6*1000000</f>
        <v>190.8677521829544</v>
      </c>
      <c r="G9" s="35"/>
      <c r="H9" s="34"/>
      <c r="I9" s="34"/>
      <c r="J9" s="34">
        <f>$C$29*('E Balans VL '!D10+'E Balans VL '!E10)/100/3.6*1000000</f>
        <v>0</v>
      </c>
      <c r="K9" s="34"/>
      <c r="L9" s="34"/>
      <c r="M9" s="34"/>
      <c r="N9" s="34">
        <f>$C$29*'E Balans VL '!Y10/100/3.6*1000000</f>
        <v>4.7401369307543426</v>
      </c>
      <c r="O9" s="34"/>
      <c r="P9" s="34"/>
      <c r="R9" s="33"/>
    </row>
    <row r="10" spans="1:18">
      <c r="A10" s="33" t="s">
        <v>49</v>
      </c>
      <c r="B10" s="38">
        <f t="shared" si="0"/>
        <v>7112.6043486754998</v>
      </c>
      <c r="C10" s="34"/>
      <c r="D10" s="38">
        <f>IF(ISERROR(TER_ander_gas_kWh/1000),0,TER_ander_gas_kWh/1000)*0.902</f>
        <v>3213.673571421823</v>
      </c>
      <c r="E10" s="34">
        <f>$C$30*'E Balans VL '!I14/100/3.6*1000000</f>
        <v>58.188212113957114</v>
      </c>
      <c r="F10" s="34">
        <f>$C$30*('E Balans VL '!L14+'E Balans VL '!N14)/100/3.6*1000000</f>
        <v>2079.4359454368669</v>
      </c>
      <c r="G10" s="35"/>
      <c r="H10" s="34"/>
      <c r="I10" s="34"/>
      <c r="J10" s="34">
        <f>$C$30*('E Balans VL '!D14+'E Balans VL '!E14)/100/3.6*1000000</f>
        <v>0</v>
      </c>
      <c r="K10" s="34"/>
      <c r="L10" s="34"/>
      <c r="M10" s="34"/>
      <c r="N10" s="34">
        <f>$C$30*'E Balans VL '!Y14/100/3.6*1000000</f>
        <v>4103.0394566405766</v>
      </c>
      <c r="O10" s="34"/>
      <c r="P10" s="34"/>
      <c r="R10" s="33"/>
    </row>
    <row r="11" spans="1:18">
      <c r="A11" s="33" t="s">
        <v>54</v>
      </c>
      <c r="B11" s="38">
        <f t="shared" si="0"/>
        <v>24.794666232076001</v>
      </c>
      <c r="C11" s="34"/>
      <c r="D11" s="38">
        <f>IF(ISERROR(TER_onderwijs_gas_kWh/1000),0,TER_onderwijs_gas_kWh/1000)*0.902</f>
        <v>73.142715214150144</v>
      </c>
      <c r="E11" s="34">
        <f>$C$31*'E Balans VL '!I11/100/3.6*1000000</f>
        <v>1.5282386074615587E-2</v>
      </c>
      <c r="F11" s="34">
        <f>$C$31*('E Balans VL '!L11+'E Balans VL '!N11)/100/3.6*1000000</f>
        <v>9.5860195067409801</v>
      </c>
      <c r="G11" s="35"/>
      <c r="H11" s="34"/>
      <c r="I11" s="34"/>
      <c r="J11" s="34">
        <f>$C$31*('E Balans VL '!D11+'E Balans VL '!E11)/100/3.6*1000000</f>
        <v>0</v>
      </c>
      <c r="K11" s="34"/>
      <c r="L11" s="34"/>
      <c r="M11" s="34"/>
      <c r="N11" s="34">
        <f>$C$31*'E Balans VL '!Y11/100/3.6*1000000</f>
        <v>8.0651735869418095E-2</v>
      </c>
      <c r="O11" s="34"/>
      <c r="P11" s="34"/>
      <c r="R11" s="33"/>
    </row>
    <row r="12" spans="1:18">
      <c r="A12" s="33" t="s">
        <v>259</v>
      </c>
      <c r="B12" s="38">
        <f t="shared" si="0"/>
        <v>16281.390890675901</v>
      </c>
      <c r="C12" s="34"/>
      <c r="D12" s="38">
        <f>IF(ISERROR(TER_rest_gas_kWh/1000),0,TER_rest_gas_kWh/1000)*0.902</f>
        <v>16635.997999747309</v>
      </c>
      <c r="E12" s="34">
        <f>$C$32*'E Balans VL '!I8/100/3.6*1000000</f>
        <v>140.67676422986901</v>
      </c>
      <c r="F12" s="34">
        <f>$C$32*('E Balans VL '!L8+'E Balans VL '!N8)/100/3.6*1000000</f>
        <v>3243.0473595053672</v>
      </c>
      <c r="G12" s="35"/>
      <c r="H12" s="34"/>
      <c r="I12" s="34"/>
      <c r="J12" s="34">
        <f>$C$32*('E Balans VL '!D8+'E Balans VL '!E8)/100/3.6*1000000</f>
        <v>0</v>
      </c>
      <c r="K12" s="34"/>
      <c r="L12" s="34"/>
      <c r="M12" s="34"/>
      <c r="N12" s="34">
        <f>$C$32*'E Balans VL '!Y8/100/3.6*1000000</f>
        <v>1070.8742276730809</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76931.232789329209</v>
      </c>
      <c r="C16" s="22">
        <f t="shared" ca="1" si="1"/>
        <v>0</v>
      </c>
      <c r="D16" s="22">
        <f t="shared" ca="1" si="1"/>
        <v>69923.97909224921</v>
      </c>
      <c r="E16" s="22">
        <f t="shared" si="1"/>
        <v>514.2380719733344</v>
      </c>
      <c r="F16" s="22">
        <f t="shared" ca="1" si="1"/>
        <v>13910.707714371372</v>
      </c>
      <c r="G16" s="22">
        <f t="shared" si="1"/>
        <v>0</v>
      </c>
      <c r="H16" s="22">
        <f t="shared" si="1"/>
        <v>0</v>
      </c>
      <c r="I16" s="22">
        <f t="shared" si="1"/>
        <v>0</v>
      </c>
      <c r="J16" s="22">
        <f t="shared" si="1"/>
        <v>0</v>
      </c>
      <c r="K16" s="22">
        <f t="shared" si="1"/>
        <v>0</v>
      </c>
      <c r="L16" s="22">
        <f t="shared" ca="1" si="1"/>
        <v>0</v>
      </c>
      <c r="M16" s="22">
        <f t="shared" si="1"/>
        <v>0</v>
      </c>
      <c r="N16" s="22">
        <f t="shared" ca="1" si="1"/>
        <v>5289.9371618013711</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0.21277701350267275</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16369.197957992363</v>
      </c>
      <c r="C20" s="24">
        <f t="shared" ref="C20:P20" ca="1" si="2">C16*C18</f>
        <v>0</v>
      </c>
      <c r="D20" s="24">
        <f t="shared" ca="1" si="2"/>
        <v>14124.643776634341</v>
      </c>
      <c r="E20" s="24">
        <f t="shared" si="2"/>
        <v>116.73204233794691</v>
      </c>
      <c r="F20" s="24">
        <f t="shared" ca="1" si="2"/>
        <v>3714.1589597371567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28873.868588481899</v>
      </c>
      <c r="C26" s="40">
        <f>IF(ISERROR(B26*3.6/1000000/'E Balans VL '!Z12*100),0,B26*3.6/1000000/'E Balans VL '!Z12*100)</f>
        <v>0.61354900115772382</v>
      </c>
      <c r="D26" s="240" t="s">
        <v>703</v>
      </c>
      <c r="F26" s="6"/>
    </row>
    <row r="27" spans="1:18">
      <c r="A27" s="234" t="s">
        <v>52</v>
      </c>
      <c r="B27" s="34">
        <f>IF(ISERROR(TER_horeca_ele_kWh/1000),0,TER_horeca_ele_kWh/1000)</f>
        <v>2960.9194675235103</v>
      </c>
      <c r="C27" s="40">
        <f>IF(ISERROR(B27*3.6/1000000/'E Balans VL '!Z9*100),0,B27*3.6/1000000/'E Balans VL '!Z9*100)</f>
        <v>0.23304725878504751</v>
      </c>
      <c r="D27" s="240" t="s">
        <v>703</v>
      </c>
      <c r="F27" s="6"/>
    </row>
    <row r="28" spans="1:18">
      <c r="A28" s="174" t="s">
        <v>51</v>
      </c>
      <c r="B28" s="34">
        <f>IF(ISERROR(TER_handel_ele_kWh/1000),0,TER_handel_ele_kWh/1000)</f>
        <v>21127.557974378797</v>
      </c>
      <c r="C28" s="40">
        <f>IF(ISERROR(B28*3.6/1000000/'E Balans VL '!Z13*100),0,B28*3.6/1000000/'E Balans VL '!Z13*100)</f>
        <v>0.59179420588498011</v>
      </c>
      <c r="D28" s="240" t="s">
        <v>703</v>
      </c>
      <c r="F28" s="6"/>
    </row>
    <row r="29" spans="1:18">
      <c r="A29" s="234" t="s">
        <v>50</v>
      </c>
      <c r="B29" s="34">
        <f>IF(ISERROR(TER_gezond_ele_kWh/1000),0,TER_gezond_ele_kWh/1000)</f>
        <v>550.096853361527</v>
      </c>
      <c r="C29" s="40">
        <f>IF(ISERROR(B29*3.6/1000000/'E Balans VL '!Z10*100),0,B29*3.6/1000000/'E Balans VL '!Z10*100)</f>
        <v>7.0374021803850301E-2</v>
      </c>
      <c r="D29" s="240" t="s">
        <v>703</v>
      </c>
      <c r="F29" s="6"/>
    </row>
    <row r="30" spans="1:18">
      <c r="A30" s="234" t="s">
        <v>49</v>
      </c>
      <c r="B30" s="34">
        <f>IF(ISERROR(TER_ander_ele_kWh/1000),0,TER_ander_ele_kWh/1000)</f>
        <v>7112.6043486754998</v>
      </c>
      <c r="C30" s="40">
        <f>IF(ISERROR(B30*3.6/1000000/'E Balans VL '!Z14*100),0,B30*3.6/1000000/'E Balans VL '!Z14*100)</f>
        <v>0.53196287342974191</v>
      </c>
      <c r="D30" s="240" t="s">
        <v>703</v>
      </c>
      <c r="F30" s="6"/>
    </row>
    <row r="31" spans="1:18">
      <c r="A31" s="234" t="s">
        <v>54</v>
      </c>
      <c r="B31" s="34">
        <f>IF(ISERROR(TER_onderwijs_ele_kWh/1000),0,TER_onderwijs_ele_kWh/1000)</f>
        <v>24.794666232076001</v>
      </c>
      <c r="C31" s="40">
        <f>IF(ISERROR(B31*3.6/1000000/'E Balans VL '!Z11*100),0,B31*3.6/1000000/'E Balans VL '!Z11*100)</f>
        <v>5.2354258922050045E-3</v>
      </c>
      <c r="D31" s="240" t="s">
        <v>703</v>
      </c>
    </row>
    <row r="32" spans="1:18">
      <c r="A32" s="234" t="s">
        <v>259</v>
      </c>
      <c r="B32" s="34">
        <f>IF(ISERROR(TER_rest_ele_kWh/1000),0,TER_rest_ele_kWh/1000)</f>
        <v>16281.390890675901</v>
      </c>
      <c r="C32" s="40">
        <f>IF(ISERROR(B32*3.6/1000000/'E Balans VL '!Z8*100),0,B32*3.6/1000000/'E Balans VL '!Z8*100)</f>
        <v>0.13412499208825629</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26236.331746171676</v>
      </c>
      <c r="C5" s="18">
        <f>IF(ISERROR('Eigen informatie GS &amp; warmtenet'!B59),0,'Eigen informatie GS &amp; warmtenet'!B59)</f>
        <v>0</v>
      </c>
      <c r="D5" s="31">
        <f>SUM(D6:D15)</f>
        <v>44868.063693466822</v>
      </c>
      <c r="E5" s="18">
        <f>SUM(E6:E15)</f>
        <v>239.63844605214666</v>
      </c>
      <c r="F5" s="18">
        <f>SUM(F6:F15)</f>
        <v>5516.0137803207135</v>
      </c>
      <c r="G5" s="19"/>
      <c r="H5" s="18"/>
      <c r="I5" s="18"/>
      <c r="J5" s="18">
        <f>SUM(J6:J15)</f>
        <v>124.72356050981172</v>
      </c>
      <c r="K5" s="18"/>
      <c r="L5" s="18"/>
      <c r="M5" s="18"/>
      <c r="N5" s="18">
        <f>SUM(N6:N15)</f>
        <v>893.84209354069219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175.42891414092801</v>
      </c>
      <c r="C8" s="34"/>
      <c r="D8" s="38">
        <f>IF( ISERROR(IND_metaal_Gas_kWH/1000),0,IND_metaal_Gas_kWH/1000)*0.902</f>
        <v>0</v>
      </c>
      <c r="E8" s="34">
        <f>C30*'E Balans VL '!I18/100/3.6*1000000</f>
        <v>1.5975995066237783</v>
      </c>
      <c r="F8" s="34">
        <f>C30*'E Balans VL '!L18/100/3.6*1000000+C30*'E Balans VL '!N18/100/3.6*1000000</f>
        <v>23.137741545132648</v>
      </c>
      <c r="G8" s="35"/>
      <c r="H8" s="34"/>
      <c r="I8" s="34"/>
      <c r="J8" s="41">
        <f>C30*'E Balans VL '!D18/100/3.6*1000000+C30*'E Balans VL '!E18/100/3.6*1000000</f>
        <v>2.876779478299849</v>
      </c>
      <c r="K8" s="34"/>
      <c r="L8" s="34"/>
      <c r="M8" s="34"/>
      <c r="N8" s="34">
        <f>C30*'E Balans VL '!Y18/100/3.6*1000000</f>
        <v>0.60287948894499277</v>
      </c>
      <c r="O8" s="34"/>
      <c r="P8" s="34"/>
      <c r="R8" s="33"/>
    </row>
    <row r="9" spans="1:18">
      <c r="A9" s="6" t="s">
        <v>32</v>
      </c>
      <c r="B9" s="38">
        <f t="shared" si="0"/>
        <v>741.515165789403</v>
      </c>
      <c r="C9" s="34"/>
      <c r="D9" s="38">
        <f>IF( ISERROR(IND_andere_gas_kWh/1000),0,IND_andere_gas_kWh/1000)*0.902</f>
        <v>529.08032842190062</v>
      </c>
      <c r="E9" s="34">
        <f>C31*'E Balans VL '!I19/100/3.6*1000000</f>
        <v>4.2860684685388293</v>
      </c>
      <c r="F9" s="34">
        <f>C31*'E Balans VL '!L19/100/3.6*1000000+C31*'E Balans VL '!N19/100/3.6*1000000</f>
        <v>589.91099468332663</v>
      </c>
      <c r="G9" s="35"/>
      <c r="H9" s="34"/>
      <c r="I9" s="34"/>
      <c r="J9" s="41">
        <f>C31*'E Balans VL '!D19/100/3.6*1000000+C31*'E Balans VL '!E19/100/3.6*1000000</f>
        <v>7.013909816650539E-2</v>
      </c>
      <c r="K9" s="34"/>
      <c r="L9" s="34"/>
      <c r="M9" s="34"/>
      <c r="N9" s="34">
        <f>C31*'E Balans VL '!Y19/100/3.6*1000000</f>
        <v>56.180995385382069</v>
      </c>
      <c r="O9" s="34"/>
      <c r="P9" s="34"/>
      <c r="R9" s="33"/>
    </row>
    <row r="10" spans="1:18">
      <c r="A10" s="6" t="s">
        <v>40</v>
      </c>
      <c r="B10" s="38">
        <f t="shared" si="0"/>
        <v>885.03648676029798</v>
      </c>
      <c r="C10" s="34"/>
      <c r="D10" s="38">
        <f>IF( ISERROR(IND_voed_gas_kWh/1000),0,IND_voed_gas_kWh/1000)*0.902</f>
        <v>571.311306576378</v>
      </c>
      <c r="E10" s="34">
        <f>C32*'E Balans VL '!I20/100/3.6*1000000</f>
        <v>8.7022240542221336</v>
      </c>
      <c r="F10" s="34">
        <f>C32*'E Balans VL '!L20/100/3.6*1000000+C32*'E Balans VL '!N20/100/3.6*1000000</f>
        <v>98.294853921266366</v>
      </c>
      <c r="G10" s="35"/>
      <c r="H10" s="34"/>
      <c r="I10" s="34"/>
      <c r="J10" s="41">
        <f>C32*'E Balans VL '!D20/100/3.6*1000000+C32*'E Balans VL '!E20/100/3.6*1000000</f>
        <v>3.4883305767111515E-3</v>
      </c>
      <c r="K10" s="34"/>
      <c r="L10" s="34"/>
      <c r="M10" s="34"/>
      <c r="N10" s="34">
        <f>C32*'E Balans VL '!Y20/100/3.6*1000000</f>
        <v>13.105308543662684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219.057212681246</v>
      </c>
      <c r="C13" s="34"/>
      <c r="D13" s="38">
        <f>IF( ISERROR(IND_papier_gas_kWh/1000),0,IND_papier_gas_kWh/1000)*0.902</f>
        <v>0</v>
      </c>
      <c r="E13" s="34">
        <f>C35*'E Balans VL '!I23/100/3.6*1000000</f>
        <v>7.4614062763471871</v>
      </c>
      <c r="F13" s="34">
        <f>C35*'E Balans VL '!L23/100/3.6*1000000+C35*'E Balans VL '!N23/100/3.6*1000000</f>
        <v>36.183110372826647</v>
      </c>
      <c r="G13" s="35"/>
      <c r="H13" s="34"/>
      <c r="I13" s="34"/>
      <c r="J13" s="41">
        <f>C35*'E Balans VL '!D23/100/3.6*1000000+C35*'E Balans VL '!E23/100/3.6*1000000</f>
        <v>0</v>
      </c>
      <c r="K13" s="34"/>
      <c r="L13" s="34"/>
      <c r="M13" s="34"/>
      <c r="N13" s="34">
        <f>C35*'E Balans VL '!Y23/100/3.6*1000000</f>
        <v>80.607179607658296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24215.2939667998</v>
      </c>
      <c r="C15" s="34"/>
      <c r="D15" s="38">
        <f>IF( ISERROR(IND_rest_gas_kWh/1000),0,IND_rest_gas_kWh/1000)*0.902</f>
        <v>43767.672058468546</v>
      </c>
      <c r="E15" s="34">
        <f>C37*'E Balans VL '!I15/100/3.6*1000000</f>
        <v>217.59114774641472</v>
      </c>
      <c r="F15" s="34">
        <f>C37*'E Balans VL '!L15/100/3.6*1000000+C37*'E Balans VL '!N15/100/3.6*1000000</f>
        <v>4768.4870797981612</v>
      </c>
      <c r="G15" s="35"/>
      <c r="H15" s="34"/>
      <c r="I15" s="34"/>
      <c r="J15" s="41">
        <f>C37*'E Balans VL '!D15/100/3.6*1000000+C37*'E Balans VL '!E15/100/3.6*1000000</f>
        <v>121.77315360276866</v>
      </c>
      <c r="K15" s="34"/>
      <c r="L15" s="34"/>
      <c r="M15" s="34"/>
      <c r="N15" s="34">
        <f>C37*'E Balans VL '!Y15/100/3.6*1000000</f>
        <v>743.34573051504412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26236.331746171676</v>
      </c>
      <c r="C18" s="22">
        <f>C5+C16</f>
        <v>0</v>
      </c>
      <c r="D18" s="22">
        <f>MAX((D5+D16),0)</f>
        <v>44868.063693466822</v>
      </c>
      <c r="E18" s="22">
        <f>MAX((E5+E16),0)</f>
        <v>239.63844605214666</v>
      </c>
      <c r="F18" s="22">
        <f>MAX((F5+F16),0)</f>
        <v>5516.0137803207135</v>
      </c>
      <c r="G18" s="22"/>
      <c r="H18" s="22"/>
      <c r="I18" s="22"/>
      <c r="J18" s="22">
        <f>MAX((J5+J16),0)</f>
        <v>124.72356050981172</v>
      </c>
      <c r="K18" s="22"/>
      <c r="L18" s="22">
        <f>MAX((L5+L16),0)</f>
        <v>0</v>
      </c>
      <c r="M18" s="22"/>
      <c r="N18" s="22">
        <f>MAX((N5+N16),0)</f>
        <v>893.84209354069219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0.21277701350267275</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5582.4883142157723</v>
      </c>
      <c r="C22" s="24">
        <f ca="1">C18*C20</f>
        <v>0</v>
      </c>
      <c r="D22" s="24">
        <f>D18*D20</f>
        <v>9063.3488660802977</v>
      </c>
      <c r="E22" s="24">
        <f>E18*E20</f>
        <v>54.397927253837295</v>
      </c>
      <c r="F22" s="24">
        <f>F18*F20</f>
        <v>1472.7756793456306</v>
      </c>
      <c r="G22" s="24"/>
      <c r="H22" s="24"/>
      <c r="I22" s="24"/>
      <c r="J22" s="24">
        <f>J18*J20</f>
        <v>44.152140420473344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175.42891414092801</v>
      </c>
      <c r="C30" s="40">
        <f>IF(ISERROR(B30*3.6/1000000/'E Balans VL '!Z18*100),0,B30*3.6/1000000/'E Balans VL '!Z18*100)</f>
        <v>9.7614459888585303E-3</v>
      </c>
      <c r="D30" s="240" t="s">
        <v>703</v>
      </c>
    </row>
    <row r="31" spans="1:18">
      <c r="A31" s="6" t="s">
        <v>32</v>
      </c>
      <c r="B31" s="38">
        <f>IF( ISERROR(IND_ander_ele_kWh/1000),0,IND_ander_ele_kWh/1000)</f>
        <v>741.515165789403</v>
      </c>
      <c r="C31" s="40">
        <f>IF(ISERROR(B31*3.6/1000000/'E Balans VL '!Z19*100),0,B31*3.6/1000000/'E Balans VL '!Z19*100)</f>
        <v>3.4471092614255211E-2</v>
      </c>
      <c r="D31" s="240" t="s">
        <v>703</v>
      </c>
    </row>
    <row r="32" spans="1:18">
      <c r="A32" s="174" t="s">
        <v>40</v>
      </c>
      <c r="B32" s="38">
        <f>IF( ISERROR(IND_voed_ele_kWh/1000),0,IND_voed_ele_kWh/1000)</f>
        <v>885.03648676029798</v>
      </c>
      <c r="C32" s="40">
        <f>IF(ISERROR(B32*3.6/1000000/'E Balans VL '!Z20*100),0,B32*3.6/1000000/'E Balans VL '!Z20*100)</f>
        <v>3.1284252400094061E-2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219.057212681246</v>
      </c>
      <c r="C35" s="40">
        <f>IF(ISERROR(B35*3.6/1000000/'E Balans VL '!Z22*100),0,B35*3.6/1000000/'E Balans VL '!Z22*100)</f>
        <v>4.4024322544224136E-2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24215.2939667998</v>
      </c>
      <c r="C37" s="40">
        <f>IF(ISERROR(B37*3.6/1000000/'E Balans VL '!Z15*100),0,B37*3.6/1000000/'E Balans VL '!Z15*100)</f>
        <v>0.18286124084769831</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523.65682833972789</v>
      </c>
      <c r="C5" s="18">
        <f>'Eigen informatie GS &amp; warmtenet'!B60</f>
        <v>0</v>
      </c>
      <c r="D5" s="31">
        <f>IF(ISERROR(SUM(LB_lb_gas_kWh,LB_rest_gas_kWh)/1000),0,SUM(LB_lb_gas_kWh,LB_rest_gas_kWh)/1000)*0.902</f>
        <v>89.580621101413954</v>
      </c>
      <c r="E5" s="18">
        <f>B17*'E Balans VL '!I25/3.6*1000000/100</f>
        <v>4.9331981845445707</v>
      </c>
      <c r="F5" s="18">
        <f>B17*('E Balans VL '!L25/3.6*1000000+'E Balans VL '!N25/3.6*1000000)/100</f>
        <v>1708.8660173113662</v>
      </c>
      <c r="G5" s="19"/>
      <c r="H5" s="18"/>
      <c r="I5" s="18"/>
      <c r="J5" s="18">
        <f>('E Balans VL '!D25+'E Balans VL '!E25)/3.6*1000000*landbouw!B17/100</f>
        <v>64.778896731948123</v>
      </c>
      <c r="K5" s="18"/>
      <c r="L5" s="18">
        <f>L6*(-1)</f>
        <v>0</v>
      </c>
      <c r="M5" s="18"/>
      <c r="N5" s="18">
        <f>N6*(-1)</f>
        <v>0</v>
      </c>
      <c r="O5" s="18"/>
      <c r="P5" s="18"/>
      <c r="R5" s="33"/>
    </row>
    <row r="6" spans="1:18">
      <c r="A6" s="17" t="s">
        <v>501</v>
      </c>
      <c r="B6" s="18" t="s">
        <v>210</v>
      </c>
      <c r="C6" s="18">
        <f>'lokale energieproductie'!O39+'lokale energieproductie'!O32</f>
        <v>22.5</v>
      </c>
      <c r="D6" s="310">
        <f>('lokale energieproductie'!P32+'lokale energieproductie'!P39)*(-1)</f>
        <v>-30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523.65682833972789</v>
      </c>
      <c r="C8" s="22">
        <f>C5+C6</f>
        <v>22.5</v>
      </c>
      <c r="D8" s="22">
        <f>MAX((D5+D6),0)</f>
        <v>59.580621101413954</v>
      </c>
      <c r="E8" s="22">
        <f>MAX((E5+E6),0)</f>
        <v>4.9331981845445707</v>
      </c>
      <c r="F8" s="22">
        <f>MAX((F5+F6),0)</f>
        <v>1708.8660173113662</v>
      </c>
      <c r="G8" s="22"/>
      <c r="H8" s="22"/>
      <c r="I8" s="22"/>
      <c r="J8" s="22">
        <f>MAX((J5+J6),0)</f>
        <v>64.778896731948123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0.21277701350267275</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111.42213603440906</v>
      </c>
      <c r="C12" s="24">
        <f ca="1">C8*C10</f>
        <v>5.0500000000000007</v>
      </c>
      <c r="D12" s="24">
        <f>D8*D10</f>
        <v>12.03528546248562</v>
      </c>
      <c r="E12" s="24">
        <f>E8*E10</f>
        <v>1.1198359878916175</v>
      </c>
      <c r="F12" s="24">
        <f>F8*F10</f>
        <v>456.26722662213484</v>
      </c>
      <c r="G12" s="24"/>
      <c r="H12" s="24"/>
      <c r="I12" s="24"/>
      <c r="J12" s="24">
        <f>J8*J10</f>
        <v>22.931729443109635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7.0894766788574495E-2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51.349859563488224</v>
      </c>
      <c r="C26" s="250">
        <f>B26*'GWP N2O_CH4'!B5</f>
        <v>1078.3470508332528</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7.7817680806825784</v>
      </c>
      <c r="C27" s="250">
        <f>B27*'GWP N2O_CH4'!B5</f>
        <v>163.41712969433414</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1.0141315942279736</v>
      </c>
      <c r="C28" s="250">
        <f>B28*'GWP N2O_CH4'!B4</f>
        <v>314.38079421067181</v>
      </c>
      <c r="D28" s="51"/>
    </row>
    <row r="29" spans="1:4">
      <c r="A29" s="42" t="s">
        <v>276</v>
      </c>
      <c r="B29" s="250">
        <f>B34*'ha_N2O bodem landbouw'!B4</f>
        <v>8.124132430148908</v>
      </c>
      <c r="C29" s="250">
        <f>B29*'GWP N2O_CH4'!B4</f>
        <v>2518.4810533461614</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2.193260006283474E-3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3.1335243282283571E-5</v>
      </c>
      <c r="C5" s="443" t="s">
        <v>210</v>
      </c>
      <c r="D5" s="428">
        <f>SUM(D6:D11)</f>
        <v>7.0043271659815919E-5</v>
      </c>
      <c r="E5" s="428">
        <f>SUM(E6:E11)</f>
        <v>5.1321994498081287E-3</v>
      </c>
      <c r="F5" s="441" t="s">
        <v>210</v>
      </c>
      <c r="G5" s="428">
        <f>SUM(G6:G11)</f>
        <v>1.1137209784235942</v>
      </c>
      <c r="H5" s="428">
        <f>SUM(H6:H11)</f>
        <v>0.18427302637718476</v>
      </c>
      <c r="I5" s="443" t="s">
        <v>210</v>
      </c>
      <c r="J5" s="443" t="s">
        <v>210</v>
      </c>
      <c r="K5" s="443" t="s">
        <v>210</v>
      </c>
      <c r="L5" s="443" t="s">
        <v>210</v>
      </c>
      <c r="M5" s="428">
        <f>SUM(M6:M11)</f>
        <v>5.7996450050643203E-2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5.5404436881573504E-6</v>
      </c>
      <c r="C6" s="429"/>
      <c r="D6" s="429">
        <f>vkm_GW_PW*SUMIFS(TableVerdeelsleutelVkm[CNG],TableVerdeelsleutelVkm[Voertuigtype],"Lichte voertuigen")*SUMIFS(TableECFTransport[EnergieConsumptieFactor (PJ per km)],TableECFTransport[Index],CONCATENATE($A6,"_CNG_CNG"))</f>
        <v>1.1209773403617274E-5</v>
      </c>
      <c r="E6" s="431">
        <f>vkm_GW_PW*SUMIFS(TableVerdeelsleutelVkm[LPG],TableVerdeelsleutelVkm[Voertuigtype],"Lichte voertuigen")*SUMIFS(TableECFTransport[EnergieConsumptieFactor (PJ per km)],TableECFTransport[Index],CONCATENATE($A6,"_LPG_LPG"))</f>
        <v>7.2369571749976447E-4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0.11556032549364911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2.8957354789124624E-2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6.4683452282318695E-3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2.0478103099970259E-2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5.601105710813003E-7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9.1120927061799563E-4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4.9372373225552297E-6</v>
      </c>
      <c r="C8" s="429"/>
      <c r="D8" s="431">
        <f>vkm_NGW_PW*SUMIFS(TableVerdeelsleutelVkm[CNG],TableVerdeelsleutelVkm[Voertuigtype],"Lichte voertuigen")*SUMIFS(TableECFTransport[EnergieConsumptieFactor (PJ per km)],TableECFTransport[Index],CONCATENATE($A8,"_CNG_CNG"))</f>
        <v>1.695471497947509E-5</v>
      </c>
      <c r="E8" s="431">
        <f>vkm_NGW_PW*SUMIFS(TableVerdeelsleutelVkm[LPG],TableVerdeelsleutelVkm[Voertuigtype],"Lichte voertuigen")*SUMIFS(TableECFTransport[EnergieConsumptieFactor (PJ per km)],TableECFTransport[Index],CONCATENATE($A8,"_LPG_LPG"))</f>
        <v>1.0303167227097352E-3</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0.15662129668613525</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4.1796743321945717E-2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8.8834991248830653E-3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2.6416748501326345E-2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8.3908392288485631E-7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1.1754650972997049E-3</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2.0857562271570988E-5</v>
      </c>
      <c r="C10" s="429"/>
      <c r="D10" s="431">
        <f>vkm_SW_PW*SUMIFS(TableVerdeelsleutelVkm[CNG],TableVerdeelsleutelVkm[Voertuigtype],"Lichte voertuigen")*SUMIFS(TableECFTransport[EnergieConsumptieFactor (PJ per km)],TableECFTransport[Index],CONCATENATE($A10,"_CNG_CNG"))</f>
        <v>4.1878783276723553E-5</v>
      </c>
      <c r="E10" s="431">
        <f>vkm_SW_PW*SUMIFS(TableVerdeelsleutelVkm[LPG],TableVerdeelsleutelVkm[Voertuigtype],"Lichte voertuigen")*SUMIFS(TableECFTransport[EnergieConsumptieFactor (PJ per km)],TableECFTransport[Index],CONCATENATE($A10,"_LPG_LPG"))</f>
        <v>3.3781870095986287E-3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0.49311030398104772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0.11350853573326762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2.7140601738279539E-2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0.30153420066146552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8.9933383528257768E-6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1.341732959133103E-2</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8.7042342450787693</v>
      </c>
      <c r="C14" s="22"/>
      <c r="D14" s="22">
        <f t="shared" ref="D14:M14" si="0">((D5)*10^9/3600)+D12</f>
        <v>19.456464349948867</v>
      </c>
      <c r="E14" s="22">
        <f t="shared" si="0"/>
        <v>1425.6109582800359</v>
      </c>
      <c r="F14" s="22"/>
      <c r="G14" s="22">
        <f t="shared" si="0"/>
        <v>309366.93845099839</v>
      </c>
      <c r="H14" s="22">
        <f t="shared" si="0"/>
        <v>51186.95177144021</v>
      </c>
      <c r="I14" s="22"/>
      <c r="J14" s="22"/>
      <c r="K14" s="22"/>
      <c r="L14" s="22"/>
      <c r="M14" s="22">
        <f t="shared" si="0"/>
        <v>16110.125014067557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0.21277701350267275</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1.8520609674955519</v>
      </c>
      <c r="C18" s="24"/>
      <c r="D18" s="24">
        <f t="shared" ref="D18:M18" si="1">D14*D16</f>
        <v>3.9302057986896712</v>
      </c>
      <c r="E18" s="24">
        <f t="shared" si="1"/>
        <v>323.61368752956815</v>
      </c>
      <c r="F18" s="24"/>
      <c r="G18" s="24">
        <f t="shared" si="1"/>
        <v>82600.972566416574</v>
      </c>
      <c r="H18" s="24">
        <f t="shared" si="1"/>
        <v>12745.550991088612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1.7463841926829871E-2</v>
      </c>
      <c r="H50" s="321">
        <f t="shared" si="2"/>
        <v>0</v>
      </c>
      <c r="I50" s="321">
        <f t="shared" si="2"/>
        <v>0</v>
      </c>
      <c r="J50" s="321">
        <f t="shared" si="2"/>
        <v>0</v>
      </c>
      <c r="K50" s="321">
        <f t="shared" si="2"/>
        <v>0</v>
      </c>
      <c r="L50" s="321">
        <f t="shared" si="2"/>
        <v>0</v>
      </c>
      <c r="M50" s="321">
        <f t="shared" si="2"/>
        <v>7.6624646198853168E-4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1.7463841926829871E-2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7.6624646198853168E-4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4851.0672018971864</v>
      </c>
      <c r="H54" s="22">
        <f t="shared" si="3"/>
        <v>0</v>
      </c>
      <c r="I54" s="22">
        <f t="shared" si="3"/>
        <v>0</v>
      </c>
      <c r="J54" s="22">
        <f t="shared" si="3"/>
        <v>0</v>
      </c>
      <c r="K54" s="22">
        <f t="shared" si="3"/>
        <v>0</v>
      </c>
      <c r="L54" s="22">
        <f t="shared" si="3"/>
        <v>0</v>
      </c>
      <c r="M54" s="22">
        <f t="shared" si="3"/>
        <v>212.84623944125877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0.21277701350267275</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1295.2349429065489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6408.4197699132883</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4.5</v>
      </c>
      <c r="C8" s="554">
        <f>B48</f>
        <v>5</v>
      </c>
      <c r="D8" s="980"/>
      <c r="E8" s="980">
        <f>E48</f>
        <v>0</v>
      </c>
      <c r="F8" s="981"/>
      <c r="G8" s="555"/>
      <c r="H8" s="980">
        <f>I48</f>
        <v>0</v>
      </c>
      <c r="I8" s="980">
        <f>G48+F48</f>
        <v>0</v>
      </c>
      <c r="J8" s="980">
        <f>H48+D48+C48</f>
        <v>0</v>
      </c>
      <c r="K8" s="980"/>
      <c r="L8" s="980"/>
      <c r="M8" s="980"/>
      <c r="N8" s="556"/>
      <c r="O8" s="557">
        <f>C8*$C$12+D8*$D$12+E8*$E$12+F8*$F$12+G8*$G$12+H8*$H$12+I8*$I$12+J8*$J$12</f>
        <v>1.01</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6412.9197699132883</v>
      </c>
      <c r="C10" s="566">
        <f t="shared" ref="C10:L10" si="0">SUM(C8:C9)</f>
        <v>5</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1.01</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22.5</v>
      </c>
      <c r="C17" s="578">
        <f>B49</f>
        <v>25</v>
      </c>
      <c r="D17" s="579"/>
      <c r="E17" s="579">
        <f>E49</f>
        <v>0</v>
      </c>
      <c r="F17" s="580"/>
      <c r="G17" s="581"/>
      <c r="H17" s="578">
        <f>I49</f>
        <v>0</v>
      </c>
      <c r="I17" s="579">
        <f>G49+F49</f>
        <v>0</v>
      </c>
      <c r="J17" s="579">
        <f>H49+D49+C49</f>
        <v>0</v>
      </c>
      <c r="K17" s="579"/>
      <c r="L17" s="579"/>
      <c r="M17" s="579"/>
      <c r="N17" s="987"/>
      <c r="O17" s="582">
        <f>C17*$C$22+E17*$E$22+H17*$H$22+I17*$I$22+J17*$J$22+D17*$D$22+F17*$F$22+G17*$G$22+K17*$K$22+L17*$L$22</f>
        <v>5.0500000000000007</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22.5</v>
      </c>
      <c r="C20" s="565">
        <f>SUM(C17:C19)</f>
        <v>25</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5.0500000000000007</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23025</v>
      </c>
      <c r="C28" s="785">
        <v>1850</v>
      </c>
      <c r="D28" s="638" t="s">
        <v>954</v>
      </c>
      <c r="E28" s="637" t="s">
        <v>955</v>
      </c>
      <c r="F28" s="637" t="s">
        <v>956</v>
      </c>
      <c r="G28" s="637" t="s">
        <v>957</v>
      </c>
      <c r="H28" s="637" t="s">
        <v>957</v>
      </c>
      <c r="I28" s="637" t="s">
        <v>955</v>
      </c>
      <c r="J28" s="784">
        <v>41051</v>
      </c>
      <c r="K28" s="784">
        <v>41579</v>
      </c>
      <c r="L28" s="637" t="s">
        <v>958</v>
      </c>
      <c r="M28" s="637">
        <v>1</v>
      </c>
      <c r="N28" s="637">
        <v>4.5</v>
      </c>
      <c r="O28" s="637">
        <v>22.5</v>
      </c>
      <c r="P28" s="637">
        <v>30</v>
      </c>
      <c r="Q28" s="637">
        <v>0</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1</v>
      </c>
      <c r="N29" s="595">
        <f>SUM(N28:N28)</f>
        <v>4.5</v>
      </c>
      <c r="O29" s="595">
        <f>SUM(O28:O28)</f>
        <v>22.5</v>
      </c>
      <c r="P29" s="595">
        <f>SUM(P28:P28)</f>
        <v>30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1</v>
      </c>
      <c r="N32" s="600">
        <f>SUMIF($Z$28:$Z$28,"landbouw",N28:N28)</f>
        <v>4.5</v>
      </c>
      <c r="O32" s="600">
        <f>SUMIF($Z$28:$Z$28,"landbouw",O28:O28)</f>
        <v>22.5</v>
      </c>
      <c r="P32" s="600">
        <f>SUMIF($Z$28:$Z$28,"landbouw",P28:P28)</f>
        <v>30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0.83333333333333337</v>
      </c>
      <c r="C45" s="620">
        <f>IF(ISERROR(N29/(O29+N29)),0,N29/(N29+O29))</f>
        <v>0.16666666666666666</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5</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25</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2020-06-20T16:27:12Z</dcterms:modified>
</cp:coreProperties>
</file>