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D20" i="18" s="1"/>
  <c r="C18" i="18"/>
  <c r="B18" i="18"/>
  <c r="L9" i="18"/>
  <c r="K9" i="18"/>
  <c r="G9" i="18"/>
  <c r="G10" i="18" s="1"/>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K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B4" i="48"/>
  <c r="C11" i="14"/>
  <c r="B38" i="13"/>
  <c r="C24" i="14"/>
  <c r="C26" i="14" s="1"/>
  <c r="B7" i="48"/>
  <c r="P11" i="14"/>
  <c r="O4" i="48"/>
  <c r="O22" i="48" s="1"/>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D16" i="14"/>
  <c r="E7" i="48"/>
  <c r="E25" i="48" s="1"/>
  <c r="F24" i="14"/>
  <c r="F26" i="14" s="1"/>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26" i="48" l="1"/>
  <c r="J33" i="48" s="1"/>
  <c r="J15" i="48"/>
  <c r="K63" i="14"/>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<sst xmlns="http://schemas.openxmlformats.org/spreadsheetml/2006/main" count="2507" uniqueCount="959">
  <si>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</si>
  <si>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</si>
  <si>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</si>
  <si>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</si>
  <si>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</si>
  <si>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</si>
  <si>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</si>
  <si>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</si>
  <si>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</si>
  <si>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</si>
  <si>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</si>
  <si>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</si>
  <si>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</si>
  <si>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</si>
  <si>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</si>
  <si>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</si>
  <si>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</si>
  <si>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</si>
  <si>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</si>
  <si>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</si>
  <si>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</si>
  <si>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</si>
  <si>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</si>
  <si>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</si>
  <si>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</si>
  <si>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</si>
  <si>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</si>
  <si>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</si>
  <si>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</si>
  <si>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</si>
  <si>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</si>
  <si>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</si>
  <si>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</si>
  <si>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</si>
  <si>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</si>
  <si>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</si>
  <si>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</si>
  <si>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</si>
  <si>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</si>
  <si>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</si>
  <si>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</si>
  <si>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</si>
  <si>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</si>
  <si>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</si>
  <si>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</si>
  <si>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</si>
  <si>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</si>
  <si>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</si>
  <si>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</si>
  <si>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</si>
  <si>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</si>
  <si>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</si>
  <si>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</si>
  <si>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</si>
  <si>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</si>
  <si>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</si>
  <si>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</si>
  <si>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</si>
  <si>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</si>
  <si>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</si>
  <si>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</si>
  <si>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</si>
  <si>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</si>
  <si>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</si>
  <si>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</si>
  <si>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</si>
  <si>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</si>
  <si>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</si>
  <si>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</si>
  <si>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</si>
  <si>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</si>
  <si>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</si>
  <si>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</si>
  <si>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</si>
  <si>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</si>
  <si>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</si>
  <si>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</si>
  <si>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</si>
  <si>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</si>
  <si>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</si>
  <si>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</si>
  <si>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</si>
  <si>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</si>
  <si>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</si>
  <si>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</si>
  <si>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</si>
  <si>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</si>
  <si>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</si>
  <si>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</si>
  <si>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</si>
  <si>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</si>
  <si>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</si>
  <si>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</si>
  <si>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</si>
  <si>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</si>
  <si>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</si>
  <si>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</si>
  <si>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</si>
  <si>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</si>
  <si>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</si>
  <si>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</si>
  <si>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</si>
  <si>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</si>
  <si>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</si>
  <si>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</si>
  <si>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</si>
  <si>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</si>
  <si>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</si>
  <si>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</si>
  <si>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</si>
  <si>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</si>
  <si>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</si>
  <si>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</si>
  <si>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</si>
  <si>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</si>
  <si>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</si>
  <si>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</si>
  <si>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</si>
  <si>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</si>
  <si>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</si>
  <si>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</si>
  <si>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</si>
  <si>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</si>
  <si>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</si>
  <si>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</si>
  <si>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</si>
  <si>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</si>
  <si>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</si>
  <si>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</si>
  <si>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</si>
  <si>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</si>
  <si>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</si>
  <si>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</si>
  <si>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</si>
  <si>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</si>
  <si>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</si>
  <si>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</si>
  <si>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</si>
  <si>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</si>
  <si>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</si>
  <si>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</si>
  <si>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</si>
  <si>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</si>
  <si>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</si>
  <si>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</si>
  <si>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</si>
  <si>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</si>
  <si>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</si>
  <si>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</si>
  <si>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</si>
  <si>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</si>
  <si>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</si>
  <si>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</si>
  <si>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</si>
  <si>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</si>
  <si>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</si>
  <si>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</si>
  <si>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</si>
  <si>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</si>
  <si>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</si>
  <si>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</si>
  <si>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</si>
  <si>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</si>
  <si>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</si>
  <si>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</si>
  <si>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</si>
  <si>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</si>
  <si>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</si>
  <si>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</si>
  <si>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</si>
  <si>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</si>
  <si>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</si>
  <si>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</si>
  <si>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</si>
  <si>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</si>
  <si>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</si>
  <si>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</si>
  <si>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</si>
  <si>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</si>
  <si>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</si>
  <si>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</si>
  <si>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</si>
  <si>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</si>
  <si>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</si>
  <si>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</si>
  <si>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</si>
  <si>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</si>
  <si>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</si>
  <si>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</si>
  <si>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</si>
  <si>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</si>
  <si>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</si>
  <si>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</si>
  <si>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</si>
  <si>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</si>
  <si>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</si>
  <si>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</si>
  <si>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</si>
  <si>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</si>
  <si>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</si>
  <si>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</si>
  <si>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</si>
  <si>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</si>
  <si>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</si>
  <si>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</si>
  <si>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</si>
  <si>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</si>
  <si>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</si>
  <si>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</si>
  <si>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</si>
  <si>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</si>
  <si>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</si>
  <si>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</si>
  <si>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</si>
  <si>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</si>
  <si>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</si>
  <si>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</si>
  <si>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</si>
  <si>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</si>
  <si>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</si>
  <si>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</si>
  <si>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</si>
  <si>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</si>
  <si>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</si>
  <si>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</si>
  <si>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</si>
  <si>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</si>
  <si>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</si>
  <si>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</si>
  <si>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</si>
  <si>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</si>
  <si>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</si>
  <si>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</si>
  <si>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</si>
  <si>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</si>
  <si>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</si>
  <si>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</si>
  <si>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</si>
  <si>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</si>
  <si>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</si>
  <si>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</si>
  <si>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</si>
  <si>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</si>
  <si>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</si>
  <si>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</si>
  <si>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</si>
  <si>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</si>
  <si>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</si>
  <si>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</si>
  <si>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</si>
  <si>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</si>
  <si>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</si>
  <si>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</si>
  <si>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</si>
  <si>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</si>
  <si>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</si>
  <si>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</si>
  <si>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</si>
  <si>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</si>
  <si>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</si>
  <si>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</si>
  <si>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</si>
  <si>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</si>
  <si>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</si>
  <si>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</si>
  <si>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</si>
  <si>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</si>
  <si>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</si>
  <si>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</si>
  <si>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</si>
  <si>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</si>
  <si>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</si>
  <si>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</si>
  <si>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</si>
  <si>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</si>
  <si>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</si>
  <si>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</si>
  <si>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</si>
  <si>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</si>
  <si>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</si>
  <si>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</si>
  <si>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</si>
  <si>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</si>
  <si>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</si>
  <si>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</si>
  <si>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</si>
  <si>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</si>
  <si>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</si>
  <si>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</si>
  <si>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</si>
  <si>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</si>
  <si>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</si>
  <si>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</si>
  <si>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</si>
  <si>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</si>
  <si>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</si>
  <si>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</si>
  <si>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</si>
  <si>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</si>
  <si>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</si>
  <si>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</si>
  <si>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</si>
  <si>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</si>
  <si>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</si>
  <si>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</si>
  <si>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</si>
  <si>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</si>
  <si>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</si>
  <si>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</si>
  <si>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</si>
  <si>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</si>
  <si>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</si>
  <si>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</si>
  <si>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</si>
  <si>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</si>
  <si>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</si>
  <si>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</si>
  <si>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</si>
  <si>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</si>
  <si>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</si>
  <si>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</si>
  <si>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</si>
  <si>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</si>
  <si>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</si>
  <si>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</si>
  <si>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</si>
  <si>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</si>
  <si>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</si>
  <si>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</si>
  <si>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</si>
  <si>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</si>
  <si>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</si>
  <si>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</si>
  <si>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</si>
  <si>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</si>
  <si>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</si>
  <si>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</si>
  <si>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</si>
  <si>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</si>
  <si>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</si>
  <si>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</si>
  <si>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</si>
  <si>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</si>
  <si>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</si>
  <si>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</si>
  <si>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</si>
  <si>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</si>
  <si>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</si>
  <si>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</si>
  <si>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</si>
  <si>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</si>
  <si>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</si>
  <si>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</si>
  <si>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</si>
  <si>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</si>
  <si>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</si>
  <si>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</si>
  <si>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</si>
  <si>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</si>
  <si>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</si>
  <si>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</si>
  <si>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</si>
  <si>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</si>
  <si>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</si>
  <si>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</si>
  <si>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</si>
  <si>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</si>
  <si>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</si>
  <si>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</si>
  <si>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</si>
  <si>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</si>
  <si>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</si>
  <si>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</si>
  <si>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</si>
  <si>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</si>
  <si>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</si>
  <si>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</si>
  <si>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</si>
  <si>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</si>
  <si>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</si>
  <si>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</si>
  <si>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</si>
  <si>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</si>
  <si>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</si>
  <si>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</si>
  <si>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</si>
  <si>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</si>
  <si>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</si>
  <si>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</si>
  <si>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</si>
  <si>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</si>
  <si>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</si>
  <si>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</si>
  <si>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</si>
  <si>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</si>
  <si>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</si>
  <si>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</si>
  <si>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</si>
  <si>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</si>
  <si>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</si>
  <si>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</si>
  <si>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</si>
  <si>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</si>
  <si>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</si>
  <si>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</si>
  <si>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</si>
  <si>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</si>
  <si>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</si>
  <si>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</si>
  <si>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</si>
  <si>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</si>
  <si>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</si>
  <si>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</si>
  <si>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</si>
  <si>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</si>
  <si>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</si>
  <si>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</si>
  <si>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</si>
  <si>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</si>
  <si>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</si>
  <si>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</si>
  <si>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</si>
  <si>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</si>
  <si>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</si>
  <si>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</si>
  <si>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</si>
  <si>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</si>
  <si>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</si>
  <si>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</si>
  <si>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</si>
  <si>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</si>
  <si>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</si>
  <si>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</si>
  <si>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</si>
  <si>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</si>
  <si>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</si>
  <si>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</si>
  <si>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</si>
  <si>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</si>
  <si>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</si>
  <si>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</si>
  <si>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</si>
  <si>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</si>
  <si>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</si>
  <si>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</si>
  <si>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</si>
  <si>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</si>
  <si>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</si>
  <si>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</si>
  <si>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</si>
  <si>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</si>
  <si>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</si>
  <si>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</si>
  <si>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</si>
  <si>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</si>
  <si>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</si>
  <si>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</si>
  <si>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</si>
  <si>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</si>
  <si>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</si>
  <si>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</si>
  <si>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</si>
  <si>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</si>
  <si>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</si>
  <si>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</si>
  <si>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</si>
  <si>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</si>
  <si>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</si>
  <si>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</si>
  <si>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</si>
  <si>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</si>
  <si>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</si>
  <si>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</si>
  <si>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</si>
  <si>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</si>
  <si>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</si>
  <si>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</si>
  <si>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</si>
  <si>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</si>
  <si>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</si>
  <si>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</si>
  <si>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</si>
  <si>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</si>
  <si>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</si>
  <si>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</si>
  <si>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</si>
  <si>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</si>
  <si>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</si>
  <si>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</si>
  <si>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</si>
  <si>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</si>
  <si>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</si>
  <si>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</si>
  <si>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</si>
  <si>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</si>
  <si>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</si>
  <si>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</si>
  <si>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</si>
  <si>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</si>
  <si>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</si>
  <si>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</si>
  <si>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</si>
  <si>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</si>
  <si>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</si>
  <si>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</si>
  <si>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</si>
  <si>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</si>
  <si>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</si>
  <si>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</si>
  <si>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</si>
  <si>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</si>
  <si>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</si>
  <si>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</si>
  <si>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</si>
  <si>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</si>
  <si>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</si>
  <si>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</si>
  <si>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</si>
  <si>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</si>
  <si>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</si>
  <si>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</si>
  <si>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</si>
  <si>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</si>
  <si>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</si>
  <si>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</si>
  <si>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</si>
  <si>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</si>
  <si>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</si>
  <si>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</si>
  <si>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</si>
  <si>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</si>
  <si>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</si>
  <si>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</si>
  <si>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</si>
  <si>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</si>
  <si>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</si>
  <si>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</si>
  <si>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</si>
  <si>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</si>
  <si>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</si>
  <si>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</si>
  <si>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</si>
  <si>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</si>
  <si>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</si>
  <si>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</si>
  <si>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</si>
  <si>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</si>
  <si>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</si>
  <si>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</si>
  <si>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</si>
  <si>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</si>
  <si>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</si>
  <si>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</si>
  <si>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</si>
  <si>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</si>
  <si>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</si>
  <si>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</si>
  <si>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</si>
  <si>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</si>
  <si>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</si>
  <si>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</si>
  <si>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</si>
  <si>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</si>
  <si>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</si>
  <si>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</si>
  <si>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</si>
  <si>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</si>
  <si>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</si>
  <si>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</si>
  <si>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</si>
  <si>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</si>
  <si>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</si>
  <si>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</si>
  <si>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</si>
  <si>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</si>
  <si>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</si>
  <si>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</si>
  <si>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</si>
  <si>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</si>
  <si>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</si>
  <si>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</si>
  <si>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</si>
  <si>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</si>
  <si>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</si>
  <si>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</si>
  <si>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</si>
  <si>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</si>
  <si>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</si>
  <si>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</si>
  <si>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</si>
  <si>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</si>
  <si>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</si>
  <si>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</si>
  <si>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</si>
  <si>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</si>
  <si>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</si>
  <si>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</si>
  <si>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</si>
  <si>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</si>
  <si>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</si>
  <si>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</si>
  <si>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</si>
  <si>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</si>
  <si>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</si>
  <si>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</si>
  <si>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</si>
  <si>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</si>
  <si>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</si>
  <si>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</si>
  <si>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</si>
  <si>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</si>
  <si>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</si>
  <si>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</si>
  <si>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</si>
  <si>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</si>
  <si>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</si>
  <si>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</si>
  <si>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</si>
  <si>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</si>
  <si>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</si>
  <si>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</si>
  <si>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</si>
  <si>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</si>
  <si>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</si>
  <si>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</si>
  <si>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</si>
  <si>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</si>
  <si>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</si>
  <si>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</si>
  <si>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</si>
  <si>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</si>
  <si>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</si>
  <si>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</si>
  <si>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</si>
  <si>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</si>
  <si>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</si>
  <si>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</si>
  <si>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</si>
  <si>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</si>
  <si>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</si>
  <si>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</si>
  <si>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</si>
  <si>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</si>
  <si>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</si>
  <si>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</si>
  <si>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</si>
  <si>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</si>
  <si>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</si>
  <si>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</si>
  <si>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</si>
  <si>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</si>
  <si>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</si>
  <si>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</si>
  <si>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</si>
  <si>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</si>
  <si>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</si>
  <si>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</si>
  <si>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</si>
  <si>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</si>
  <si>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</si>
  <si>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</si>
  <si>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</si>
  <si>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</si>
  <si>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</si>
  <si>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</si>
  <si>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</si>
  <si>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</si>
  <si>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</si>
  <si>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</si>
  <si>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</si>
  <si>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</si>
  <si>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</si>
  <si>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</si>
  <si>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</si>
  <si>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</si>
  <si>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</si>
  <si>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</si>
  <si>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</si>
  <si>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</si>
  <si>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</si>
  <si>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</si>
  <si>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</si>
  <si>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</si>
  <si>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</si>
  <si>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</si>
  <si>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</si>
  <si>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</si>
  <si>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</si>
  <si>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</si>
  <si>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</si>
  <si>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</si>
  <si>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</si>
  <si>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</si>
  <si>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</si>
  <si>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</si>
  <si>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</si>
  <si>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</si>
  <si>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</si>
  <si>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</si>
  <si>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</si>
  <si>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</si>
  <si>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</si>
  <si>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</si>
  <si>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</si>
  <si>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</si>
  <si>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</si>
  <si>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</si>
  <si>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</si>
  <si>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</si>
  <si>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</si>
  <si>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</si>
  <si>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</si>
  <si>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</si>
  <si>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</si>
  <si>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</si>
  <si>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</si>
  <si>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</si>
  <si>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</si>
  <si>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</si>
  <si>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</si>
  <si>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</si>
  <si>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</si>
  <si>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</si>
  <si>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</si>
  <si>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</si>
  <si>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</si>
  <si>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</si>
  <si>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</si>
  <si>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</si>
  <si>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</si>
  <si>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</si>
  <si>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</si>
  <si>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</si>
  <si>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</si>
  <si>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</si>
  <si>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</si>
  <si>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</si>
  <si>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</si>
  <si>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</si>
  <si>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</si>
  <si>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</si>
  <si>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</si>
  <si>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</si>
  <si>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</si>
  <si>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</si>
  <si>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</si>
  <si>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</si>
  <si>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</si>
  <si>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</si>
  <si>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</si>
  <si>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</si>
  <si>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</si>
  <si>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</si>
  <si>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</si>
  <si>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</si>
  <si>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</si>
  <si>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</si>
  <si>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</si>
  <si>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</si>
  <si>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</si>
  <si>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</si>
  <si>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</si>
  <si>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</si>
  <si>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</si>
  <si>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</si>
  <si>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</si>
  <si>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</si>
  <si>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</si>
  <si>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</si>
  <si>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</si>
  <si>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</si>
  <si>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</si>
  <si>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</si>
  <si>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</si>
  <si>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</si>
  <si>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</si>
  <si>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</si>
  <si>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</si>
  <si>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</si>
  <si>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</si>
  <si>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</si>
  <si>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</si>
  <si>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</si>
  <si>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</si>
  <si>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</si>
  <si>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</si>
  <si>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</si>
  <si>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</si>
  <si>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</si>
  <si>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</si>
  <si>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</si>
  <si>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</si>
  <si>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</si>
  <si>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</si>
  <si>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</si>
  <si>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</si>
  <si>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</si>
  <si>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</si>
  <si>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</si>
  <si>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</si>
  <si>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</si>
  <si>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</si>
  <si>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</si>
  <si>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</si>
  <si>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</si>
  <si>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</si>
  <si>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</si>
  <si>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</si>
  <si>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</si>
  <si>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</si>
  <si>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</si>
  <si>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</si>
  <si>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</si>
  <si>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</si>
  <si>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</si>
  <si>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</si>
  <si>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</si>
  <si>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</si>
  <si>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</si>
  <si>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</si>
  <si>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</si>
  <si>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</si>
  <si>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</si>
  <si>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</si>
  <si>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</si>
  <si>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</si>
  <si>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</si>
  <si>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</si>
  <si>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</si>
  <si>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</si>
  <si>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</si>
  <si>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</si>
  <si>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</si>
  <si>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</si>
  <si>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</si>
  <si>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</si>
  <si>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</si>
  <si>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</si>
  <si>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</si>
  <si>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</si>
  <si>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</si>
  <si>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</si>
  <si>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</si>
  <si>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</si>
  <si>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</si>
  <si>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</si>
  <si>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</si>
  <si>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</si>
  <si>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</si>
  <si>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</si>
  <si>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</si>
  <si>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</si>
  <si>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</si>
  <si>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</si>
  <si>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</si>
  <si>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</si>
  <si>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</si>
  <si>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</si>
  <si>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</si>
  <si>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</si>
  <si>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</si>
  <si>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</si>
  <si>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</si>
  <si>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</si>
  <si>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</si>
  <si>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</si>
  <si>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</si>
  <si>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</si>
  <si>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</si>
  <si>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</si>
  <si>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</si>
  <si>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</si>
  <si>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</si>
  <si>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</si>
  <si>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</si>
  <si>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</si>
  <si>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</si>
  <si>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</si>
  <si>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</si>
  <si>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</si>
  <si>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</si>
  <si>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</si>
  <si>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</si>
  <si>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</si>
  <si>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</si>
  <si>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</si>
  <si>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</si>
  <si>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</si>
  <si>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</si>
  <si>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</si>
  <si>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</si>
  <si>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</si>
  <si>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</si>
  <si>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</si>
  <si>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</si>
  <si>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</si>
  <si>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</si>
  <si>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</si>
  <si>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</si>
  <si>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</si>
  <si>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</si>
  <si>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</si>
  <si>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</si>
  <si>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</si>
  <si>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</si>
  <si>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</si>
  <si>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</si>
  <si>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</si>
  <si>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</si>
  <si>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</si>
  <si>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</si>
  <si>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</si>
  <si>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</si>
  <si>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</si>
  <si>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</si>
  <si>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</si>
  <si>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</si>
  <si>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</si>
  <si>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</si>
  <si>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</si>
  <si>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</si>
  <si>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</si>
  <si>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</si>
  <si>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</si>
  <si>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</si>
  <si>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</si>
  <si>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</si>
  <si>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</si>
  <si>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</si>
  <si>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</si>
  <si>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</si>
  <si>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</si>
  <si>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</si>
  <si>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</si>
  <si>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</si>
  <si>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</si>
  <si>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</si>
  <si>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</si>
  <si>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</si>
  <si>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</si>
  <si>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</si>
  <si>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</si>
  <si>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</si>
  <si>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</si>
  <si>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</si>
  <si>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</si>
  <si>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</si>
  <si>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</si>
  <si>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13025</t>
  </si>
  <si>
    <t>MOL</t>
  </si>
  <si>
    <t>Paarden&amp;pony's 200 - 600 kg</t>
  </si>
  <si>
    <t>Paarden&amp;pony's &lt; 200 kg</t>
  </si>
  <si>
    <t>Fluvius</t>
  </si>
  <si>
    <t>referentietaak LNE (2017); Jaarverslag De Lijn</t>
  </si>
  <si>
    <t>Jan De Proft</t>
  </si>
  <si>
    <t>Volmolenbaan 224 , 2400 Mol</t>
  </si>
  <si>
    <t>WKK-0407 Brigitte Verwimp</t>
  </si>
  <si>
    <t>stirlingmotor</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</si>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</sst>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13025</v>
      </c>
      <c r="B6" s="394"/>
      <c r="C6" s="395"/>
    </row>
    <row r="7" spans="1:7" s="392" customFormat="1" ht="15.75" customHeight="1">
      <c r="A7" s="396" t="str">
        <f>txtMunicipality</f>
        <v>MOL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0.21014699478524143</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0.21014699478524143</v>
      </c>
      <c r="C29" s="507">
        <f ca="1">'EF ele_warmte'!B22</f>
        <v>0.22444444444444447</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14639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3158</v>
      </c>
      <c r="C14" s="332"/>
      <c r="D14" s="332"/>
      <c r="E14" s="332"/>
      <c r="F14" s="332"/>
    </row>
    <row r="15" spans="1:6">
      <c r="A15" s="1299" t="s">
        <v>183</v>
      </c>
      <c r="B15" s="1300">
        <v>208</v>
      </c>
      <c r="C15" s="332"/>
      <c r="D15" s="332"/>
      <c r="E15" s="332"/>
      <c r="F15" s="332"/>
    </row>
    <row r="16" spans="1:6">
      <c r="A16" s="1299" t="s">
        <v>6</v>
      </c>
      <c r="B16" s="1300">
        <v>926</v>
      </c>
      <c r="C16" s="332"/>
      <c r="D16" s="332"/>
      <c r="E16" s="332"/>
      <c r="F16" s="332"/>
    </row>
    <row r="17" spans="1:6">
      <c r="A17" s="1299" t="s">
        <v>7</v>
      </c>
      <c r="B17" s="1300">
        <v>272</v>
      </c>
      <c r="C17" s="332"/>
      <c r="D17" s="332"/>
      <c r="E17" s="332"/>
      <c r="F17" s="332"/>
    </row>
    <row r="18" spans="1:6">
      <c r="A18" s="1299" t="s">
        <v>8</v>
      </c>
      <c r="B18" s="1300">
        <v>743</v>
      </c>
      <c r="C18" s="332"/>
      <c r="D18" s="332"/>
      <c r="E18" s="332"/>
      <c r="F18" s="332"/>
    </row>
    <row r="19" spans="1:6">
      <c r="A19" s="1299" t="s">
        <v>9</v>
      </c>
      <c r="B19" s="1300">
        <v>778</v>
      </c>
      <c r="C19" s="332"/>
      <c r="D19" s="332"/>
      <c r="E19" s="332"/>
      <c r="F19" s="332"/>
    </row>
    <row r="20" spans="1:6">
      <c r="A20" s="1299" t="s">
        <v>10</v>
      </c>
      <c r="B20" s="1300">
        <v>322</v>
      </c>
      <c r="C20" s="332"/>
      <c r="D20" s="332"/>
      <c r="E20" s="332"/>
      <c r="F20" s="332"/>
    </row>
    <row r="21" spans="1:6">
      <c r="A21" s="1299" t="s">
        <v>11</v>
      </c>
      <c r="B21" s="1300">
        <v>694</v>
      </c>
      <c r="C21" s="332"/>
      <c r="D21" s="332"/>
      <c r="E21" s="332"/>
      <c r="F21" s="332"/>
    </row>
    <row r="22" spans="1:6">
      <c r="A22" s="1299" t="s">
        <v>12</v>
      </c>
      <c r="B22" s="1300">
        <v>2869</v>
      </c>
      <c r="C22" s="332"/>
      <c r="D22" s="332"/>
      <c r="E22" s="332"/>
      <c r="F22" s="332"/>
    </row>
    <row r="23" spans="1:6">
      <c r="A23" s="1299" t="s">
        <v>13</v>
      </c>
      <c r="B23" s="1300">
        <v>23</v>
      </c>
      <c r="C23" s="332"/>
      <c r="D23" s="332"/>
      <c r="E23" s="332"/>
      <c r="F23" s="332"/>
    </row>
    <row r="24" spans="1:6">
      <c r="A24" s="1299" t="s">
        <v>14</v>
      </c>
      <c r="B24" s="1300">
        <v>1</v>
      </c>
      <c r="C24" s="332"/>
      <c r="D24" s="332"/>
      <c r="E24" s="332"/>
      <c r="F24" s="332"/>
    </row>
    <row r="25" spans="1:6">
      <c r="A25" s="1299" t="s">
        <v>15</v>
      </c>
      <c r="B25" s="1300">
        <v>216</v>
      </c>
      <c r="C25" s="332"/>
      <c r="D25" s="332"/>
      <c r="E25" s="332"/>
      <c r="F25" s="332"/>
    </row>
    <row r="26" spans="1:6">
      <c r="A26" s="1299" t="s">
        <v>16</v>
      </c>
      <c r="B26" s="1300">
        <v>440</v>
      </c>
      <c r="C26" s="332"/>
      <c r="D26" s="332"/>
      <c r="E26" s="332"/>
      <c r="F26" s="332"/>
    </row>
    <row r="27" spans="1:6">
      <c r="A27" s="1299" t="s">
        <v>17</v>
      </c>
      <c r="B27" s="1300">
        <v>0</v>
      </c>
      <c r="C27" s="332"/>
      <c r="D27" s="332"/>
      <c r="E27" s="332"/>
      <c r="F27" s="332"/>
    </row>
    <row r="28" spans="1:6" s="44" customFormat="1">
      <c r="A28" s="1301" t="s">
        <v>18</v>
      </c>
      <c r="B28" s="1302">
        <v>71511</v>
      </c>
      <c r="C28" s="338"/>
      <c r="D28" s="338"/>
      <c r="E28" s="338"/>
      <c r="F28" s="338"/>
    </row>
    <row r="29" spans="1:6">
      <c r="A29" s="1301" t="s">
        <v>950</v>
      </c>
      <c r="B29" s="1302">
        <v>99</v>
      </c>
      <c r="C29" s="338"/>
      <c r="D29" s="338"/>
      <c r="E29" s="338"/>
      <c r="F29" s="338"/>
    </row>
    <row r="30" spans="1:6">
      <c r="A30" s="1294" t="s">
        <v>951</v>
      </c>
      <c r="B30" s="1303">
        <v>13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4</v>
      </c>
      <c r="F35" s="1300">
        <v>28349.442234445101</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3</v>
      </c>
      <c r="D38" s="1300">
        <v>465658.18527114799</v>
      </c>
      <c r="E38" s="1300">
        <v>5</v>
      </c>
      <c r="F38" s="1300">
        <v>18172.584695721202</v>
      </c>
    </row>
    <row r="39" spans="1:6">
      <c r="A39" s="1299" t="s">
        <v>29</v>
      </c>
      <c r="B39" s="1299" t="s">
        <v>30</v>
      </c>
      <c r="C39" s="1300">
        <v>8211</v>
      </c>
      <c r="D39" s="1300">
        <v>144925303.16109699</v>
      </c>
      <c r="E39" s="1300">
        <v>14492</v>
      </c>
      <c r="F39" s="1300">
        <v>57484399.692067802</v>
      </c>
    </row>
    <row r="40" spans="1:6">
      <c r="A40" s="1299" t="s">
        <v>29</v>
      </c>
      <c r="B40" s="1299" t="s">
        <v>28</v>
      </c>
      <c r="C40" s="1300">
        <v>0</v>
      </c>
      <c r="D40" s="1300">
        <v>0</v>
      </c>
      <c r="E40" s="1300">
        <v>0</v>
      </c>
      <c r="F40" s="1300">
        <v>0</v>
      </c>
    </row>
    <row r="41" spans="1:6">
      <c r="A41" s="1299" t="s">
        <v>31</v>
      </c>
      <c r="B41" s="1299" t="s">
        <v>32</v>
      </c>
      <c r="C41" s="1300">
        <v>160</v>
      </c>
      <c r="D41" s="1300">
        <v>10534830.858321199</v>
      </c>
      <c r="E41" s="1300">
        <v>415</v>
      </c>
      <c r="F41" s="1300">
        <v>6128916.1887989203</v>
      </c>
    </row>
    <row r="42" spans="1:6">
      <c r="A42" s="1299" t="s">
        <v>31</v>
      </c>
      <c r="B42" s="1299" t="s">
        <v>33</v>
      </c>
      <c r="C42" s="1300">
        <v>0</v>
      </c>
      <c r="D42" s="1300">
        <v>0</v>
      </c>
      <c r="E42" s="1300">
        <v>3</v>
      </c>
      <c r="F42" s="1300">
        <v>11466.538329113901</v>
      </c>
    </row>
    <row r="43" spans="1:6">
      <c r="A43" s="1299" t="s">
        <v>31</v>
      </c>
      <c r="B43" s="1299" t="s">
        <v>34</v>
      </c>
      <c r="C43" s="1300">
        <v>0</v>
      </c>
      <c r="D43" s="1300">
        <v>0</v>
      </c>
      <c r="E43" s="1300">
        <v>0</v>
      </c>
      <c r="F43" s="1300">
        <v>0</v>
      </c>
    </row>
    <row r="44" spans="1:6">
      <c r="A44" s="1299" t="s">
        <v>31</v>
      </c>
      <c r="B44" s="1299" t="s">
        <v>35</v>
      </c>
      <c r="C44" s="1300">
        <v>0</v>
      </c>
      <c r="D44" s="1300">
        <v>0</v>
      </c>
      <c r="E44" s="1300">
        <v>25</v>
      </c>
      <c r="F44" s="1300">
        <v>1206258.2561633501</v>
      </c>
    </row>
    <row r="45" spans="1:6">
      <c r="A45" s="1299" t="s">
        <v>31</v>
      </c>
      <c r="B45" s="1299" t="s">
        <v>36</v>
      </c>
      <c r="C45" s="1300">
        <v>0</v>
      </c>
      <c r="D45" s="1300">
        <v>0</v>
      </c>
      <c r="E45" s="1300">
        <v>9</v>
      </c>
      <c r="F45" s="1300">
        <v>1065249.5484458399</v>
      </c>
    </row>
    <row r="46" spans="1:6">
      <c r="A46" s="1299" t="s">
        <v>31</v>
      </c>
      <c r="B46" s="1299" t="s">
        <v>37</v>
      </c>
      <c r="C46" s="1300">
        <v>0</v>
      </c>
      <c r="D46" s="1300">
        <v>0</v>
      </c>
      <c r="E46" s="1300">
        <v>0</v>
      </c>
      <c r="F46" s="1300">
        <v>0</v>
      </c>
    </row>
    <row r="47" spans="1:6">
      <c r="A47" s="1299" t="s">
        <v>31</v>
      </c>
      <c r="B47" s="1299" t="s">
        <v>38</v>
      </c>
      <c r="C47" s="1300">
        <v>0</v>
      </c>
      <c r="D47" s="1300">
        <v>0</v>
      </c>
      <c r="E47" s="1300">
        <v>4</v>
      </c>
      <c r="F47" s="1300">
        <v>140480.221767268</v>
      </c>
    </row>
    <row r="48" spans="1:6">
      <c r="A48" s="1299" t="s">
        <v>31</v>
      </c>
      <c r="B48" s="1299" t="s">
        <v>28</v>
      </c>
      <c r="C48" s="1300">
        <v>40</v>
      </c>
      <c r="D48" s="1300">
        <v>10705006.205599399</v>
      </c>
      <c r="E48" s="1300">
        <v>42</v>
      </c>
      <c r="F48" s="1300">
        <v>49755205.010540701</v>
      </c>
    </row>
    <row r="49" spans="1:6">
      <c r="A49" s="1299" t="s">
        <v>31</v>
      </c>
      <c r="B49" s="1299" t="s">
        <v>39</v>
      </c>
      <c r="C49" s="1300">
        <v>0</v>
      </c>
      <c r="D49" s="1300">
        <v>0</v>
      </c>
      <c r="E49" s="1300">
        <v>0</v>
      </c>
      <c r="F49" s="1300">
        <v>0</v>
      </c>
    </row>
    <row r="50" spans="1:6">
      <c r="A50" s="1299" t="s">
        <v>31</v>
      </c>
      <c r="B50" s="1299" t="s">
        <v>40</v>
      </c>
      <c r="C50" s="1300">
        <v>7</v>
      </c>
      <c r="D50" s="1300">
        <v>778735.71429314103</v>
      </c>
      <c r="E50" s="1300">
        <v>24</v>
      </c>
      <c r="F50" s="1300">
        <v>1016075.13379832</v>
      </c>
    </row>
    <row r="51" spans="1:6">
      <c r="A51" s="1299" t="s">
        <v>41</v>
      </c>
      <c r="B51" s="1299" t="s">
        <v>42</v>
      </c>
      <c r="C51" s="1300">
        <v>10</v>
      </c>
      <c r="D51" s="1300">
        <v>55368.7412327204</v>
      </c>
      <c r="E51" s="1300">
        <v>39</v>
      </c>
      <c r="F51" s="1300">
        <v>853404.09128148295</v>
      </c>
    </row>
    <row r="52" spans="1:6">
      <c r="A52" s="1299" t="s">
        <v>41</v>
      </c>
      <c r="B52" s="1299" t="s">
        <v>28</v>
      </c>
      <c r="C52" s="1300">
        <v>4</v>
      </c>
      <c r="D52" s="1300">
        <v>93447.509877761506</v>
      </c>
      <c r="E52" s="1300">
        <v>13</v>
      </c>
      <c r="F52" s="1300">
        <v>381555.54115345399</v>
      </c>
    </row>
    <row r="53" spans="1:6">
      <c r="A53" s="1299" t="s">
        <v>43</v>
      </c>
      <c r="B53" s="1299" t="s">
        <v>44</v>
      </c>
      <c r="C53" s="1300">
        <v>169</v>
      </c>
      <c r="D53" s="1300">
        <v>7289871.2652599802</v>
      </c>
      <c r="E53" s="1300">
        <v>394</v>
      </c>
      <c r="F53" s="1300">
        <v>2137878.31904602</v>
      </c>
    </row>
    <row r="54" spans="1:6">
      <c r="A54" s="1299" t="s">
        <v>45</v>
      </c>
      <c r="B54" s="1299" t="s">
        <v>46</v>
      </c>
      <c r="C54" s="1300">
        <v>0</v>
      </c>
      <c r="D54" s="1300">
        <v>0</v>
      </c>
      <c r="E54" s="1300">
        <v>1</v>
      </c>
      <c r="F54" s="1300">
        <v>1466486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62</v>
      </c>
      <c r="D57" s="1300">
        <v>2022467.7517506301</v>
      </c>
      <c r="E57" s="1300">
        <v>152</v>
      </c>
      <c r="F57" s="1300">
        <v>7710351.0532241501</v>
      </c>
    </row>
    <row r="58" spans="1:6">
      <c r="A58" s="1299" t="s">
        <v>48</v>
      </c>
      <c r="B58" s="1299" t="s">
        <v>50</v>
      </c>
      <c r="C58" s="1300">
        <v>65</v>
      </c>
      <c r="D58" s="1300">
        <v>7498735.9949801704</v>
      </c>
      <c r="E58" s="1300">
        <v>90</v>
      </c>
      <c r="F58" s="1300">
        <v>1604508.1922176799</v>
      </c>
    </row>
    <row r="59" spans="1:6">
      <c r="A59" s="1299" t="s">
        <v>48</v>
      </c>
      <c r="B59" s="1299" t="s">
        <v>51</v>
      </c>
      <c r="C59" s="1300">
        <v>224</v>
      </c>
      <c r="D59" s="1300">
        <v>10985696.474244401</v>
      </c>
      <c r="E59" s="1300">
        <v>478</v>
      </c>
      <c r="F59" s="1300">
        <v>14367612.6198954</v>
      </c>
    </row>
    <row r="60" spans="1:6">
      <c r="A60" s="1299" t="s">
        <v>48</v>
      </c>
      <c r="B60" s="1299" t="s">
        <v>52</v>
      </c>
      <c r="C60" s="1300">
        <v>142</v>
      </c>
      <c r="D60" s="1300">
        <v>61151545.154692397</v>
      </c>
      <c r="E60" s="1300">
        <v>223</v>
      </c>
      <c r="F60" s="1300">
        <v>37817363.571418099</v>
      </c>
    </row>
    <row r="61" spans="1:6">
      <c r="A61" s="1299" t="s">
        <v>48</v>
      </c>
      <c r="B61" s="1299" t="s">
        <v>53</v>
      </c>
      <c r="C61" s="1300">
        <v>211</v>
      </c>
      <c r="D61" s="1300">
        <v>9196474.2621169407</v>
      </c>
      <c r="E61" s="1300">
        <v>486</v>
      </c>
      <c r="F61" s="1300">
        <v>10346270.3617357</v>
      </c>
    </row>
    <row r="62" spans="1:6">
      <c r="A62" s="1299" t="s">
        <v>48</v>
      </c>
      <c r="B62" s="1299" t="s">
        <v>54</v>
      </c>
      <c r="C62" s="1300">
        <v>23</v>
      </c>
      <c r="D62" s="1300">
        <v>8406777.1842176095</v>
      </c>
      <c r="E62" s="1300">
        <v>31</v>
      </c>
      <c r="F62" s="1300">
        <v>3093697.3137185699</v>
      </c>
    </row>
    <row r="63" spans="1:6">
      <c r="A63" s="1299" t="s">
        <v>48</v>
      </c>
      <c r="B63" s="1299" t="s">
        <v>28</v>
      </c>
      <c r="C63" s="1300">
        <v>95</v>
      </c>
      <c r="D63" s="1300">
        <v>21749167.668311901</v>
      </c>
      <c r="E63" s="1300">
        <v>106</v>
      </c>
      <c r="F63" s="1300">
        <v>6947473.33623333</v>
      </c>
    </row>
    <row r="64" spans="1:6">
      <c r="A64" s="1299" t="s">
        <v>55</v>
      </c>
      <c r="B64" s="1299" t="s">
        <v>56</v>
      </c>
      <c r="C64" s="1300">
        <v>0</v>
      </c>
      <c r="D64" s="1300">
        <v>0</v>
      </c>
      <c r="E64" s="1300">
        <v>0</v>
      </c>
      <c r="F64" s="1300">
        <v>0</v>
      </c>
    </row>
    <row r="65" spans="1:6">
      <c r="A65" s="1299" t="s">
        <v>55</v>
      </c>
      <c r="B65" s="1299" t="s">
        <v>28</v>
      </c>
      <c r="C65" s="1300">
        <v>4</v>
      </c>
      <c r="D65" s="1300">
        <v>81855.562287881301</v>
      </c>
      <c r="E65" s="1300">
        <v>3</v>
      </c>
      <c r="F65" s="1300">
        <v>60089.583734584099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199567.31774732299</v>
      </c>
      <c r="E68" s="1303">
        <v>16</v>
      </c>
      <c r="F68" s="1303">
        <v>712379.54060364806</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158788278</v>
      </c>
      <c r="E73" s="455"/>
      <c r="F73" s="332"/>
    </row>
    <row r="74" spans="1:6">
      <c r="A74" s="1299" t="s">
        <v>63</v>
      </c>
      <c r="B74" s="1299" t="s">
        <v>768</v>
      </c>
      <c r="C74" s="1313" t="s">
        <v>762</v>
      </c>
      <c r="D74" s="1314">
        <v>11251460.522461787</v>
      </c>
      <c r="E74" s="455"/>
      <c r="F74" s="332"/>
    </row>
    <row r="75" spans="1:6">
      <c r="A75" s="1299" t="s">
        <v>64</v>
      </c>
      <c r="B75" s="1299" t="s">
        <v>767</v>
      </c>
      <c r="C75" s="1313" t="s">
        <v>763</v>
      </c>
      <c r="D75" s="1314">
        <v>47831228</v>
      </c>
      <c r="E75" s="455"/>
      <c r="F75" s="332"/>
    </row>
    <row r="76" spans="1:6">
      <c r="A76" s="1299" t="s">
        <v>64</v>
      </c>
      <c r="B76" s="1299" t="s">
        <v>768</v>
      </c>
      <c r="C76" s="1313" t="s">
        <v>764</v>
      </c>
      <c r="D76" s="1314">
        <v>1908085.5224617869</v>
      </c>
      <c r="E76" s="455"/>
      <c r="F76" s="332"/>
    </row>
    <row r="77" spans="1:6">
      <c r="A77" s="1299" t="s">
        <v>65</v>
      </c>
      <c r="B77" s="1299" t="s">
        <v>767</v>
      </c>
      <c r="C77" s="1313" t="s">
        <v>765</v>
      </c>
      <c r="D77" s="1314">
        <v>40547486</v>
      </c>
      <c r="E77" s="455"/>
      <c r="F77" s="332"/>
    </row>
    <row r="78" spans="1:6">
      <c r="A78" s="1294" t="s">
        <v>65</v>
      </c>
      <c r="B78" s="1294" t="s">
        <v>768</v>
      </c>
      <c r="C78" s="1294" t="s">
        <v>766</v>
      </c>
      <c r="D78" s="1315">
        <v>16455168</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820228.95507642603</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7842.8642004627964</v>
      </c>
      <c r="C91" s="332"/>
      <c r="D91" s="332"/>
      <c r="E91" s="332"/>
      <c r="F91" s="332"/>
    </row>
    <row r="92" spans="1:6">
      <c r="A92" s="1294" t="s">
        <v>68</v>
      </c>
      <c r="B92" s="1295">
        <v>2537.8760172194952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4099</v>
      </c>
      <c r="C97" s="332"/>
      <c r="D97" s="332"/>
      <c r="E97" s="332"/>
      <c r="F97" s="332"/>
    </row>
    <row r="98" spans="1:6">
      <c r="A98" s="1299" t="s">
        <v>71</v>
      </c>
      <c r="B98" s="1300">
        <v>23</v>
      </c>
      <c r="C98" s="332"/>
      <c r="D98" s="332"/>
      <c r="E98" s="332"/>
      <c r="F98" s="332"/>
    </row>
    <row r="99" spans="1:6">
      <c r="A99" s="1299" t="s">
        <v>72</v>
      </c>
      <c r="B99" s="1300">
        <v>75</v>
      </c>
      <c r="C99" s="332"/>
      <c r="D99" s="332"/>
      <c r="E99" s="332"/>
      <c r="F99" s="332"/>
    </row>
    <row r="100" spans="1:6">
      <c r="A100" s="1299" t="s">
        <v>73</v>
      </c>
      <c r="B100" s="1300">
        <v>669</v>
      </c>
      <c r="C100" s="332"/>
      <c r="D100" s="332"/>
      <c r="E100" s="332"/>
      <c r="F100" s="332"/>
    </row>
    <row r="101" spans="1:6">
      <c r="A101" s="1299" t="s">
        <v>74</v>
      </c>
      <c r="B101" s="1300">
        <v>148</v>
      </c>
      <c r="C101" s="332"/>
      <c r="D101" s="332"/>
      <c r="E101" s="332"/>
      <c r="F101" s="332"/>
    </row>
    <row r="102" spans="1:6">
      <c r="A102" s="1299" t="s">
        <v>75</v>
      </c>
      <c r="B102" s="1300">
        <v>146</v>
      </c>
      <c r="C102" s="332"/>
      <c r="D102" s="332"/>
      <c r="E102" s="332"/>
      <c r="F102" s="332"/>
    </row>
    <row r="103" spans="1:6">
      <c r="A103" s="1299" t="s">
        <v>76</v>
      </c>
      <c r="B103" s="1300">
        <v>214</v>
      </c>
      <c r="C103" s="332"/>
      <c r="D103" s="332"/>
      <c r="E103" s="332"/>
      <c r="F103" s="332"/>
    </row>
    <row r="104" spans="1:6">
      <c r="A104" s="1299" t="s">
        <v>77</v>
      </c>
      <c r="B104" s="1300">
        <v>6977</v>
      </c>
      <c r="C104" s="332"/>
      <c r="D104" s="332"/>
      <c r="E104" s="332"/>
      <c r="F104" s="332"/>
    </row>
    <row r="105" spans="1:6">
      <c r="A105" s="1294" t="s">
        <v>78</v>
      </c>
      <c r="B105" s="1303">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2</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35</v>
      </c>
      <c r="C123" s="1300">
        <v>23</v>
      </c>
      <c r="D123" s="332"/>
      <c r="E123" s="332"/>
      <c r="F123" s="332"/>
    </row>
    <row r="124" spans="1:6" s="44" customFormat="1">
      <c r="A124" s="1301" t="s">
        <v>88</v>
      </c>
      <c r="B124" s="1322">
        <v>0</v>
      </c>
      <c r="C124" s="1322">
        <v>4</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195</v>
      </c>
      <c r="C129" s="332"/>
      <c r="D129" s="332"/>
      <c r="E129" s="332"/>
      <c r="F129" s="332"/>
    </row>
    <row r="130" spans="1:6">
      <c r="A130" s="1299" t="s">
        <v>294</v>
      </c>
      <c r="B130" s="1300">
        <v>3</v>
      </c>
      <c r="C130" s="332"/>
      <c r="D130" s="332"/>
      <c r="E130" s="332"/>
      <c r="F130" s="332"/>
    </row>
    <row r="131" spans="1:6">
      <c r="A131" s="1299" t="s">
        <v>295</v>
      </c>
      <c r="B131" s="1300">
        <v>0</v>
      </c>
      <c r="C131" s="332"/>
      <c r="D131" s="332"/>
      <c r="E131" s="332"/>
      <c r="F131" s="332"/>
    </row>
    <row r="132" spans="1:6">
      <c r="A132" s="1294" t="s">
        <v>296</v>
      </c>
      <c r="B132" s="1295">
        <v>36</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211383.01874717034</v>
      </c>
      <c r="C3" s="44" t="s">
        <v>169</v>
      </c>
      <c r="D3" s="44"/>
      <c r="E3" s="157"/>
      <c r="F3" s="44"/>
      <c r="G3" s="44"/>
      <c r="H3" s="44"/>
      <c r="I3" s="44"/>
      <c r="J3" s="44"/>
      <c r="K3" s="97"/>
    </row>
    <row r="4" spans="1:11">
      <c r="A4" s="362" t="s">
        <v>170</v>
      </c>
      <c r="B4" s="50">
        <f>IF(ISERROR('SEAP template'!B78+'SEAP template'!C78),0,'SEAP template'!B78+'SEAP template'!C78)</f>
        <v>10381.490217682291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0.16833333333333333</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0.21014699478524143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0.84166666666666679</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3.75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0.22444444444444447</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1466.4860000000001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1466.4860000000001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0.21014699478524143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308.17762579462959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57484.399692067804</v>
      </c>
      <c r="C5" s="18">
        <f>IF(ISERROR('Eigen informatie GS &amp; warmtenet'!B57),0,'Eigen informatie GS &amp; warmtenet'!B57)</f>
        <v>0</v>
      </c>
      <c r="D5" s="31">
        <f>(SUM(HH_hh_gas_kWh,HH_rest_gas_kWh)/1000)*0.902</f>
        <v>130722.6234513095</v>
      </c>
      <c r="E5" s="18">
        <f>B46*B57</f>
        <v>5482.3301468383042</v>
      </c>
      <c r="F5" s="18">
        <f>B51*B62</f>
        <v>69041.793776659921</v>
      </c>
      <c r="G5" s="19"/>
      <c r="H5" s="18"/>
      <c r="I5" s="18"/>
      <c r="J5" s="18">
        <f>B50*B61+C50*C61</f>
        <v>0</v>
      </c>
      <c r="K5" s="18"/>
      <c r="L5" s="18"/>
      <c r="M5" s="18"/>
      <c r="N5" s="18">
        <f>B48*B59+C48*C59</f>
        <v>36766.739576456632</v>
      </c>
      <c r="O5" s="18">
        <f>B69*B70*B71</f>
        <v>347.06000000000006</v>
      </c>
      <c r="P5" s="18">
        <f>B77*B78*B79/1000-B77*B78*B79/1000/B80</f>
        <v>1353.7333333333333</v>
      </c>
    </row>
    <row r="6" spans="1:16">
      <c r="A6" s="17" t="s">
        <v>638</v>
      </c>
      <c r="B6" s="776">
        <f>kWh_PV_kleiner_dan_10kW</f>
        <v>7842.8642004627964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65327.263892530602</v>
      </c>
      <c r="C8" s="22">
        <f>C5</f>
        <v>0</v>
      </c>
      <c r="D8" s="22">
        <f>D5</f>
        <v>130722.6234513095</v>
      </c>
      <c r="E8" s="22">
        <f>E5</f>
        <v>5482.3301468383042</v>
      </c>
      <c r="F8" s="22">
        <f>F5</f>
        <v>69041.793776659921</v>
      </c>
      <c r="G8" s="22"/>
      <c r="H8" s="22"/>
      <c r="I8" s="22"/>
      <c r="J8" s="22">
        <f>J5</f>
        <v>0</v>
      </c>
      <c r="K8" s="22"/>
      <c r="L8" s="22">
        <f>L5</f>
        <v>0</v>
      </c>
      <c r="M8" s="22">
        <f>M5</f>
        <v>0</v>
      </c>
      <c r="N8" s="22">
        <f>N5</f>
        <v>36766.739576456632</v>
      </c>
      <c r="O8" s="22">
        <f>O5</f>
        <v>347.06000000000006</v>
      </c>
      <c r="P8" s="22">
        <f>P5</f>
        <v>1353.7333333333333</v>
      </c>
    </row>
    <row r="9" spans="1:16">
      <c r="B9" s="20"/>
      <c r="C9" s="20"/>
      <c r="D9" s="262"/>
      <c r="E9" s="20"/>
      <c r="F9" s="20"/>
      <c r="G9" s="20"/>
      <c r="H9" s="20"/>
      <c r="I9" s="20"/>
      <c r="J9" s="20"/>
      <c r="K9" s="20"/>
      <c r="L9" s="20"/>
      <c r="M9" s="20"/>
      <c r="N9" s="20"/>
      <c r="O9" s="20"/>
      <c r="P9" s="20"/>
    </row>
    <row r="10" spans="1:16">
      <c r="A10" s="25" t="s">
        <v>213</v>
      </c>
      <c r="B10" s="26">
        <f ca="1">'EF ele_warmte'!B12</f>
        <v>0.21014699478524143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13728.328184557718</v>
      </c>
      <c r="C12" s="24">
        <f ca="1">C10*C8</f>
        <v>0</v>
      </c>
      <c r="D12" s="24">
        <f>D8*D10</f>
        <v>26405.969937164518</v>
      </c>
      <c r="E12" s="24">
        <f>E10*E8</f>
        <v>1244.4889433322951</v>
      </c>
      <c r="F12" s="24">
        <f>F10*F8</f>
        <v>18434.1589383682</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4099</v>
      </c>
      <c r="C18" s="169" t="s">
        <v>110</v>
      </c>
      <c r="D18" s="231"/>
      <c r="E18" s="16"/>
    </row>
    <row r="19" spans="1:7">
      <c r="A19" s="174" t="s">
        <v>71</v>
      </c>
      <c r="B19" s="38">
        <f>aantalw2001_ander</f>
        <v>23</v>
      </c>
      <c r="C19" s="169" t="s">
        <v>110</v>
      </c>
      <c r="D19" s="232"/>
      <c r="E19" s="16"/>
    </row>
    <row r="20" spans="1:7">
      <c r="A20" s="174" t="s">
        <v>72</v>
      </c>
      <c r="B20" s="38">
        <f>aantalw2001_propaan</f>
        <v>75</v>
      </c>
      <c r="C20" s="170">
        <f>IF(ISERROR(B20/SUM($B$20,$B$21,$B$22)*100),0,B20/SUM($B$20,$B$21,$B$22)*100)</f>
        <v>8.4080717488789247</v>
      </c>
      <c r="D20" s="232"/>
      <c r="E20" s="16"/>
    </row>
    <row r="21" spans="1:7">
      <c r="A21" s="174" t="s">
        <v>73</v>
      </c>
      <c r="B21" s="38">
        <f>aantalw2001_elektriciteit</f>
        <v>669</v>
      </c>
      <c r="C21" s="170">
        <f>IF(ISERROR(B21/SUM($B$20,$B$21,$B$22)*100),0,B21/SUM($B$20,$B$21,$B$22)*100)</f>
        <v>75</v>
      </c>
      <c r="D21" s="232"/>
      <c r="E21" s="16"/>
    </row>
    <row r="22" spans="1:7">
      <c r="A22" s="174" t="s">
        <v>74</v>
      </c>
      <c r="B22" s="38">
        <f>aantalw2001_hout</f>
        <v>148</v>
      </c>
      <c r="C22" s="170">
        <f>IF(ISERROR(B22/SUM($B$20,$B$21,$B$22)*100),0,B22/SUM($B$20,$B$21,$B$22)*100)</f>
        <v>16.591928251121075</v>
      </c>
      <c r="D22" s="232"/>
      <c r="E22" s="16"/>
    </row>
    <row r="23" spans="1:7">
      <c r="A23" s="174" t="s">
        <v>75</v>
      </c>
      <c r="B23" s="38">
        <f>aantalw2001_niet_gespec</f>
        <v>146</v>
      </c>
      <c r="C23" s="169" t="s">
        <v>110</v>
      </c>
      <c r="D23" s="231"/>
      <c r="E23" s="16"/>
    </row>
    <row r="24" spans="1:7">
      <c r="A24" s="174" t="s">
        <v>76</v>
      </c>
      <c r="B24" s="38">
        <f>aantalw2001_steenkool</f>
        <v>214</v>
      </c>
      <c r="C24" s="169" t="s">
        <v>110</v>
      </c>
      <c r="D24" s="232"/>
      <c r="E24" s="16"/>
    </row>
    <row r="25" spans="1:7">
      <c r="A25" s="174" t="s">
        <v>77</v>
      </c>
      <c r="B25" s="38">
        <f>aantalw2001_stookolie</f>
        <v>6977</v>
      </c>
      <c r="C25" s="169" t="s">
        <v>110</v>
      </c>
      <c r="D25" s="231"/>
      <c r="E25" s="53"/>
    </row>
    <row r="26" spans="1:7">
      <c r="A26" s="174" t="s">
        <v>78</v>
      </c>
      <c r="B26" s="38">
        <f>aantalw2001_WP</f>
        <v>15</v>
      </c>
      <c r="C26" s="169" t="s">
        <v>110</v>
      </c>
      <c r="D26" s="231"/>
      <c r="E26" s="16"/>
    </row>
    <row r="27" spans="1:7" s="16" customFormat="1">
      <c r="A27" s="174"/>
      <c r="B27" s="30"/>
      <c r="C27" s="37"/>
      <c r="D27" s="231"/>
    </row>
    <row r="28" spans="1:7" s="16" customFormat="1">
      <c r="A28" s="233" t="s">
        <v>663</v>
      </c>
      <c r="B28" s="38">
        <f>aantalHuishoudens</f>
        <v>14639</v>
      </c>
      <c r="C28" s="37"/>
      <c r="D28" s="231"/>
    </row>
    <row r="29" spans="1:7" s="16" customFormat="1">
      <c r="A29" s="233" t="s">
        <v>664</v>
      </c>
      <c r="B29" s="38">
        <f>SUM(HH_hh_gas_aantal,HH_rest_gas_aantal)</f>
        <v>8211</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8211</v>
      </c>
      <c r="C32" s="170">
        <f>IF(ISERROR(B32/SUM($B$32,$B$34,$B$35,$B$36,$B$38,$B$39)*100),0,B32/SUM($B$32,$B$34,$B$35,$B$36,$B$38,$B$39)*100)</f>
        <v>56.363261943986821</v>
      </c>
      <c r="D32" s="236"/>
      <c r="G32" s="16"/>
    </row>
    <row r="33" spans="1:7">
      <c r="A33" s="174" t="s">
        <v>71</v>
      </c>
      <c r="B33" s="35" t="s">
        <v>110</v>
      </c>
      <c r="C33" s="170"/>
      <c r="D33" s="236"/>
      <c r="G33" s="16"/>
    </row>
    <row r="34" spans="1:7">
      <c r="A34" s="174" t="s">
        <v>72</v>
      </c>
      <c r="B34" s="34">
        <f>IF((($B$28-$B$32-$B$39-$B$77-$B$38)*C20/100)&lt;0,0,($B$28-$B$32-$B$39-$B$77-$B$38)*C20/100)</f>
        <v>259.03587443946191</v>
      </c>
      <c r="C34" s="170">
        <f>IF(ISERROR(B34/SUM($B$32,$B$34,$B$35,$B$36,$B$38,$B$39)*100),0,B34/SUM($B$32,$B$34,$B$35,$B$36,$B$38,$B$39)*100)</f>
        <v>1.7781155576569323</v>
      </c>
      <c r="D34" s="236"/>
      <c r="G34" s="16"/>
    </row>
    <row r="35" spans="1:7">
      <c r="A35" s="174" t="s">
        <v>73</v>
      </c>
      <c r="B35" s="34">
        <f>IF((($B$28-$B$32-$B$39-$B$77-$B$38)*C21/100)&lt;0,0,($B$28-$B$32-$B$39-$B$77-$B$38)*C21/100)</f>
        <v>2310.6</v>
      </c>
      <c r="C35" s="170">
        <f>IF(ISERROR(B35/SUM($B$32,$B$34,$B$35,$B$36,$B$38,$B$39)*100),0,B35/SUM($B$32,$B$34,$B$35,$B$36,$B$38,$B$39)*100)</f>
        <v>15.860790774299835</v>
      </c>
      <c r="D35" s="236"/>
      <c r="G35" s="16"/>
    </row>
    <row r="36" spans="1:7">
      <c r="A36" s="174" t="s">
        <v>74</v>
      </c>
      <c r="B36" s="34">
        <f>IF((($B$28-$B$32-$B$39-$B$77-$B$38)*C22/100)&lt;0,0,($B$28-$B$32-$B$39-$B$77-$B$38)*C22/100)</f>
        <v>511.16412556053808</v>
      </c>
      <c r="C36" s="170">
        <f>IF(ISERROR(B36/SUM($B$32,$B$34,$B$35,$B$36,$B$38,$B$39)*100),0,B36/SUM($B$32,$B$34,$B$35,$B$36,$B$38,$B$39)*100)</f>
        <v>3.5088147004430121</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3276.2</v>
      </c>
      <c r="C39" s="170">
        <f>IF(ISERROR(B39/SUM($B$32,$B$34,$B$35,$B$36,$B$38,$B$39)*100),0,B39/SUM($B$32,$B$34,$B$35,$B$36,$B$38,$B$39)*100)</f>
        <v>22.489017023613396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8211</v>
      </c>
      <c r="C44" s="35" t="s">
        <v>110</v>
      </c>
      <c r="D44" s="177"/>
    </row>
    <row r="45" spans="1:7">
      <c r="A45" s="174" t="s">
        <v>71</v>
      </c>
      <c r="B45" s="34" t="str">
        <f t="shared" si="0"/>
        <v>-</v>
      </c>
      <c r="C45" s="35" t="s">
        <v>110</v>
      </c>
      <c r="D45" s="177"/>
    </row>
    <row r="46" spans="1:7">
      <c r="A46" s="174" t="s">
        <v>72</v>
      </c>
      <c r="B46" s="34">
        <f t="shared" si="0"/>
        <v>259.03587443946191</v>
      </c>
      <c r="C46" s="35" t="s">
        <v>110</v>
      </c>
      <c r="D46" s="177"/>
    </row>
    <row r="47" spans="1:7">
      <c r="A47" s="174" t="s">
        <v>73</v>
      </c>
      <c r="B47" s="34">
        <f t="shared" si="0"/>
        <v>2310.6</v>
      </c>
      <c r="C47" s="35" t="s">
        <v>110</v>
      </c>
      <c r="D47" s="177"/>
    </row>
    <row r="48" spans="1:7">
      <c r="A48" s="174" t="s">
        <v>74</v>
      </c>
      <c r="B48" s="34">
        <f t="shared" si="0"/>
        <v>511.16412556053808</v>
      </c>
      <c r="C48" s="34">
        <f>B48*10</f>
        <v>5111.641255605381</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3276.2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222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71</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81887.27644844295</v>
      </c>
      <c r="C5" s="18">
        <f>IF(ISERROR('Eigen informatie GS &amp; warmtenet'!B58),0,'Eigen informatie GS &amp; warmtenet'!B58)</f>
        <v>0</v>
      </c>
      <c r="D5" s="31">
        <f>SUM(D6:D12)</f>
        <v>109151.79977026326</v>
      </c>
      <c r="E5" s="18">
        <f>SUM(E6:E12)</f>
        <v>2183.4030276505418</v>
      </c>
      <c r="F5" s="18">
        <f>SUM(F6:F12)</f>
        <v>18170.348063999183</v>
      </c>
      <c r="G5" s="19"/>
      <c r="H5" s="18"/>
      <c r="I5" s="18"/>
      <c r="J5" s="18">
        <f>SUM(J6:J12)</f>
        <v>0</v>
      </c>
      <c r="K5" s="18"/>
      <c r="L5" s="18"/>
      <c r="M5" s="18"/>
      <c r="N5" s="18">
        <f>SUM(N6:N12)</f>
        <v>5006.2318184012829</v>
      </c>
      <c r="O5" s="18">
        <f>B38*B39*B40</f>
        <v>4.6900000000000004</v>
      </c>
      <c r="P5" s="18">
        <f>B46*B47*B48/1000-B46*B47*B48/1000/B49</f>
        <v>0</v>
      </c>
      <c r="R5" s="33"/>
    </row>
    <row r="6" spans="1:18">
      <c r="A6" s="33" t="s">
        <v>53</v>
      </c>
      <c r="B6" s="38">
        <f>B26</f>
        <v>10346.2703617357</v>
      </c>
      <c r="C6" s="34"/>
      <c r="D6" s="38">
        <f>IF(ISERROR(TER_kantoor_gas_kWh/1000),0,TER_kantoor_gas_kWh/1000)*0.902</f>
        <v>8295.2197844294806</v>
      </c>
      <c r="E6" s="34">
        <f>$C$26*'E Balans VL '!I12/100/3.6*1000000</f>
        <v>16.980326602737616</v>
      </c>
      <c r="F6" s="34">
        <f>$C$26*('E Balans VL '!L12+'E Balans VL '!N12)/100/3.6*1000000</f>
        <v>1219.581841126628</v>
      </c>
      <c r="G6" s="35"/>
      <c r="H6" s="34"/>
      <c r="I6" s="34"/>
      <c r="J6" s="34">
        <f>$C$26*('E Balans VL '!D12+'E Balans VL '!E12)/100/3.6*1000000</f>
        <v>0</v>
      </c>
      <c r="K6" s="34"/>
      <c r="L6" s="34"/>
      <c r="M6" s="34"/>
      <c r="N6" s="34">
        <f>$C$26*'E Balans VL '!Y12/100/3.6*1000000</f>
        <v>2.090414932987557</v>
      </c>
      <c r="O6" s="34"/>
      <c r="P6" s="34"/>
      <c r="R6" s="33"/>
    </row>
    <row r="7" spans="1:18">
      <c r="A7" s="33" t="s">
        <v>52</v>
      </c>
      <c r="B7" s="38">
        <f t="shared" ref="B7:B12" si="0">B27</f>
        <v>37817.3635714181</v>
      </c>
      <c r="C7" s="34"/>
      <c r="D7" s="38">
        <f>IF(ISERROR(TER_horeca_gas_kWh/1000),0,TER_horeca_gas_kWh/1000)*0.902</f>
        <v>55158.693729532541</v>
      </c>
      <c r="E7" s="34">
        <f>$C$27*'E Balans VL '!I9/100/3.6*1000000</f>
        <v>1962.4475170578557</v>
      </c>
      <c r="F7" s="34">
        <f>$C$27*('E Balans VL '!L9+'E Balans VL '!N9)/100/3.6*1000000</f>
        <v>8629.9498074126168</v>
      </c>
      <c r="G7" s="35"/>
      <c r="H7" s="34"/>
      <c r="I7" s="34"/>
      <c r="J7" s="34">
        <f>$C$27*('E Balans VL '!D9+'E Balans VL '!E9)/100/3.6*1000000</f>
        <v>0</v>
      </c>
      <c r="K7" s="34"/>
      <c r="L7" s="34"/>
      <c r="M7" s="34"/>
      <c r="N7" s="34">
        <f>$C$27*'E Balans VL '!Y9/100/3.6*1000000</f>
        <v>3.9934962625788075</v>
      </c>
      <c r="O7" s="34"/>
      <c r="P7" s="34"/>
      <c r="R7" s="33"/>
    </row>
    <row r="8" spans="1:18">
      <c r="A8" s="6" t="s">
        <v>51</v>
      </c>
      <c r="B8" s="38">
        <f t="shared" si="0"/>
        <v>14367.612619895401</v>
      </c>
      <c r="C8" s="34"/>
      <c r="D8" s="38">
        <f>IF(ISERROR(TER_handel_gas_kWh/1000),0,TER_handel_gas_kWh/1000)*0.902</f>
        <v>9909.0982197684498</v>
      </c>
      <c r="E8" s="34">
        <f>$C$28*'E Balans VL '!I13/100/3.6*1000000</f>
        <v>77.371359503067822</v>
      </c>
      <c r="F8" s="34">
        <f>$C$28*('E Balans VL '!L13+'E Balans VL '!N13)/100/3.6*1000000</f>
        <v>2929.9831801882005</v>
      </c>
      <c r="G8" s="35"/>
      <c r="H8" s="34"/>
      <c r="I8" s="34"/>
      <c r="J8" s="34">
        <f>$C$28*('E Balans VL '!D13+'E Balans VL '!E13)/100/3.6*1000000</f>
        <v>0</v>
      </c>
      <c r="K8" s="34"/>
      <c r="L8" s="34"/>
      <c r="M8" s="34"/>
      <c r="N8" s="34">
        <f>$C$28*'E Balans VL '!Y13/100/3.6*1000000</f>
        <v>71.442550239896349</v>
      </c>
      <c r="O8" s="34"/>
      <c r="P8" s="34"/>
      <c r="R8" s="33"/>
    </row>
    <row r="9" spans="1:18">
      <c r="A9" s="33" t="s">
        <v>50</v>
      </c>
      <c r="B9" s="38">
        <f t="shared" si="0"/>
        <v>1604.5081922176798</v>
      </c>
      <c r="C9" s="34"/>
      <c r="D9" s="38">
        <f>IF(ISERROR(TER_gezond_gas_kWh/1000),0,TER_gezond_gas_kWh/1000)*0.902</f>
        <v>6763.8598674721134</v>
      </c>
      <c r="E9" s="34">
        <f>$C$29*'E Balans VL '!I10/100/3.6*1000000</f>
        <v>1.5900858648793679</v>
      </c>
      <c r="F9" s="34">
        <f>$C$29*('E Balans VL '!L10+'E Balans VL '!N10)/100/3.6*1000000</f>
        <v>556.71809452517562</v>
      </c>
      <c r="G9" s="35"/>
      <c r="H9" s="34"/>
      <c r="I9" s="34"/>
      <c r="J9" s="34">
        <f>$C$29*('E Balans VL '!D10+'E Balans VL '!E10)/100/3.6*1000000</f>
        <v>0</v>
      </c>
      <c r="K9" s="34"/>
      <c r="L9" s="34"/>
      <c r="M9" s="34"/>
      <c r="N9" s="34">
        <f>$C$29*'E Balans VL '!Y10/100/3.6*1000000</f>
        <v>13.825908094461452</v>
      </c>
      <c r="O9" s="34"/>
      <c r="P9" s="34"/>
      <c r="R9" s="33"/>
    </row>
    <row r="10" spans="1:18">
      <c r="A10" s="33" t="s">
        <v>49</v>
      </c>
      <c r="B10" s="38">
        <f t="shared" si="0"/>
        <v>7710.3510532241498</v>
      </c>
      <c r="C10" s="34"/>
      <c r="D10" s="38">
        <f>IF(ISERROR(TER_ander_gas_kWh/1000),0,TER_ander_gas_kWh/1000)*0.902</f>
        <v>1824.2659120790684</v>
      </c>
      <c r="E10" s="34">
        <f>$C$30*'E Balans VL '!I14/100/3.6*1000000</f>
        <v>63.078377562450363</v>
      </c>
      <c r="F10" s="34">
        <f>$C$30*('E Balans VL '!L14+'E Balans VL '!N14)/100/3.6*1000000</f>
        <v>2254.1927465706681</v>
      </c>
      <c r="G10" s="35"/>
      <c r="H10" s="34"/>
      <c r="I10" s="34"/>
      <c r="J10" s="34">
        <f>$C$30*('E Balans VL '!D14+'E Balans VL '!E14)/100/3.6*1000000</f>
        <v>0</v>
      </c>
      <c r="K10" s="34"/>
      <c r="L10" s="34"/>
      <c r="M10" s="34"/>
      <c r="N10" s="34">
        <f>$C$30*'E Balans VL '!Y14/100/3.6*1000000</f>
        <v>4447.8608741705284</v>
      </c>
      <c r="O10" s="34"/>
      <c r="P10" s="34"/>
      <c r="R10" s="33"/>
    </row>
    <row r="11" spans="1:18">
      <c r="A11" s="33" t="s">
        <v>54</v>
      </c>
      <c r="B11" s="38">
        <f t="shared" si="0"/>
        <v>3093.6973137185701</v>
      </c>
      <c r="C11" s="34"/>
      <c r="D11" s="38">
        <f>IF(ISERROR(TER_onderwijs_gas_kWh/1000),0,TER_onderwijs_gas_kWh/1000)*0.902</f>
        <v>7582.9130201642847</v>
      </c>
      <c r="E11" s="34">
        <f>$C$31*'E Balans VL '!I11/100/3.6*1000000</f>
        <v>1.9068244881266043</v>
      </c>
      <c r="F11" s="34">
        <f>$C$31*('E Balans VL '!L11+'E Balans VL '!N11)/100/3.6*1000000</f>
        <v>1196.073482888555</v>
      </c>
      <c r="G11" s="35"/>
      <c r="H11" s="34"/>
      <c r="I11" s="34"/>
      <c r="J11" s="34">
        <f>$C$31*('E Balans VL '!D11+'E Balans VL '!E11)/100/3.6*1000000</f>
        <v>0</v>
      </c>
      <c r="K11" s="34"/>
      <c r="L11" s="34"/>
      <c r="M11" s="34"/>
      <c r="N11" s="34">
        <f>$C$31*'E Balans VL '!Y11/100/3.6*1000000</f>
        <v>10.063134396347442</v>
      </c>
      <c r="O11" s="34"/>
      <c r="P11" s="34"/>
      <c r="R11" s="33"/>
    </row>
    <row r="12" spans="1:18">
      <c r="A12" s="33" t="s">
        <v>259</v>
      </c>
      <c r="B12" s="38">
        <f t="shared" si="0"/>
        <v>6947.47333623333</v>
      </c>
      <c r="C12" s="34"/>
      <c r="D12" s="38">
        <f>IF(ISERROR(TER_rest_gas_kWh/1000),0,TER_rest_gas_kWh/1000)*0.902</f>
        <v>19617.749236817333</v>
      </c>
      <c r="E12" s="34">
        <f>$C$32*'E Balans VL '!I8/100/3.6*1000000</f>
        <v>60.028536571424603</v>
      </c>
      <c r="F12" s="34">
        <f>$C$32*('E Balans VL '!L8+'E Balans VL '!N8)/100/3.6*1000000</f>
        <v>1383.8489112873388</v>
      </c>
      <c r="G12" s="35"/>
      <c r="H12" s="34"/>
      <c r="I12" s="34"/>
      <c r="J12" s="34">
        <f>$C$32*('E Balans VL '!D8+'E Balans VL '!E8)/100/3.6*1000000</f>
        <v>0</v>
      </c>
      <c r="K12" s="34"/>
      <c r="L12" s="34"/>
      <c r="M12" s="34"/>
      <c r="N12" s="34">
        <f>$C$32*'E Balans VL '!Y8/100/3.6*1000000</f>
        <v>456.95544030448218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81887.27644844295</v>
      </c>
      <c r="C16" s="22">
        <f t="shared" ca="1" si="1"/>
        <v>0</v>
      </c>
      <c r="D16" s="22">
        <f t="shared" ca="1" si="1"/>
        <v>109151.79977026326</v>
      </c>
      <c r="E16" s="22">
        <f t="shared" si="1"/>
        <v>2183.4030276505418</v>
      </c>
      <c r="F16" s="22">
        <f t="shared" ca="1" si="1"/>
        <v>18170.348063999183</v>
      </c>
      <c r="G16" s="22">
        <f t="shared" si="1"/>
        <v>0</v>
      </c>
      <c r="H16" s="22">
        <f t="shared" si="1"/>
        <v>0</v>
      </c>
      <c r="I16" s="22">
        <f t="shared" si="1"/>
        <v>0</v>
      </c>
      <c r="J16" s="22">
        <f t="shared" si="1"/>
        <v>0</v>
      </c>
      <c r="K16" s="22">
        <f t="shared" si="1"/>
        <v>0</v>
      </c>
      <c r="L16" s="22">
        <f t="shared" ca="1" si="1"/>
        <v>0</v>
      </c>
      <c r="M16" s="22">
        <f t="shared" si="1"/>
        <v>0</v>
      </c>
      <c r="N16" s="22">
        <f t="shared" ca="1" si="1"/>
        <v>5006.2318184012829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0.21014699478524143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17208.365056788563</v>
      </c>
      <c r="C20" s="24">
        <f t="shared" ref="C20:P20" ca="1" si="2">C16*C18</f>
        <v>0</v>
      </c>
      <c r="D20" s="24">
        <f t="shared" ca="1" si="2"/>
        <v>22048.663553593178</v>
      </c>
      <c r="E20" s="24">
        <f t="shared" si="2"/>
        <v>495.63248727667303</v>
      </c>
      <c r="F20" s="24">
        <f t="shared" ca="1" si="2"/>
        <v>4851.4829330877819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10346.2703617357</v>
      </c>
      <c r="C26" s="40">
        <f>IF(ISERROR(B26*3.6/1000000/'E Balans VL '!Z12*100),0,B26*3.6/1000000/'E Balans VL '!Z12*100)</f>
        <v>0.2198508255552207</v>
      </c>
      <c r="D26" s="240" t="s">
        <v>703</v>
      </c>
      <c r="F26" s="6"/>
    </row>
    <row r="27" spans="1:18">
      <c r="A27" s="234" t="s">
        <v>52</v>
      </c>
      <c r="B27" s="34">
        <f>IF(ISERROR(TER_horeca_ele_kWh/1000),0,TER_horeca_ele_kWh/1000)</f>
        <v>37817.3635714181</v>
      </c>
      <c r="C27" s="40">
        <f>IF(ISERROR(B27*3.6/1000000/'E Balans VL '!Z9*100),0,B27*3.6/1000000/'E Balans VL '!Z9*100)</f>
        <v>2.9765189534748879</v>
      </c>
      <c r="D27" s="240" t="s">
        <v>703</v>
      </c>
      <c r="F27" s="6"/>
    </row>
    <row r="28" spans="1:18">
      <c r="A28" s="174" t="s">
        <v>51</v>
      </c>
      <c r="B28" s="34">
        <f>IF(ISERROR(TER_handel_ele_kWh/1000),0,TER_handel_ele_kWh/1000)</f>
        <v>14367.612619895401</v>
      </c>
      <c r="C28" s="40">
        <f>IF(ISERROR(B28*3.6/1000000/'E Balans VL '!Z13*100),0,B28*3.6/1000000/'E Balans VL '!Z13*100)</f>
        <v>0.40244451872597525</v>
      </c>
      <c r="D28" s="240" t="s">
        <v>703</v>
      </c>
      <c r="F28" s="6"/>
    </row>
    <row r="29" spans="1:18">
      <c r="A29" s="234" t="s">
        <v>50</v>
      </c>
      <c r="B29" s="34">
        <f>IF(ISERROR(TER_gezond_ele_kWh/1000),0,TER_gezond_ele_kWh/1000)</f>
        <v>1604.5081922176798</v>
      </c>
      <c r="C29" s="40">
        <f>IF(ISERROR(B29*3.6/1000000/'E Balans VL '!Z10*100),0,B29*3.6/1000000/'E Balans VL '!Z10*100)</f>
        <v>0.20526511615832593</v>
      </c>
      <c r="D29" s="240" t="s">
        <v>703</v>
      </c>
      <c r="F29" s="6"/>
    </row>
    <row r="30" spans="1:18">
      <c r="A30" s="234" t="s">
        <v>49</v>
      </c>
      <c r="B30" s="34">
        <f>IF(ISERROR(TER_ander_ele_kWh/1000),0,TER_ander_ele_kWh/1000)</f>
        <v>7710.3510532241498</v>
      </c>
      <c r="C30" s="40">
        <f>IF(ISERROR(B30*3.6/1000000/'E Balans VL '!Z14*100),0,B30*3.6/1000000/'E Balans VL '!Z14*100)</f>
        <v>0.57666929022826274</v>
      </c>
      <c r="D30" s="240" t="s">
        <v>703</v>
      </c>
      <c r="F30" s="6"/>
    </row>
    <row r="31" spans="1:18">
      <c r="A31" s="234" t="s">
        <v>54</v>
      </c>
      <c r="B31" s="34">
        <f>IF(ISERROR(TER_onderwijs_ele_kWh/1000),0,TER_onderwijs_ele_kWh/1000)</f>
        <v>3093.6973137185701</v>
      </c>
      <c r="C31" s="40">
        <f>IF(ISERROR(B31*3.6/1000000/'E Balans VL '!Z11*100),0,B31*3.6/1000000/'E Balans VL '!Z11*100)</f>
        <v>0.65323819515400461</v>
      </c>
      <c r="D31" s="240" t="s">
        <v>703</v>
      </c>
    </row>
    <row r="32" spans="1:18">
      <c r="A32" s="234" t="s">
        <v>259</v>
      </c>
      <c r="B32" s="34">
        <f>IF(ISERROR(TER_rest_ele_kWh/1000),0,TER_rest_ele_kWh/1000)</f>
        <v>6947.47333623333</v>
      </c>
      <c r="C32" s="40">
        <f>IF(ISERROR(B32*3.6/1000000/'E Balans VL '!Z8*100),0,B32*3.6/1000000/'E Balans VL '!Z8*100)</f>
        <v>5.7232813370343645E-2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59323.650897843516</v>
      </c>
      <c r="C5" s="18">
        <f>IF(ISERROR('Eigen informatie GS &amp; warmtenet'!B59),0,'Eigen informatie GS &amp; warmtenet'!B59)</f>
        <v>0</v>
      </c>
      <c r="D5" s="31">
        <f>SUM(D6:D15)</f>
        <v>19860.752645948793</v>
      </c>
      <c r="E5" s="18">
        <f>SUM(E6:E15)</f>
        <v>535.36442481448046</v>
      </c>
      <c r="F5" s="18">
        <f>SUM(F6:F15)</f>
        <v>15263.785288465187</v>
      </c>
      <c r="G5" s="19"/>
      <c r="H5" s="18"/>
      <c r="I5" s="18"/>
      <c r="J5" s="18">
        <f>SUM(J6:J15)</f>
        <v>277.6072406222479</v>
      </c>
      <c r="K5" s="18"/>
      <c r="L5" s="18"/>
      <c r="M5" s="18"/>
      <c r="N5" s="18">
        <f>SUM(N6:N15)</f>
        <v>2062.5992600482441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1206.2582561633501</v>
      </c>
      <c r="C8" s="34"/>
      <c r="D8" s="38">
        <f>IF( ISERROR(IND_metaal_Gas_kWH/1000),0,IND_metaal_Gas_kWH/1000)*0.902</f>
        <v>0</v>
      </c>
      <c r="E8" s="34">
        <f>C30*'E Balans VL '!I18/100/3.6*1000000</f>
        <v>10.985176556239226</v>
      </c>
      <c r="F8" s="34">
        <f>C30*'E Balans VL '!L18/100/3.6*1000000+C30*'E Balans VL '!N18/100/3.6*1000000</f>
        <v>159.09630350541229</v>
      </c>
      <c r="G8" s="35"/>
      <c r="H8" s="34"/>
      <c r="I8" s="34"/>
      <c r="J8" s="41">
        <f>C30*'E Balans VL '!D18/100/3.6*1000000+C30*'E Balans VL '!E18/100/3.6*1000000</f>
        <v>19.780883977157874</v>
      </c>
      <c r="K8" s="34"/>
      <c r="L8" s="34"/>
      <c r="M8" s="34"/>
      <c r="N8" s="34">
        <f>C30*'E Balans VL '!Y18/100/3.6*1000000</f>
        <v>4.1454304415703742</v>
      </c>
      <c r="O8" s="34"/>
      <c r="P8" s="34"/>
      <c r="R8" s="33"/>
    </row>
    <row r="9" spans="1:18">
      <c r="A9" s="6" t="s">
        <v>32</v>
      </c>
      <c r="B9" s="38">
        <f t="shared" si="0"/>
        <v>6128.9161887989203</v>
      </c>
      <c r="C9" s="34"/>
      <c r="D9" s="38">
        <f>IF( ISERROR(IND_andere_gas_kWh/1000),0,IND_andere_gas_kWh/1000)*0.902</f>
        <v>9502.4174342057213</v>
      </c>
      <c r="E9" s="34">
        <f>C31*'E Balans VL '!I19/100/3.6*1000000</f>
        <v>35.426051462026116</v>
      </c>
      <c r="F9" s="34">
        <f>C31*'E Balans VL '!L19/100/3.6*1000000+C31*'E Balans VL '!N19/100/3.6*1000000</f>
        <v>4875.8477399664571</v>
      </c>
      <c r="G9" s="35"/>
      <c r="H9" s="34"/>
      <c r="I9" s="34"/>
      <c r="J9" s="41">
        <f>C31*'E Balans VL '!D19/100/3.6*1000000+C31*'E Balans VL '!E19/100/3.6*1000000</f>
        <v>0.57972739338758228</v>
      </c>
      <c r="K9" s="34"/>
      <c r="L9" s="34"/>
      <c r="M9" s="34"/>
      <c r="N9" s="34">
        <f>C31*'E Balans VL '!Y19/100/3.6*1000000</f>
        <v>464.35815207331569</v>
      </c>
      <c r="O9" s="34"/>
      <c r="P9" s="34"/>
      <c r="R9" s="33"/>
    </row>
    <row r="10" spans="1:18">
      <c r="A10" s="6" t="s">
        <v>40</v>
      </c>
      <c r="B10" s="38">
        <f t="shared" si="0"/>
        <v>1016.0751337983199</v>
      </c>
      <c r="C10" s="34"/>
      <c r="D10" s="38">
        <f>IF( ISERROR(IND_voed_gas_kWh/1000),0,IND_voed_gas_kWh/1000)*0.902</f>
        <v>702.41961429241326</v>
      </c>
      <c r="E10" s="34">
        <f>C32*'E Balans VL '!I20/100/3.6*1000000</f>
        <v>9.9906767715346145</v>
      </c>
      <c r="F10" s="34">
        <f>C32*'E Balans VL '!L20/100/3.6*1000000+C32*'E Balans VL '!N20/100/3.6*1000000</f>
        <v>112.84840607570003</v>
      </c>
      <c r="G10" s="35"/>
      <c r="H10" s="34"/>
      <c r="I10" s="34"/>
      <c r="J10" s="41">
        <f>C32*'E Balans VL '!D20/100/3.6*1000000+C32*'E Balans VL '!E20/100/3.6*1000000</f>
        <v>4.0048133726542229E-3</v>
      </c>
      <c r="K10" s="34"/>
      <c r="L10" s="34"/>
      <c r="M10" s="34"/>
      <c r="N10" s="34">
        <f>C32*'E Balans VL '!Y20/100/3.6*1000000</f>
        <v>15.045682670907564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1065.24954844584</v>
      </c>
      <c r="C12" s="34"/>
      <c r="D12" s="38">
        <f>IF( ISERROR(IND_min_gas_kWh/1000),0,IND_min_gas_kWh/1000)*0.902</f>
        <v>0</v>
      </c>
      <c r="E12" s="34">
        <f>C34*'E Balans VL '!I22/100/3.6*1000000</f>
        <v>27.005971659430216</v>
      </c>
      <c r="F12" s="34">
        <f>C34*'E Balans VL '!L22/100/3.6*1000000+C34*'E Balans VL '!N22/100/3.6*1000000</f>
        <v>294.75826307843226</v>
      </c>
      <c r="G12" s="35"/>
      <c r="H12" s="34"/>
      <c r="I12" s="34"/>
      <c r="J12" s="41">
        <f>C34*'E Balans VL '!D22/100/3.6*1000000+C34*'E Balans VL '!E22/100/3.6*1000000</f>
        <v>7.0351220808214618</v>
      </c>
      <c r="K12" s="34"/>
      <c r="L12" s="34"/>
      <c r="M12" s="34"/>
      <c r="N12" s="34">
        <f>C34*'E Balans VL '!Y22/100/3.6*1000000</f>
        <v>0</v>
      </c>
      <c r="O12" s="34"/>
      <c r="P12" s="34"/>
      <c r="R12" s="33"/>
    </row>
    <row r="13" spans="1:18">
      <c r="A13" s="6" t="s">
        <v>38</v>
      </c>
      <c r="B13" s="38">
        <f t="shared" si="0"/>
        <v>140.48022176726801</v>
      </c>
      <c r="C13" s="34"/>
      <c r="D13" s="38">
        <f>IF( ISERROR(IND_papier_gas_kWh/1000),0,IND_papier_gas_kWh/1000)*0.902</f>
        <v>0</v>
      </c>
      <c r="E13" s="34">
        <f>C35*'E Balans VL '!I23/100/3.6*1000000</f>
        <v>4.7849600365460843</v>
      </c>
      <c r="F13" s="34">
        <f>C35*'E Balans VL '!L23/100/3.6*1000000+C35*'E Balans VL '!N23/100/3.6*1000000</f>
        <v>23.204035636117592</v>
      </c>
      <c r="G13" s="35"/>
      <c r="H13" s="34"/>
      <c r="I13" s="34"/>
      <c r="J13" s="41">
        <f>C35*'E Balans VL '!D23/100/3.6*1000000+C35*'E Balans VL '!E23/100/3.6*1000000</f>
        <v>0</v>
      </c>
      <c r="K13" s="34"/>
      <c r="L13" s="34"/>
      <c r="M13" s="34"/>
      <c r="N13" s="34">
        <f>C35*'E Balans VL '!Y23/100/3.6*1000000</f>
        <v>51.692954222854901</v>
      </c>
      <c r="O13" s="34"/>
      <c r="P13" s="34"/>
      <c r="R13" s="33"/>
    </row>
    <row r="14" spans="1:18">
      <c r="A14" s="6" t="s">
        <v>33</v>
      </c>
      <c r="B14" s="38">
        <f t="shared" si="0"/>
        <v>11.4665383291139</v>
      </c>
      <c r="C14" s="34"/>
      <c r="D14" s="38">
        <f>IF( ISERROR(IND_chemie_gas_kWh/1000),0,IND_chemie_gas_kWh/1000)*0.902</f>
        <v>0</v>
      </c>
      <c r="E14" s="34">
        <f>C36*'E Balans VL '!I24/100/3.6*1000000</f>
        <v>8.669316100466043E-2</v>
      </c>
      <c r="F14" s="34">
        <f>C36*'E Balans VL '!L24/100/3.6*1000000+C36*'E Balans VL '!N24/100/3.6*1000000</f>
        <v>0.21216266193146321</v>
      </c>
      <c r="G14" s="35"/>
      <c r="H14" s="34"/>
      <c r="I14" s="34"/>
      <c r="J14" s="41">
        <f>C36*'E Balans VL '!D24/100/3.6*1000000+C36*'E Balans VL '!E24/100/3.6*1000000</f>
        <v>0</v>
      </c>
      <c r="K14" s="34"/>
      <c r="L14" s="34"/>
      <c r="M14" s="34"/>
      <c r="N14" s="34">
        <f>C36*'E Balans VL '!Y24/100/3.6*1000000</f>
        <v>3.3250004376979433E-3</v>
      </c>
      <c r="O14" s="34"/>
      <c r="P14" s="34"/>
      <c r="R14" s="33"/>
    </row>
    <row r="15" spans="1:18">
      <c r="A15" s="6" t="s">
        <v>269</v>
      </c>
      <c r="B15" s="38">
        <f t="shared" si="0"/>
        <v>49755.205010540703</v>
      </c>
      <c r="C15" s="34"/>
      <c r="D15" s="38">
        <f>IF( ISERROR(IND_rest_gas_kWh/1000),0,IND_rest_gas_kWh/1000)*0.902</f>
        <v>9655.9155974506575</v>
      </c>
      <c r="E15" s="34">
        <f>C37*'E Balans VL '!I15/100/3.6*1000000</f>
        <v>447.08489516769959</v>
      </c>
      <c r="F15" s="34">
        <f>C37*'E Balans VL '!L15/100/3.6*1000000+C37*'E Balans VL '!N15/100/3.6*1000000</f>
        <v>9797.8183775411362</v>
      </c>
      <c r="G15" s="35"/>
      <c r="H15" s="34"/>
      <c r="I15" s="34"/>
      <c r="J15" s="41">
        <f>C37*'E Balans VL '!D15/100/3.6*1000000+C37*'E Balans VL '!E15/100/3.6*1000000</f>
        <v>250.2075023575083</v>
      </c>
      <c r="K15" s="34"/>
      <c r="L15" s="34"/>
      <c r="M15" s="34"/>
      <c r="N15" s="34">
        <f>C37*'E Balans VL '!Y15/100/3.6*1000000</f>
        <v>1527.3537156391578</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59323.650897843516</v>
      </c>
      <c r="C18" s="22">
        <f>C5+C16</f>
        <v>0</v>
      </c>
      <c r="D18" s="22">
        <f>MAX((D5+D16),0)</f>
        <v>19860.752645948793</v>
      </c>
      <c r="E18" s="22">
        <f>MAX((E5+E16),0)</f>
        <v>535.36442481448046</v>
      </c>
      <c r="F18" s="22">
        <f>MAX((F5+F16),0)</f>
        <v>15263.785288465187</v>
      </c>
      <c r="G18" s="22"/>
      <c r="H18" s="22"/>
      <c r="I18" s="22"/>
      <c r="J18" s="22">
        <f>MAX((J5+J16),0)</f>
        <v>277.6072406222479</v>
      </c>
      <c r="K18" s="22"/>
      <c r="L18" s="22">
        <f>MAX((L5+L16),0)</f>
        <v>0</v>
      </c>
      <c r="M18" s="22"/>
      <c r="N18" s="22">
        <f>MAX((N5+N16),0)</f>
        <v>2062.5992600482441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0.21014699478524143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12466.686955870604</v>
      </c>
      <c r="C22" s="24">
        <f ca="1">C18*C20</f>
        <v>0</v>
      </c>
      <c r="D22" s="24">
        <f>D18*D20</f>
        <v>4011.8720344816566</v>
      </c>
      <c r="E22" s="24">
        <f>E18*E20</f>
        <v>121.52772443288707</v>
      </c>
      <c r="F22" s="24">
        <f>F18*F20</f>
        <v>4075.4306720202053</v>
      </c>
      <c r="G22" s="24"/>
      <c r="H22" s="24"/>
      <c r="I22" s="24"/>
      <c r="J22" s="24">
        <f>J18*J20</f>
        <v>98.272963180275752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1206.2582561633501</v>
      </c>
      <c r="C30" s="40">
        <f>IF(ISERROR(B30*3.6/1000000/'E Balans VL '!Z18*100),0,B30*3.6/1000000/'E Balans VL '!Z18*100)</f>
        <v>6.7120205775737171E-2</v>
      </c>
      <c r="D30" s="240" t="s">
        <v>703</v>
      </c>
    </row>
    <row r="31" spans="1:18">
      <c r="A31" s="6" t="s">
        <v>32</v>
      </c>
      <c r="B31" s="38">
        <f>IF( ISERROR(IND_ander_ele_kWh/1000),0,IND_ander_ele_kWh/1000)</f>
        <v>6128.9161887989203</v>
      </c>
      <c r="C31" s="40">
        <f>IF(ISERROR(B31*3.6/1000000/'E Balans VL '!Z19*100),0,B31*3.6/1000000/'E Balans VL '!Z19*100)</f>
        <v>0.28491721722802676</v>
      </c>
      <c r="D31" s="240" t="s">
        <v>703</v>
      </c>
    </row>
    <row r="32" spans="1:18">
      <c r="A32" s="174" t="s">
        <v>40</v>
      </c>
      <c r="B32" s="38">
        <f>IF( ISERROR(IND_voed_ele_kWh/1000),0,IND_voed_ele_kWh/1000)</f>
        <v>1016.0751337983199</v>
      </c>
      <c r="C32" s="40">
        <f>IF(ISERROR(B32*3.6/1000000/'E Balans VL '!Z20*100),0,B32*3.6/1000000/'E Balans VL '!Z20*100)</f>
        <v>3.591620392913266E-2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1065.24954844584</v>
      </c>
      <c r="C34" s="40">
        <f>IF(ISERROR(B34*3.6/1000000/'E Balans VL '!Z22*100),0,B34*3.6/1000000/'E Balans VL '!Z22*100)</f>
        <v>0.21408512021518902</v>
      </c>
      <c r="D34" s="240" t="s">
        <v>703</v>
      </c>
    </row>
    <row r="35" spans="1:5">
      <c r="A35" s="174" t="s">
        <v>38</v>
      </c>
      <c r="B35" s="38">
        <f>IF( ISERROR(IND_papier_ele_kWh/1000),0,IND_papier_ele_kWh/1000)</f>
        <v>140.48022176726801</v>
      </c>
      <c r="C35" s="40">
        <f>IF(ISERROR(B35*3.6/1000000/'E Balans VL '!Z22*100),0,B35*3.6/1000000/'E Balans VL '!Z22*100)</f>
        <v>2.8232563166799649E-2</v>
      </c>
      <c r="D35" s="240" t="s">
        <v>703</v>
      </c>
    </row>
    <row r="36" spans="1:5">
      <c r="A36" s="174" t="s">
        <v>33</v>
      </c>
      <c r="B36" s="38">
        <f>IF( ISERROR(IND_chemie_ele_kWh/1000),0,IND_chemie_ele_kWh/1000)</f>
        <v>11.4665383291139</v>
      </c>
      <c r="C36" s="40">
        <f>IF(ISERROR(B36*3.6/1000000/'E Balans VL '!Z24*100),0,B36*3.6/1000000/'E Balans VL '!Z24*100)</f>
        <v>2.8236607300397156E-4</v>
      </c>
      <c r="D36" s="240" t="s">
        <v>703</v>
      </c>
    </row>
    <row r="37" spans="1:5">
      <c r="A37" s="174" t="s">
        <v>269</v>
      </c>
      <c r="B37" s="38">
        <f>IF( ISERROR(IND_rest_ele_kWh/1000),0,IND_rest_ele_kWh/1000)</f>
        <v>49755.205010540703</v>
      </c>
      <c r="C37" s="40">
        <f>IF(ISERROR(B37*3.6/1000000/'E Balans VL '!Z15*100),0,B37*3.6/1000000/'E Balans VL '!Z15*100)</f>
        <v>0.37572529738161525</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1234.959632434937</v>
      </c>
      <c r="C5" s="18">
        <f>'Eigen informatie GS &amp; warmtenet'!B60</f>
        <v>0</v>
      </c>
      <c r="D5" s="31">
        <f>IF(ISERROR(SUM(LB_lb_gas_kWh,LB_rest_gas_kWh)/1000),0,SUM(LB_lb_gas_kWh,LB_rest_gas_kWh)/1000)*0.902</f>
        <v>134.23225850165468</v>
      </c>
      <c r="E5" s="18">
        <f>B17*'E Balans VL '!I25/3.6*1000000/100</f>
        <v>11.634147187633761</v>
      </c>
      <c r="F5" s="18">
        <f>B17*('E Balans VL '!L25/3.6*1000000+'E Balans VL '!N25/3.6*1000000)/100</f>
        <v>4030.0831277430943</v>
      </c>
      <c r="G5" s="19"/>
      <c r="H5" s="18"/>
      <c r="I5" s="18"/>
      <c r="J5" s="18">
        <f>('E Balans VL '!D25+'E Balans VL '!E25)/3.6*1000000*landbouw!B17/100</f>
        <v>152.77051337470002</v>
      </c>
      <c r="K5" s="18"/>
      <c r="L5" s="18">
        <f>L6*(-1)</f>
        <v>0</v>
      </c>
      <c r="M5" s="18"/>
      <c r="N5" s="18">
        <f>N6*(-1)</f>
        <v>0</v>
      </c>
      <c r="O5" s="18"/>
      <c r="P5" s="18"/>
      <c r="R5" s="33"/>
    </row>
    <row r="6" spans="1:18">
      <c r="A6" s="17" t="s">
        <v>501</v>
      </c>
      <c r="B6" s="18" t="s">
        <v>210</v>
      </c>
      <c r="C6" s="18">
        <f>'lokale energieproductie'!O39+'lokale energieproductie'!O32</f>
        <v>3.75</v>
      </c>
      <c r="D6" s="310">
        <f>('lokale energieproductie'!P32+'lokale energieproductie'!P39)*(-1)</f>
        <v>-5</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1234.959632434937</v>
      </c>
      <c r="C8" s="22">
        <f>C5+C6</f>
        <v>3.75</v>
      </c>
      <c r="D8" s="22">
        <f>MAX((D5+D6),0)</f>
        <v>129.23225850165468</v>
      </c>
      <c r="E8" s="22">
        <f>MAX((E5+E6),0)</f>
        <v>11.634147187633761</v>
      </c>
      <c r="F8" s="22">
        <f>MAX((F5+F6),0)</f>
        <v>4030.0831277430943</v>
      </c>
      <c r="G8" s="22"/>
      <c r="H8" s="22"/>
      <c r="I8" s="22"/>
      <c r="J8" s="22">
        <f>MAX((J5+J6),0)</f>
        <v>152.77051337470002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0.21014699478524143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259.52305543728841</v>
      </c>
      <c r="C12" s="24">
        <f ca="1">C8*C10</f>
        <v>0.84166666666666679</v>
      </c>
      <c r="D12" s="24">
        <f>D8*D10</f>
        <v>26.104916217334249</v>
      </c>
      <c r="E12" s="24">
        <f>E8*E10</f>
        <v>2.6409514115928641</v>
      </c>
      <c r="F12" s="24">
        <f>F8*F10</f>
        <v>1076.0321951074063</v>
      </c>
      <c r="G12" s="24"/>
      <c r="H12" s="24"/>
      <c r="I12" s="24"/>
      <c r="J12" s="24">
        <f>J8*J10</f>
        <v>54.080761734643801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0.16719380020760111</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246.53357754296488</v>
      </c>
      <c r="C26" s="250">
        <f>B26*'GWP N2O_CH4'!B5</f>
        <v>5177.2051284022627</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64.746971645564699</v>
      </c>
      <c r="C27" s="250">
        <f>B27*'GWP N2O_CH4'!B5</f>
        <v>1359.6864045568586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3.182162583724379</v>
      </c>
      <c r="C28" s="250">
        <f>B28*'GWP N2O_CH4'!B4</f>
        <v>986.47040095455748</v>
      </c>
      <c r="D28" s="51"/>
    </row>
    <row r="29" spans="1:4">
      <c r="A29" s="42" t="s">
        <v>276</v>
      </c>
      <c r="B29" s="250">
        <f>B34*'ha_N2O bodem landbouw'!B4</f>
        <v>17.417522209375594</v>
      </c>
      <c r="C29" s="250">
        <f>B29*'GWP N2O_CH4'!B4</f>
        <v>5399.4318849064339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4.7021826882845969E-3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1.9812804740253279E-5</v>
      </c>
      <c r="C5" s="443" t="s">
        <v>210</v>
      </c>
      <c r="D5" s="428">
        <f>SUM(D6:D11)</f>
        <v>4.5445543221615737E-5</v>
      </c>
      <c r="E5" s="428">
        <f>SUM(E6:E11)</f>
        <v>2.9891370305503684E-3</v>
      </c>
      <c r="F5" s="441" t="s">
        <v>210</v>
      </c>
      <c r="G5" s="428">
        <f>SUM(G6:G11)</f>
        <v>0.74593021273512561</v>
      </c>
      <c r="H5" s="428">
        <f>SUM(H6:H11)</f>
        <v>0.11668021232577197</v>
      </c>
      <c r="I5" s="443" t="s">
        <v>210</v>
      </c>
      <c r="J5" s="443" t="s">
        <v>210</v>
      </c>
      <c r="K5" s="443" t="s">
        <v>210</v>
      </c>
      <c r="L5" s="443" t="s">
        <v>210</v>
      </c>
      <c r="M5" s="428">
        <f>SUM(M6:M11)</f>
        <v>3.8535235002393024E-2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1.272840326128602E-5</v>
      </c>
      <c r="C6" s="429"/>
      <c r="D6" s="429">
        <f>vkm_GW_PW*SUMIFS(TableVerdeelsleutelVkm[CNG],TableVerdeelsleutelVkm[Voertuigtype],"Lichte voertuigen")*SUMIFS(TableECFTransport[EnergieConsumptieFactor (PJ per km)],TableECFTransport[Index],CONCATENATE($A6,"_CNG_CNG"))</f>
        <v>2.5752904348412027E-5</v>
      </c>
      <c r="E6" s="431">
        <f>vkm_GW_PW*SUMIFS(TableVerdeelsleutelVkm[LPG],TableVerdeelsleutelVkm[Voertuigtype],"Lichte voertuigen")*SUMIFS(TableECFTransport[EnergieConsumptieFactor (PJ per km)],TableECFTransport[Index],CONCATENATE($A6,"_LPG_LPG"))</f>
        <v>1.6625908409631904E-3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0.26548386856321093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6.6525518511080378E-2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1.4860128742781682E-2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0.10897823714028269</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2.9807381251130508E-6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4.8491786320763357E-3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3.8341316256765194E-6</v>
      </c>
      <c r="C8" s="429"/>
      <c r="D8" s="431">
        <f>vkm_NGW_PW*SUMIFS(TableVerdeelsleutelVkm[CNG],TableVerdeelsleutelVkm[Voertuigtype],"Lichte voertuigen")*SUMIFS(TableECFTransport[EnergieConsumptieFactor (PJ per km)],TableECFTransport[Index],CONCATENATE($A8,"_CNG_CNG"))</f>
        <v>1.3166595944286751E-5</v>
      </c>
      <c r="E8" s="431">
        <f>vkm_NGW_PW*SUMIFS(TableVerdeelsleutelVkm[LPG],TableVerdeelsleutelVkm[Voertuigtype],"Lichte voertuigen")*SUMIFS(TableECFTransport[EnergieConsumptieFactor (PJ per km)],TableECFTransport[Index],CONCATENATE($A8,"_LPG_LPG"))</f>
        <v>8.0011748938175337E-4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0.12162807409225139</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3.2458276755069494E-2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6.8986971288137501E-3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2.3728947696333026E-2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7.537104166309115E-7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1.0558661226338761E-3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3.2502698532907397E-6</v>
      </c>
      <c r="C10" s="429"/>
      <c r="D10" s="431">
        <f>vkm_SW_PW*SUMIFS(TableVerdeelsleutelVkm[CNG],TableVerdeelsleutelVkm[Voertuigtype],"Lichte voertuigen")*SUMIFS(TableECFTransport[EnergieConsumptieFactor (PJ per km)],TableECFTransport[Index],CONCATENATE($A10,"_CNG_CNG"))</f>
        <v>6.5260429289169552E-6</v>
      </c>
      <c r="E10" s="431">
        <f>vkm_SW_PW*SUMIFS(TableVerdeelsleutelVkm[LPG],TableVerdeelsleutelVkm[Voertuigtype],"Lichte voertuigen")*SUMIFS(TableECFTransport[EnergieConsumptieFactor (PJ per km)],TableECFTransport[Index],CONCATENATE($A10,"_LPG_LPG"))</f>
        <v>5.2642870020542458E-4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7.684222798947031E-2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1.7688230627405262E-2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4.2293667151284001E-3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0.14926885725357728</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4.4519836750731405E-6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6.6419976609589813E-3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5.5035568722925774</v>
      </c>
      <c r="C14" s="22"/>
      <c r="D14" s="22">
        <f t="shared" ref="D14:M14" si="0">((D5)*10^9/3600)+D12</f>
        <v>12.623762006004371</v>
      </c>
      <c r="E14" s="22">
        <f t="shared" si="0"/>
        <v>830.31584181954679</v>
      </c>
      <c r="F14" s="22"/>
      <c r="G14" s="22">
        <f t="shared" si="0"/>
        <v>207202.83687086822</v>
      </c>
      <c r="H14" s="22">
        <f t="shared" si="0"/>
        <v>32411.170090492215</v>
      </c>
      <c r="I14" s="22"/>
      <c r="J14" s="22"/>
      <c r="K14" s="22"/>
      <c r="L14" s="22"/>
      <c r="M14" s="22">
        <f t="shared" si="0"/>
        <v>10704.231945109173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0.21014699478524143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1.1565559373419478</v>
      </c>
      <c r="C18" s="24"/>
      <c r="D18" s="24">
        <f t="shared" ref="D18:M18" si="1">D14*D16</f>
        <v>2.5499999252128833</v>
      </c>
      <c r="E18" s="24">
        <f t="shared" si="1"/>
        <v>188.48169609303713</v>
      </c>
      <c r="F18" s="24"/>
      <c r="G18" s="24">
        <f t="shared" si="1"/>
        <v>55323.157444521821</v>
      </c>
      <c r="H18" s="24">
        <f t="shared" si="1"/>
        <v>8070.3813525325613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1.0746596457221362E-2</v>
      </c>
      <c r="H50" s="321">
        <f t="shared" si="2"/>
        <v>0</v>
      </c>
      <c r="I50" s="321">
        <f t="shared" si="2"/>
        <v>0</v>
      </c>
      <c r="J50" s="321">
        <f t="shared" si="2"/>
        <v>0</v>
      </c>
      <c r="K50" s="321">
        <f t="shared" si="2"/>
        <v>0</v>
      </c>
      <c r="L50" s="321">
        <f t="shared" si="2"/>
        <v>0</v>
      </c>
      <c r="M50" s="321">
        <f t="shared" si="2"/>
        <v>4.7151947138925656E-4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1.0746596457221362E-2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4.7151947138925656E-4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2985.1656825614896</v>
      </c>
      <c r="H54" s="22">
        <f t="shared" si="3"/>
        <v>0</v>
      </c>
      <c r="I54" s="22">
        <f t="shared" si="3"/>
        <v>0</v>
      </c>
      <c r="J54" s="22">
        <f t="shared" si="3"/>
        <v>0</v>
      </c>
      <c r="K54" s="22">
        <f t="shared" si="3"/>
        <v>0</v>
      </c>
      <c r="L54" s="22">
        <f t="shared" si="3"/>
        <v>0</v>
      </c>
      <c r="M54" s="22">
        <f t="shared" si="3"/>
        <v>130.97763094146018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0.21014699478524143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797.0392372439178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83353.762448442954</v>
      </c>
      <c r="D10" s="684">
        <f ca="1">tertiair!C16</f>
        <v>0</v>
      </c>
      <c r="E10" s="684">
        <f ca="1">tertiair!D16</f>
        <v>109151.79977026326</v>
      </c>
      <c r="F10" s="684">
        <f>tertiair!E16</f>
        <v>2183.4030276505418</v>
      </c>
      <c r="G10" s="684">
        <f ca="1">tertiair!F16</f>
        <v>18170.348063999183</v>
      </c>
      <c r="H10" s="684">
        <f>tertiair!G16</f>
        <v>0</v>
      </c>
      <c r="I10" s="684">
        <f>tertiair!H16</f>
        <v>0</v>
      </c>
      <c r="J10" s="684">
        <f>tertiair!I16</f>
        <v>0</v>
      </c>
      <c r="K10" s="684">
        <f>tertiair!J16</f>
        <v>0</v>
      </c>
      <c r="L10" s="684">
        <f>tertiair!K16</f>
        <v>0</v>
      </c>
      <c r="M10" s="684">
        <f ca="1">tertiair!L16</f>
        <v>0</v>
      </c>
      <c r="N10" s="684">
        <f>tertiair!M16</f>
        <v>0</v>
      </c>
      <c r="O10" s="684">
        <f ca="1">tertiair!N16</f>
        <v>5006.2318184012829</v>
      </c>
      <c r="P10" s="684">
        <f>tertiair!O16</f>
        <v>4.6900000000000004</v>
      </c>
      <c r="Q10" s="685">
        <f>tertiair!P16</f>
        <v>0</v>
      </c>
      <c r="R10" s="687">
        <f ca="1">SUM(C10:Q10)</f>
        <v>217870.23512875722</v>
      </c>
      <c r="S10" s="68"/>
    </row>
    <row r="11" spans="1:19" s="453" customFormat="1">
      <c r="A11" s="799" t="s">
        <v>224</v>
      </c>
      <c r="B11" s="804"/>
      <c r="C11" s="684">
        <f>huishoudens!B8</f>
        <v>65327.263892530602</v>
      </c>
      <c r="D11" s="684">
        <f>huishoudens!C8</f>
        <v>0</v>
      </c>
      <c r="E11" s="684">
        <f>huishoudens!D8</f>
        <v>130722.6234513095</v>
      </c>
      <c r="F11" s="684">
        <f>huishoudens!E8</f>
        <v>5482.3301468383042</v>
      </c>
      <c r="G11" s="684">
        <f>huishoudens!F8</f>
        <v>69041.793776659921</v>
      </c>
      <c r="H11" s="684">
        <f>huishoudens!G8</f>
        <v>0</v>
      </c>
      <c r="I11" s="684">
        <f>huishoudens!H8</f>
        <v>0</v>
      </c>
      <c r="J11" s="684">
        <f>huishoudens!I8</f>
        <v>0</v>
      </c>
      <c r="K11" s="684">
        <f>huishoudens!J8</f>
        <v>0</v>
      </c>
      <c r="L11" s="684">
        <f>huishoudens!K8</f>
        <v>0</v>
      </c>
      <c r="M11" s="684">
        <f>huishoudens!L8</f>
        <v>0</v>
      </c>
      <c r="N11" s="684">
        <f>huishoudens!M8</f>
        <v>0</v>
      </c>
      <c r="O11" s="684">
        <f>huishoudens!N8</f>
        <v>36766.739576456632</v>
      </c>
      <c r="P11" s="684">
        <f>huishoudens!O8</f>
        <v>347.06000000000006</v>
      </c>
      <c r="Q11" s="685">
        <f>huishoudens!P8</f>
        <v>1353.7333333333333</v>
      </c>
      <c r="R11" s="687">
        <f>SUM(C11:Q11)</f>
        <v>309041.54417712823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59323.650897843516</v>
      </c>
      <c r="D13" s="684">
        <f>industrie!C18</f>
        <v>0</v>
      </c>
      <c r="E13" s="684">
        <f>industrie!D18</f>
        <v>19860.752645948793</v>
      </c>
      <c r="F13" s="684">
        <f>industrie!E18</f>
        <v>535.36442481448046</v>
      </c>
      <c r="G13" s="684">
        <f>industrie!F18</f>
        <v>15263.785288465187</v>
      </c>
      <c r="H13" s="684">
        <f>industrie!G18</f>
        <v>0</v>
      </c>
      <c r="I13" s="684">
        <f>industrie!H18</f>
        <v>0</v>
      </c>
      <c r="J13" s="684">
        <f>industrie!I18</f>
        <v>0</v>
      </c>
      <c r="K13" s="684">
        <f>industrie!J18</f>
        <v>277.6072406222479</v>
      </c>
      <c r="L13" s="684">
        <f>industrie!K18</f>
        <v>0</v>
      </c>
      <c r="M13" s="684">
        <f>industrie!L18</f>
        <v>0</v>
      </c>
      <c r="N13" s="684">
        <f>industrie!M18</f>
        <v>0</v>
      </c>
      <c r="O13" s="684">
        <f>industrie!N18</f>
        <v>2062.5992600482441</v>
      </c>
      <c r="P13" s="684">
        <f>industrie!O18</f>
        <v>0</v>
      </c>
      <c r="Q13" s="685">
        <f>industrie!P18</f>
        <v>0</v>
      </c>
      <c r="R13" s="687">
        <f>SUM(C13:Q13)</f>
        <v>97323.759757742489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208004.67723881709</v>
      </c>
      <c r="D16" s="717">
        <f t="shared" ref="D16:R16" ca="1" si="0">SUM(D9:D15)</f>
        <v>0</v>
      </c>
      <c r="E16" s="717">
        <f t="shared" ca="1" si="0"/>
        <v>259735.17586752155</v>
      </c>
      <c r="F16" s="717">
        <f t="shared" si="0"/>
        <v>8201.0975993033262</v>
      </c>
      <c r="G16" s="717">
        <f t="shared" ca="1" si="0"/>
        <v>102475.92712912429</v>
      </c>
      <c r="H16" s="717">
        <f t="shared" si="0"/>
        <v>0</v>
      </c>
      <c r="I16" s="717">
        <f t="shared" si="0"/>
        <v>0</v>
      </c>
      <c r="J16" s="717">
        <f t="shared" si="0"/>
        <v>0</v>
      </c>
      <c r="K16" s="717">
        <f t="shared" si="0"/>
        <v>277.6072406222479</v>
      </c>
      <c r="L16" s="717">
        <f t="shared" si="0"/>
        <v>0</v>
      </c>
      <c r="M16" s="717">
        <f t="shared" ca="1" si="0"/>
        <v>0</v>
      </c>
      <c r="N16" s="717">
        <f t="shared" si="0"/>
        <v>0</v>
      </c>
      <c r="O16" s="717">
        <f t="shared" ca="1" si="0"/>
        <v>43835.570654906158</v>
      </c>
      <c r="P16" s="717">
        <f t="shared" si="0"/>
        <v>351.75000000000006</v>
      </c>
      <c r="Q16" s="717">
        <f t="shared" si="0"/>
        <v>1353.7333333333333</v>
      </c>
      <c r="R16" s="717">
        <f t="shared" ca="1" si="0"/>
        <v>624235.53906362795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2985.1656825614896</v>
      </c>
      <c r="I19" s="684">
        <f>transport!H54</f>
        <v>0</v>
      </c>
      <c r="J19" s="684">
        <f>transport!I54</f>
        <v>0</v>
      </c>
      <c r="K19" s="684">
        <f>transport!J54</f>
        <v>0</v>
      </c>
      <c r="L19" s="684">
        <f>transport!K54</f>
        <v>0</v>
      </c>
      <c r="M19" s="684">
        <f>transport!L54</f>
        <v>0</v>
      </c>
      <c r="N19" s="684">
        <f>transport!M54</f>
        <v>130.97763094146018</v>
      </c>
      <c r="O19" s="684">
        <f>transport!N54</f>
        <v>0</v>
      </c>
      <c r="P19" s="684">
        <f>transport!O54</f>
        <v>0</v>
      </c>
      <c r="Q19" s="685">
        <f>transport!P54</f>
        <v>0</v>
      </c>
      <c r="R19" s="687">
        <f>SUM(C19:Q19)</f>
        <v>3116.1433135029497</v>
      </c>
      <c r="S19" s="68"/>
    </row>
    <row r="20" spans="1:19" s="453" customFormat="1">
      <c r="A20" s="799" t="s">
        <v>306</v>
      </c>
      <c r="B20" s="804"/>
      <c r="C20" s="684">
        <f>transport!B14</f>
        <v>5.5035568722925774</v>
      </c>
      <c r="D20" s="684">
        <f>transport!C14</f>
        <v>0</v>
      </c>
      <c r="E20" s="684">
        <f>transport!D14</f>
        <v>12.623762006004371</v>
      </c>
      <c r="F20" s="684">
        <f>transport!E14</f>
        <v>830.31584181954679</v>
      </c>
      <c r="G20" s="684">
        <f>transport!F14</f>
        <v>0</v>
      </c>
      <c r="H20" s="684">
        <f>transport!G14</f>
        <v>207202.83687086822</v>
      </c>
      <c r="I20" s="684">
        <f>transport!H14</f>
        <v>32411.170090492215</v>
      </c>
      <c r="J20" s="684">
        <f>transport!I14</f>
        <v>0</v>
      </c>
      <c r="K20" s="684">
        <f>transport!J14</f>
        <v>0</v>
      </c>
      <c r="L20" s="684">
        <f>transport!K14</f>
        <v>0</v>
      </c>
      <c r="M20" s="684">
        <f>transport!L14</f>
        <v>0</v>
      </c>
      <c r="N20" s="684">
        <f>transport!M14</f>
        <v>10704.231945109173</v>
      </c>
      <c r="O20" s="684">
        <f>transport!N14</f>
        <v>0</v>
      </c>
      <c r="P20" s="684">
        <f>transport!O14</f>
        <v>0</v>
      </c>
      <c r="Q20" s="685">
        <f>transport!P14</f>
        <v>0</v>
      </c>
      <c r="R20" s="687">
        <f>SUM(C20:Q20)</f>
        <v>251166.68206716745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5.5035568722925774</v>
      </c>
      <c r="D22" s="802">
        <f t="shared" ref="D22:R22" si="1">SUM(D18:D21)</f>
        <v>0</v>
      </c>
      <c r="E22" s="802">
        <f t="shared" si="1"/>
        <v>12.623762006004371</v>
      </c>
      <c r="F22" s="802">
        <f t="shared" si="1"/>
        <v>830.31584181954679</v>
      </c>
      <c r="G22" s="802">
        <f t="shared" si="1"/>
        <v>0</v>
      </c>
      <c r="H22" s="802">
        <f t="shared" si="1"/>
        <v>210188.00255342972</v>
      </c>
      <c r="I22" s="802">
        <f t="shared" si="1"/>
        <v>32411.170090492215</v>
      </c>
      <c r="J22" s="802">
        <f t="shared" si="1"/>
        <v>0</v>
      </c>
      <c r="K22" s="802">
        <f t="shared" si="1"/>
        <v>0</v>
      </c>
      <c r="L22" s="802">
        <f t="shared" si="1"/>
        <v>0</v>
      </c>
      <c r="M22" s="802">
        <f t="shared" si="1"/>
        <v>0</v>
      </c>
      <c r="N22" s="802">
        <f t="shared" si="1"/>
        <v>10835.209576050634</v>
      </c>
      <c r="O22" s="802">
        <f t="shared" si="1"/>
        <v>0</v>
      </c>
      <c r="P22" s="802">
        <f t="shared" si="1"/>
        <v>0</v>
      </c>
      <c r="Q22" s="802">
        <f t="shared" si="1"/>
        <v>0</v>
      </c>
      <c r="R22" s="802">
        <f t="shared" si="1"/>
        <v>254282.8253806704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1234.959632434937</v>
      </c>
      <c r="D24" s="684">
        <f>+landbouw!C8</f>
        <v>3.75</v>
      </c>
      <c r="E24" s="684">
        <f>+landbouw!D8</f>
        <v>129.23225850165468</v>
      </c>
      <c r="F24" s="684">
        <f>+landbouw!E8</f>
        <v>11.634147187633761</v>
      </c>
      <c r="G24" s="684">
        <f>+landbouw!F8</f>
        <v>4030.0831277430943</v>
      </c>
      <c r="H24" s="684">
        <f>+landbouw!G8</f>
        <v>0</v>
      </c>
      <c r="I24" s="684">
        <f>+landbouw!H8</f>
        <v>0</v>
      </c>
      <c r="J24" s="684">
        <f>+landbouw!I8</f>
        <v>0</v>
      </c>
      <c r="K24" s="684">
        <f>+landbouw!J8</f>
        <v>152.77051337470002</v>
      </c>
      <c r="L24" s="684">
        <f>+landbouw!K8</f>
        <v>0</v>
      </c>
      <c r="M24" s="684">
        <f>+landbouw!L8</f>
        <v>0</v>
      </c>
      <c r="N24" s="684">
        <f>+landbouw!M8</f>
        <v>0</v>
      </c>
      <c r="O24" s="684">
        <f>+landbouw!N8</f>
        <v>0</v>
      </c>
      <c r="P24" s="684">
        <f>+landbouw!O8</f>
        <v>0</v>
      </c>
      <c r="Q24" s="685">
        <f>+landbouw!P8</f>
        <v>0</v>
      </c>
      <c r="R24" s="687">
        <f>SUM(C24:Q24)</f>
        <v>5562.42967924202</v>
      </c>
      <c r="S24" s="68"/>
    </row>
    <row r="25" spans="1:19" s="453" customFormat="1" ht="15" thickBot="1">
      <c r="A25" s="821" t="s">
        <v>896</v>
      </c>
      <c r="B25" s="990"/>
      <c r="C25" s="991">
        <f>IF(Onbekend_ele_kWh="---",0,Onbekend_ele_kWh)/1000+IF(REST_rest_ele_kWh="---",0,REST_rest_ele_kWh)/1000</f>
        <v>2137.8783190460199</v>
      </c>
      <c r="D25" s="991"/>
      <c r="E25" s="991">
        <f>IF(onbekend_gas_kWh="---",0,onbekend_gas_kWh)/1000+IF(REST_rest_gas_kWh="---",0,REST_rest_gas_kWh)/1000</f>
        <v>7289.8712652599806</v>
      </c>
      <c r="F25" s="991"/>
      <c r="G25" s="991"/>
      <c r="H25" s="991"/>
      <c r="I25" s="991"/>
      <c r="J25" s="991"/>
      <c r="K25" s="991"/>
      <c r="L25" s="991"/>
      <c r="M25" s="991"/>
      <c r="N25" s="991"/>
      <c r="O25" s="991"/>
      <c r="P25" s="991"/>
      <c r="Q25" s="992"/>
      <c r="R25" s="687">
        <f>SUM(C25:Q25)</f>
        <v>9427.7495843060005</v>
      </c>
      <c r="S25" s="68"/>
    </row>
    <row r="26" spans="1:19" s="453" customFormat="1" ht="15.75" thickBot="1">
      <c r="A26" s="690" t="s">
        <v>897</v>
      </c>
      <c r="B26" s="807"/>
      <c r="C26" s="802">
        <f>SUM(C24:C25)</f>
        <v>3372.8379514809567</v>
      </c>
      <c r="D26" s="802">
        <f t="shared" ref="D26:R26" si="2">SUM(D24:D25)</f>
        <v>3.75</v>
      </c>
      <c r="E26" s="802">
        <f t="shared" si="2"/>
        <v>7419.1035237616352</v>
      </c>
      <c r="F26" s="802">
        <f t="shared" si="2"/>
        <v>11.634147187633761</v>
      </c>
      <c r="G26" s="802">
        <f t="shared" si="2"/>
        <v>4030.0831277430943</v>
      </c>
      <c r="H26" s="802">
        <f t="shared" si="2"/>
        <v>0</v>
      </c>
      <c r="I26" s="802">
        <f t="shared" si="2"/>
        <v>0</v>
      </c>
      <c r="J26" s="802">
        <f t="shared" si="2"/>
        <v>0</v>
      </c>
      <c r="K26" s="802">
        <f t="shared" si="2"/>
        <v>152.77051337470002</v>
      </c>
      <c r="L26" s="802">
        <f t="shared" si="2"/>
        <v>0</v>
      </c>
      <c r="M26" s="802">
        <f t="shared" si="2"/>
        <v>0</v>
      </c>
      <c r="N26" s="802">
        <f t="shared" si="2"/>
        <v>0</v>
      </c>
      <c r="O26" s="802">
        <f t="shared" si="2"/>
        <v>0</v>
      </c>
      <c r="P26" s="802">
        <f t="shared" si="2"/>
        <v>0</v>
      </c>
      <c r="Q26" s="802">
        <f t="shared" si="2"/>
        <v>0</v>
      </c>
      <c r="R26" s="802">
        <f t="shared" si="2"/>
        <v>14990.17926354802</v>
      </c>
      <c r="S26" s="68"/>
    </row>
    <row r="27" spans="1:19" s="453" customFormat="1" ht="17.25" thickTop="1" thickBot="1">
      <c r="A27" s="691" t="s">
        <v>115</v>
      </c>
      <c r="B27" s="794"/>
      <c r="C27" s="692">
        <f ca="1">C22+C16+C26</f>
        <v>211383.01874717034</v>
      </c>
      <c r="D27" s="692">
        <f t="shared" ref="D27:R27" ca="1" si="3">D22+D16+D26</f>
        <v>3.75</v>
      </c>
      <c r="E27" s="692">
        <f t="shared" ca="1" si="3"/>
        <v>267166.90315328917</v>
      </c>
      <c r="F27" s="692">
        <f t="shared" si="3"/>
        <v>9043.0475883105064</v>
      </c>
      <c r="G27" s="692">
        <f t="shared" ca="1" si="3"/>
        <v>106506.01025686739</v>
      </c>
      <c r="H27" s="692">
        <f t="shared" si="3"/>
        <v>210188.00255342972</v>
      </c>
      <c r="I27" s="692">
        <f t="shared" si="3"/>
        <v>32411.170090492215</v>
      </c>
      <c r="J27" s="692">
        <f t="shared" si="3"/>
        <v>0</v>
      </c>
      <c r="K27" s="692">
        <f t="shared" si="3"/>
        <v>430.37775399694794</v>
      </c>
      <c r="L27" s="692">
        <f t="shared" si="3"/>
        <v>0</v>
      </c>
      <c r="M27" s="692">
        <f t="shared" ca="1" si="3"/>
        <v>0</v>
      </c>
      <c r="N27" s="692">
        <f t="shared" si="3"/>
        <v>10835.209576050634</v>
      </c>
      <c r="O27" s="692">
        <f t="shared" ca="1" si="3"/>
        <v>43835.570654906158</v>
      </c>
      <c r="P27" s="692">
        <f t="shared" si="3"/>
        <v>351.75000000000006</v>
      </c>
      <c r="Q27" s="692">
        <f t="shared" si="3"/>
        <v>1353.7333333333333</v>
      </c>
      <c r="R27" s="692">
        <f t="shared" ca="1" si="3"/>
        <v>893508.54370784631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17516.542682583193</v>
      </c>
      <c r="D40" s="684">
        <f ca="1">tertiair!C20</f>
        <v>0</v>
      </c>
      <c r="E40" s="684">
        <f ca="1">tertiair!D20</f>
        <v>22048.663553593178</v>
      </c>
      <c r="F40" s="684">
        <f>tertiair!E20</f>
        <v>495.63248727667303</v>
      </c>
      <c r="G40" s="684">
        <f ca="1">tertiair!F20</f>
        <v>4851.4829330877819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44912.321656540822</v>
      </c>
    </row>
    <row r="41" spans="1:18">
      <c r="A41" s="812" t="s">
        <v>224</v>
      </c>
      <c r="B41" s="819"/>
      <c r="C41" s="684">
        <f ca="1">huishoudens!B12</f>
        <v>13728.328184557718</v>
      </c>
      <c r="D41" s="684">
        <f ca="1">huishoudens!C12</f>
        <v>0</v>
      </c>
      <c r="E41" s="684">
        <f>huishoudens!D12</f>
        <v>26405.969937164518</v>
      </c>
      <c r="F41" s="684">
        <f>huishoudens!E12</f>
        <v>1244.4889433322951</v>
      </c>
      <c r="G41" s="684">
        <f>huishoudens!F12</f>
        <v>18434.1589383682</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59812.946003422738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12466.686955870604</v>
      </c>
      <c r="D43" s="684">
        <f ca="1">industrie!C22</f>
        <v>0</v>
      </c>
      <c r="E43" s="684">
        <f>industrie!D22</f>
        <v>4011.8720344816566</v>
      </c>
      <c r="F43" s="684">
        <f>industrie!E22</f>
        <v>121.52772443288707</v>
      </c>
      <c r="G43" s="684">
        <f>industrie!F22</f>
        <v>4075.4306720202053</v>
      </c>
      <c r="H43" s="684">
        <f>industrie!G22</f>
        <v>0</v>
      </c>
      <c r="I43" s="684">
        <f>industrie!H22</f>
        <v>0</v>
      </c>
      <c r="J43" s="684">
        <f>industrie!I22</f>
        <v>0</v>
      </c>
      <c r="K43" s="684">
        <f>industrie!J22</f>
        <v>98.272963180275752</v>
      </c>
      <c r="L43" s="684">
        <f>industrie!K22</f>
        <v>0</v>
      </c>
      <c r="M43" s="684">
        <f>industrie!L22</f>
        <v>0</v>
      </c>
      <c r="N43" s="684">
        <f>industrie!M22</f>
        <v>0</v>
      </c>
      <c r="O43" s="684">
        <f>industrie!N22</f>
        <v>0</v>
      </c>
      <c r="P43" s="684">
        <f>industrie!O22</f>
        <v>0</v>
      </c>
      <c r="Q43" s="759">
        <f>industrie!P22</f>
        <v>0</v>
      </c>
      <c r="R43" s="839">
        <f t="shared" ca="1" si="4"/>
        <v>20773.790349985626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43711.557823011513</v>
      </c>
      <c r="D46" s="717">
        <f t="shared" ref="D46:Q46" ca="1" si="5">SUM(D39:D45)</f>
        <v>0</v>
      </c>
      <c r="E46" s="717">
        <f t="shared" ca="1" si="5"/>
        <v>52466.50552523935</v>
      </c>
      <c r="F46" s="717">
        <f t="shared" si="5"/>
        <v>1861.6491550418552</v>
      </c>
      <c r="G46" s="717">
        <f t="shared" ca="1" si="5"/>
        <v>27361.072543476188</v>
      </c>
      <c r="H46" s="717">
        <f t="shared" si="5"/>
        <v>0</v>
      </c>
      <c r="I46" s="717">
        <f t="shared" si="5"/>
        <v>0</v>
      </c>
      <c r="J46" s="717">
        <f t="shared" si="5"/>
        <v>0</v>
      </c>
      <c r="K46" s="717">
        <f t="shared" si="5"/>
        <v>98.272963180275752</v>
      </c>
      <c r="L46" s="717">
        <f t="shared" si="5"/>
        <v>0</v>
      </c>
      <c r="M46" s="717">
        <f t="shared" ca="1" si="5"/>
        <v>0</v>
      </c>
      <c r="N46" s="717">
        <f t="shared" si="5"/>
        <v>0</v>
      </c>
      <c r="O46" s="717">
        <f t="shared" ca="1" si="5"/>
        <v>0</v>
      </c>
      <c r="P46" s="717">
        <f t="shared" si="5"/>
        <v>0</v>
      </c>
      <c r="Q46" s="717">
        <f t="shared" si="5"/>
        <v>0</v>
      </c>
      <c r="R46" s="717">
        <f ca="1">SUM(R39:R45)</f>
        <v>125499.05800994919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797.0392372439178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797.0392372439178</v>
      </c>
    </row>
    <row r="50" spans="1:18">
      <c r="A50" s="815" t="s">
        <v>306</v>
      </c>
      <c r="B50" s="825"/>
      <c r="C50" s="997">
        <f ca="1">transport!B18</f>
        <v>1.1565559373419478</v>
      </c>
      <c r="D50" s="997">
        <f>transport!C18</f>
        <v>0</v>
      </c>
      <c r="E50" s="997">
        <f>transport!D18</f>
        <v>2.5499999252128833</v>
      </c>
      <c r="F50" s="997">
        <f>transport!E18</f>
        <v>188.48169609303713</v>
      </c>
      <c r="G50" s="997">
        <f>transport!F18</f>
        <v>0</v>
      </c>
      <c r="H50" s="997">
        <f>transport!G18</f>
        <v>55323.157444521821</v>
      </c>
      <c r="I50" s="997">
        <f>transport!H18</f>
        <v>8070.3813525325613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63585.727049009976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1.1565559373419478</v>
      </c>
      <c r="D52" s="717">
        <f t="shared" ref="D52:Q52" ca="1" si="6">SUM(D48:D51)</f>
        <v>0</v>
      </c>
      <c r="E52" s="717">
        <f t="shared" si="6"/>
        <v>2.5499999252128833</v>
      </c>
      <c r="F52" s="717">
        <f t="shared" si="6"/>
        <v>188.48169609303713</v>
      </c>
      <c r="G52" s="717">
        <f t="shared" si="6"/>
        <v>0</v>
      </c>
      <c r="H52" s="717">
        <f t="shared" si="6"/>
        <v>56120.196681765738</v>
      </c>
      <c r="I52" s="717">
        <f t="shared" si="6"/>
        <v>8070.3813525325613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64382.766286253893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259.52305543728841</v>
      </c>
      <c r="D54" s="997">
        <f ca="1">+landbouw!C12</f>
        <v>0.84166666666666679</v>
      </c>
      <c r="E54" s="997">
        <f>+landbouw!D12</f>
        <v>26.104916217334249</v>
      </c>
      <c r="F54" s="997">
        <f>+landbouw!E12</f>
        <v>2.6409514115928641</v>
      </c>
      <c r="G54" s="997">
        <f>+landbouw!F12</f>
        <v>1076.0321951074063</v>
      </c>
      <c r="H54" s="997">
        <f>+landbouw!G12</f>
        <v>0</v>
      </c>
      <c r="I54" s="997">
        <f>+landbouw!H12</f>
        <v>0</v>
      </c>
      <c r="J54" s="997">
        <f>+landbouw!I12</f>
        <v>0</v>
      </c>
      <c r="K54" s="997">
        <f>+landbouw!J12</f>
        <v>54.080761734643801</v>
      </c>
      <c r="L54" s="997">
        <f>+landbouw!K12</f>
        <v>0</v>
      </c>
      <c r="M54" s="997">
        <f>+landbouw!L12</f>
        <v>0</v>
      </c>
      <c r="N54" s="997">
        <f>+landbouw!M12</f>
        <v>0</v>
      </c>
      <c r="O54" s="997">
        <f>+landbouw!N12</f>
        <v>0</v>
      </c>
      <c r="P54" s="997">
        <f>+landbouw!O12</f>
        <v>0</v>
      </c>
      <c r="Q54" s="998">
        <f>+landbouw!P12</f>
        <v>0</v>
      </c>
      <c r="R54" s="716">
        <f ca="1">SUM(C54:Q54)</f>
        <v>1419.2235465749322</v>
      </c>
    </row>
    <row r="55" spans="1:18" ht="15" thickBot="1">
      <c r="A55" s="815" t="s">
        <v>896</v>
      </c>
      <c r="B55" s="825"/>
      <c r="C55" s="997">
        <f ca="1">C25*'EF ele_warmte'!B12</f>
        <v>449.26870396404468</v>
      </c>
      <c r="D55" s="997"/>
      <c r="E55" s="997">
        <f>E25*EF_CO2_aardgas</f>
        <v>1472.5539955825161</v>
      </c>
      <c r="F55" s="997"/>
      <c r="G55" s="997"/>
      <c r="H55" s="997"/>
      <c r="I55" s="997"/>
      <c r="J55" s="997"/>
      <c r="K55" s="997"/>
      <c r="L55" s="997"/>
      <c r="M55" s="997"/>
      <c r="N55" s="997"/>
      <c r="O55" s="997"/>
      <c r="P55" s="997"/>
      <c r="Q55" s="998"/>
      <c r="R55" s="716">
        <f ca="1">SUM(C55:Q55)</f>
        <v>1921.8226995465607</v>
      </c>
    </row>
    <row r="56" spans="1:18" ht="15.75" thickBot="1">
      <c r="A56" s="813" t="s">
        <v>897</v>
      </c>
      <c r="B56" s="826"/>
      <c r="C56" s="717">
        <f ca="1">SUM(C54:C55)</f>
        <v>708.79175940133314</v>
      </c>
      <c r="D56" s="717">
        <f t="shared" ref="D56:Q56" ca="1" si="7">SUM(D54:D55)</f>
        <v>0.84166666666666679</v>
      </c>
      <c r="E56" s="717">
        <f t="shared" si="7"/>
        <v>1498.6589117998503</v>
      </c>
      <c r="F56" s="717">
        <f t="shared" si="7"/>
        <v>2.6409514115928641</v>
      </c>
      <c r="G56" s="717">
        <f t="shared" si="7"/>
        <v>1076.0321951074063</v>
      </c>
      <c r="H56" s="717">
        <f t="shared" si="7"/>
        <v>0</v>
      </c>
      <c r="I56" s="717">
        <f t="shared" si="7"/>
        <v>0</v>
      </c>
      <c r="J56" s="717">
        <f t="shared" si="7"/>
        <v>0</v>
      </c>
      <c r="K56" s="717">
        <f t="shared" si="7"/>
        <v>54.080761734643801</v>
      </c>
      <c r="L56" s="717">
        <f t="shared" si="7"/>
        <v>0</v>
      </c>
      <c r="M56" s="717">
        <f t="shared" si="7"/>
        <v>0</v>
      </c>
      <c r="N56" s="717">
        <f t="shared" si="7"/>
        <v>0</v>
      </c>
      <c r="O56" s="717">
        <f t="shared" si="7"/>
        <v>0</v>
      </c>
      <c r="P56" s="717">
        <f t="shared" si="7"/>
        <v>0</v>
      </c>
      <c r="Q56" s="718">
        <f t="shared" si="7"/>
        <v>0</v>
      </c>
      <c r="R56" s="719">
        <f ca="1">SUM(R54:R55)</f>
        <v>3341.0462461214929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44421.506138350189</v>
      </c>
      <c r="D61" s="725">
        <f t="shared" ref="D61:Q61" ca="1" si="8">D46+D52+D56</f>
        <v>0.84166666666666679</v>
      </c>
      <c r="E61" s="725">
        <f t="shared" ca="1" si="8"/>
        <v>53967.714436964416</v>
      </c>
      <c r="F61" s="725">
        <f t="shared" si="8"/>
        <v>2052.7718025464856</v>
      </c>
      <c r="G61" s="725">
        <f t="shared" ca="1" si="8"/>
        <v>28437.104738583595</v>
      </c>
      <c r="H61" s="725">
        <f t="shared" si="8"/>
        <v>56120.196681765738</v>
      </c>
      <c r="I61" s="725">
        <f t="shared" si="8"/>
        <v>8070.3813525325613</v>
      </c>
      <c r="J61" s="725">
        <f t="shared" si="8"/>
        <v>0</v>
      </c>
      <c r="K61" s="725">
        <f t="shared" si="8"/>
        <v>152.35372491491955</v>
      </c>
      <c r="L61" s="725">
        <f t="shared" si="8"/>
        <v>0</v>
      </c>
      <c r="M61" s="725">
        <f t="shared" ca="1" si="8"/>
        <v>0</v>
      </c>
      <c r="N61" s="725">
        <f t="shared" si="8"/>
        <v>0</v>
      </c>
      <c r="O61" s="725">
        <f t="shared" ca="1" si="8"/>
        <v>0</v>
      </c>
      <c r="P61" s="725">
        <f t="shared" si="8"/>
        <v>0</v>
      </c>
      <c r="Q61" s="725">
        <f t="shared" si="8"/>
        <v>0</v>
      </c>
      <c r="R61" s="725">
        <f ca="1">R46+R52+R56</f>
        <v>193222.87054232458</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0.2101469947852414</v>
      </c>
      <c r="D63" s="769">
        <f t="shared" ca="1" si="9"/>
        <v>0.22444444444444447</v>
      </c>
      <c r="E63" s="999">
        <f t="shared" ca="1" si="9"/>
        <v>0.20200000000000001</v>
      </c>
      <c r="F63" s="769">
        <f t="shared" si="9"/>
        <v>0.22700000000000006</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10380.740217682291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0.75</v>
      </c>
      <c r="D76" s="1009">
        <f>'lokale energieproductie'!C8</f>
        <v>0.83333333333333326</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0.16833333333333333</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10380.740217682291</v>
      </c>
      <c r="C78" s="740">
        <f>SUM(C72:C77)</f>
        <v>0.75</v>
      </c>
      <c r="D78" s="741">
        <f t="shared" ref="D78:H78" si="10">SUM(D76:D77)</f>
        <v>0.83333333333333326</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0.16833333333333333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3.75</v>
      </c>
      <c r="D87" s="762">
        <f>'lokale energieproductie'!C17</f>
        <v>4.166666666666667</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0.84166666666666679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3.75</v>
      </c>
      <c r="D90" s="740">
        <f t="shared" ref="D90:H90" si="12">SUM(D87:D89)</f>
        <v>4.166666666666667</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0.84166666666666679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10380.740217682291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0.75</v>
      </c>
      <c r="C8" s="554">
        <f>B48</f>
        <v>0.83333333333333326</v>
      </c>
      <c r="D8" s="980"/>
      <c r="E8" s="980">
        <f>E48</f>
        <v>0</v>
      </c>
      <c r="F8" s="981"/>
      <c r="G8" s="555"/>
      <c r="H8" s="980">
        <f>I48</f>
        <v>0</v>
      </c>
      <c r="I8" s="980">
        <f>G48+F48</f>
        <v>0</v>
      </c>
      <c r="J8" s="980">
        <f>H48+D48+C48</f>
        <v>0</v>
      </c>
      <c r="K8" s="980"/>
      <c r="L8" s="980"/>
      <c r="M8" s="980"/>
      <c r="N8" s="556"/>
      <c r="O8" s="557">
        <f>C8*$C$12+D8*$D$12+E8*$E$12+F8*$F$12+G8*$G$12+H8*$H$12+I8*$I$12+J8*$J$12</f>
        <v>0.16833333333333333</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10381.490217682291</v>
      </c>
      <c r="C10" s="566">
        <f t="shared" ref="C10:L10" si="0">SUM(C8:C9)</f>
        <v>0.83333333333333326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0.16833333333333333</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3.75</v>
      </c>
      <c r="C17" s="578">
        <f>B49</f>
        <v>4.166666666666667</v>
      </c>
      <c r="D17" s="579"/>
      <c r="E17" s="579">
        <f>E49</f>
        <v>0</v>
      </c>
      <c r="F17" s="580"/>
      <c r="G17" s="581"/>
      <c r="H17" s="578">
        <f>I49</f>
        <v>0</v>
      </c>
      <c r="I17" s="579">
        <f>G49+F49</f>
        <v>0</v>
      </c>
      <c r="J17" s="579">
        <f>H49+D49+C49</f>
        <v>0</v>
      </c>
      <c r="K17" s="579"/>
      <c r="L17" s="579"/>
      <c r="M17" s="579"/>
      <c r="N17" s="987"/>
      <c r="O17" s="582">
        <f>C17*$C$22+E17*$E$22+H17*$H$22+I17*$I$22+J17*$J$22+D17*$D$22+F17*$F$22+G17*$G$22+K17*$K$22+L17*$L$22</f>
        <v>0.84166666666666679</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3.75</v>
      </c>
      <c r="C20" s="565">
        <f>SUM(C17:C19)</f>
        <v>4.166666666666667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0.84166666666666679</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13025</v>
      </c>
      <c r="C28" s="785">
        <v>2400</v>
      </c>
      <c r="D28" s="638" t="s">
        <v>954</v>
      </c>
      <c r="E28" s="637" t="s">
        <v>955</v>
      </c>
      <c r="F28" s="637" t="s">
        <v>956</v>
      </c>
      <c r="G28" s="637" t="s">
        <v>957</v>
      </c>
      <c r="H28" s="637" t="s">
        <v>957</v>
      </c>
      <c r="I28" s="637" t="s">
        <v>955</v>
      </c>
      <c r="J28" s="784">
        <v>40759</v>
      </c>
      <c r="K28" s="784">
        <v>41061</v>
      </c>
      <c r="L28" s="637" t="s">
        <v>958</v>
      </c>
      <c r="M28" s="637">
        <v>1</v>
      </c>
      <c r="N28" s="637">
        <v>0.75</v>
      </c>
      <c r="O28" s="637">
        <v>3.75</v>
      </c>
      <c r="P28" s="637">
        <v>5</v>
      </c>
      <c r="Q28" s="637">
        <v>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1</v>
      </c>
      <c r="N29" s="595">
        <f>SUM(N28:N28)</f>
        <v>0.75</v>
      </c>
      <c r="O29" s="595">
        <f>SUM(O28:O28)</f>
        <v>3.75</v>
      </c>
      <c r="P29" s="595">
        <f>SUM(P28:P28)</f>
        <v>5</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1</v>
      </c>
      <c r="N32" s="600">
        <f>SUMIF($Z$28:$Z$28,"landbouw",N28:N28)</f>
        <v>0.75</v>
      </c>
      <c r="O32" s="600">
        <f>SUMIF($Z$28:$Z$28,"landbouw",O28:O28)</f>
        <v>3.75</v>
      </c>
      <c r="P32" s="600">
        <f>SUMIF($Z$28:$Z$28,"landbouw",P28:P28)</f>
        <v>5</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0.83333333333333337</v>
      </c>
      <c r="C45" s="620">
        <f>IF(ISERROR(N29/(O29+N29)),0,N29/(N29+O29))</f>
        <v>0.16666666666666666</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0.83333333333333326</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4.166666666666667</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65327.263892530602</v>
      </c>
      <c r="C4" s="457">
        <f>huishoudens!C8</f>
        <v>0</v>
      </c>
      <c r="D4" s="457">
        <f>huishoudens!D8</f>
        <v>130722.6234513095</v>
      </c>
      <c r="E4" s="457">
        <f>huishoudens!E8</f>
        <v>5482.3301468383042</v>
      </c>
      <c r="F4" s="457">
        <f>huishoudens!F8</f>
        <v>69041.793776659921</v>
      </c>
      <c r="G4" s="457">
        <f>huishoudens!G8</f>
        <v>0</v>
      </c>
      <c r="H4" s="457">
        <f>huishoudens!H8</f>
        <v>0</v>
      </c>
      <c r="I4" s="457">
        <f>huishoudens!I8</f>
        <v>0</v>
      </c>
      <c r="J4" s="457">
        <f>huishoudens!J8</f>
        <v>0</v>
      </c>
      <c r="K4" s="457">
        <f>huishoudens!K8</f>
        <v>0</v>
      </c>
      <c r="L4" s="457">
        <f>huishoudens!L8</f>
        <v>0</v>
      </c>
      <c r="M4" s="457">
        <f>huishoudens!M8</f>
        <v>0</v>
      </c>
      <c r="N4" s="457">
        <f>huishoudens!N8</f>
        <v>36766.739576456632</v>
      </c>
      <c r="O4" s="457">
        <f>huishoudens!O8</f>
        <v>347.06000000000006</v>
      </c>
      <c r="P4" s="458">
        <f>huishoudens!P8</f>
        <v>1353.7333333333333</v>
      </c>
      <c r="Q4" s="459">
        <f>SUM(B4:P4)</f>
        <v>309041.54417712823</v>
      </c>
    </row>
    <row r="5" spans="1:17">
      <c r="A5" s="456" t="s">
        <v>155</v>
      </c>
      <c r="B5" s="457">
        <f ca="1">tertiair!B16</f>
        <v>81887.27644844295</v>
      </c>
      <c r="C5" s="457">
        <f ca="1">tertiair!C16</f>
        <v>0</v>
      </c>
      <c r="D5" s="457">
        <f ca="1">tertiair!D16</f>
        <v>109151.79977026326</v>
      </c>
      <c r="E5" s="457">
        <f>tertiair!E16</f>
        <v>2183.4030276505418</v>
      </c>
      <c r="F5" s="457">
        <f ca="1">tertiair!F16</f>
        <v>18170.348063999183</v>
      </c>
      <c r="G5" s="457">
        <f>tertiair!G16</f>
        <v>0</v>
      </c>
      <c r="H5" s="457">
        <f>tertiair!H16</f>
        <v>0</v>
      </c>
      <c r="I5" s="457">
        <f>tertiair!I16</f>
        <v>0</v>
      </c>
      <c r="J5" s="457">
        <f>tertiair!J16</f>
        <v>0</v>
      </c>
      <c r="K5" s="457">
        <f>tertiair!K16</f>
        <v>0</v>
      </c>
      <c r="L5" s="457">
        <f ca="1">tertiair!L16</f>
        <v>0</v>
      </c>
      <c r="M5" s="457">
        <f>tertiair!M16</f>
        <v>0</v>
      </c>
      <c r="N5" s="457">
        <f ca="1">tertiair!N16</f>
        <v>5006.2318184012829</v>
      </c>
      <c r="O5" s="457">
        <f>tertiair!O16</f>
        <v>4.6900000000000004</v>
      </c>
      <c r="P5" s="458">
        <f>tertiair!P16</f>
        <v>0</v>
      </c>
      <c r="Q5" s="456">
        <f t="shared" ref="Q5:Q14" ca="1" si="0">SUM(B5:P5)</f>
        <v>216403.74912875722</v>
      </c>
    </row>
    <row r="6" spans="1:17">
      <c r="A6" s="456" t="s">
        <v>193</v>
      </c>
      <c r="B6" s="457">
        <f>'openbare verlichting'!B8</f>
        <v>1466.4860000000001</v>
      </c>
      <c r="C6" s="457"/>
      <c r="D6" s="457"/>
      <c r="E6" s="457"/>
      <c r="F6" s="457"/>
      <c r="G6" s="457"/>
      <c r="H6" s="457"/>
      <c r="I6" s="457"/>
      <c r="J6" s="457"/>
      <c r="K6" s="457"/>
      <c r="L6" s="457"/>
      <c r="M6" s="457"/>
      <c r="N6" s="457"/>
      <c r="O6" s="457"/>
      <c r="P6" s="458"/>
      <c r="Q6" s="456">
        <f t="shared" si="0"/>
        <v>1466.4860000000001</v>
      </c>
    </row>
    <row r="7" spans="1:17">
      <c r="A7" s="456" t="s">
        <v>111</v>
      </c>
      <c r="B7" s="457">
        <f>landbouw!B8</f>
        <v>1234.959632434937</v>
      </c>
      <c r="C7" s="457">
        <f>landbouw!C8</f>
        <v>3.75</v>
      </c>
      <c r="D7" s="457">
        <f>landbouw!D8</f>
        <v>129.23225850165468</v>
      </c>
      <c r="E7" s="457">
        <f>landbouw!E8</f>
        <v>11.634147187633761</v>
      </c>
      <c r="F7" s="457">
        <f>landbouw!F8</f>
        <v>4030.0831277430943</v>
      </c>
      <c r="G7" s="457">
        <f>landbouw!G8</f>
        <v>0</v>
      </c>
      <c r="H7" s="457">
        <f>landbouw!H8</f>
        <v>0</v>
      </c>
      <c r="I7" s="457">
        <f>landbouw!I8</f>
        <v>0</v>
      </c>
      <c r="J7" s="457">
        <f>landbouw!J8</f>
        <v>152.77051337470002</v>
      </c>
      <c r="K7" s="457">
        <f>landbouw!K8</f>
        <v>0</v>
      </c>
      <c r="L7" s="457">
        <f>landbouw!L8</f>
        <v>0</v>
      </c>
      <c r="M7" s="457">
        <f>landbouw!M8</f>
        <v>0</v>
      </c>
      <c r="N7" s="457">
        <f>landbouw!N8</f>
        <v>0</v>
      </c>
      <c r="O7" s="457">
        <f>landbouw!O8</f>
        <v>0</v>
      </c>
      <c r="P7" s="458">
        <f>landbouw!P8</f>
        <v>0</v>
      </c>
      <c r="Q7" s="456">
        <f t="shared" si="0"/>
        <v>5562.42967924202</v>
      </c>
    </row>
    <row r="8" spans="1:17">
      <c r="A8" s="456" t="s">
        <v>682</v>
      </c>
      <c r="B8" s="457">
        <f>industrie!B18</f>
        <v>59323.650897843516</v>
      </c>
      <c r="C8" s="457">
        <f>industrie!C18</f>
        <v>0</v>
      </c>
      <c r="D8" s="457">
        <f>industrie!D18</f>
        <v>19860.752645948793</v>
      </c>
      <c r="E8" s="457">
        <f>industrie!E18</f>
        <v>535.36442481448046</v>
      </c>
      <c r="F8" s="457">
        <f>industrie!F18</f>
        <v>15263.785288465187</v>
      </c>
      <c r="G8" s="457">
        <f>industrie!G18</f>
        <v>0</v>
      </c>
      <c r="H8" s="457">
        <f>industrie!H18</f>
        <v>0</v>
      </c>
      <c r="I8" s="457">
        <f>industrie!I18</f>
        <v>0</v>
      </c>
      <c r="J8" s="457">
        <f>industrie!J18</f>
        <v>277.6072406222479</v>
      </c>
      <c r="K8" s="457">
        <f>industrie!K18</f>
        <v>0</v>
      </c>
      <c r="L8" s="457">
        <f>industrie!L18</f>
        <v>0</v>
      </c>
      <c r="M8" s="457">
        <f>industrie!M18</f>
        <v>0</v>
      </c>
      <c r="N8" s="457">
        <f>industrie!N18</f>
        <v>2062.5992600482441</v>
      </c>
      <c r="O8" s="457">
        <f>industrie!O18</f>
        <v>0</v>
      </c>
      <c r="P8" s="458">
        <f>industrie!P18</f>
        <v>0</v>
      </c>
      <c r="Q8" s="456">
        <f t="shared" si="0"/>
        <v>97323.759757742489</v>
      </c>
    </row>
    <row r="9" spans="1:17" s="462" customFormat="1">
      <c r="A9" s="460" t="s">
        <v>578</v>
      </c>
      <c r="B9" s="461">
        <f>transport!B14</f>
        <v>5.5035568722925774</v>
      </c>
      <c r="C9" s="461">
        <f>transport!C14</f>
        <v>0</v>
      </c>
      <c r="D9" s="461">
        <f>transport!D14</f>
        <v>12.623762006004371</v>
      </c>
      <c r="E9" s="461">
        <f>transport!E14</f>
        <v>830.31584181954679</v>
      </c>
      <c r="F9" s="461">
        <f>transport!F14</f>
        <v>0</v>
      </c>
      <c r="G9" s="461">
        <f>transport!G14</f>
        <v>207202.83687086822</v>
      </c>
      <c r="H9" s="461">
        <f>transport!H14</f>
        <v>32411.170090492215</v>
      </c>
      <c r="I9" s="461">
        <f>transport!I14</f>
        <v>0</v>
      </c>
      <c r="J9" s="461">
        <f>transport!J14</f>
        <v>0</v>
      </c>
      <c r="K9" s="461">
        <f>transport!K14</f>
        <v>0</v>
      </c>
      <c r="L9" s="461">
        <f>transport!L14</f>
        <v>0</v>
      </c>
      <c r="M9" s="461">
        <f>transport!M14</f>
        <v>10704.231945109173</v>
      </c>
      <c r="N9" s="461">
        <f>transport!N14</f>
        <v>0</v>
      </c>
      <c r="O9" s="461">
        <f>transport!O14</f>
        <v>0</v>
      </c>
      <c r="P9" s="461">
        <f>transport!P14</f>
        <v>0</v>
      </c>
      <c r="Q9" s="460">
        <f>SUM(B9:P9)</f>
        <v>251166.68206716745</v>
      </c>
    </row>
    <row r="10" spans="1:17">
      <c r="A10" s="456" t="s">
        <v>568</v>
      </c>
      <c r="B10" s="457">
        <f>transport!B54</f>
        <v>0</v>
      </c>
      <c r="C10" s="457">
        <f>transport!C54</f>
        <v>0</v>
      </c>
      <c r="D10" s="457">
        <f>transport!D54</f>
        <v>0</v>
      </c>
      <c r="E10" s="457">
        <f>transport!E54</f>
        <v>0</v>
      </c>
      <c r="F10" s="457">
        <f>transport!F54</f>
        <v>0</v>
      </c>
      <c r="G10" s="457">
        <f>transport!G54</f>
        <v>2985.1656825614896</v>
      </c>
      <c r="H10" s="457">
        <f>transport!H54</f>
        <v>0</v>
      </c>
      <c r="I10" s="457">
        <f>transport!I54</f>
        <v>0</v>
      </c>
      <c r="J10" s="457">
        <f>transport!J54</f>
        <v>0</v>
      </c>
      <c r="K10" s="457">
        <f>transport!K54</f>
        <v>0</v>
      </c>
      <c r="L10" s="457">
        <f>transport!L54</f>
        <v>0</v>
      </c>
      <c r="M10" s="457">
        <f>transport!M54</f>
        <v>130.97763094146018</v>
      </c>
      <c r="N10" s="457">
        <f>transport!N54</f>
        <v>0</v>
      </c>
      <c r="O10" s="457">
        <f>transport!O54</f>
        <v>0</v>
      </c>
      <c r="P10" s="458">
        <f>transport!P54</f>
        <v>0</v>
      </c>
      <c r="Q10" s="456">
        <f t="shared" si="0"/>
        <v>3116.1433135029497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2137.8783190460199</v>
      </c>
      <c r="C14" s="464"/>
      <c r="D14" s="464">
        <f>'SEAP template'!E25</f>
        <v>7289.8712652599806</v>
      </c>
      <c r="E14" s="464"/>
      <c r="F14" s="464"/>
      <c r="G14" s="464"/>
      <c r="H14" s="464"/>
      <c r="I14" s="464"/>
      <c r="J14" s="464"/>
      <c r="K14" s="464"/>
      <c r="L14" s="464"/>
      <c r="M14" s="464"/>
      <c r="N14" s="464"/>
      <c r="O14" s="464"/>
      <c r="P14" s="465"/>
      <c r="Q14" s="456">
        <f t="shared" si="0"/>
        <v>9427.7495843060005</v>
      </c>
    </row>
    <row r="15" spans="1:17" s="469" customFormat="1">
      <c r="A15" s="466" t="s">
        <v>572</v>
      </c>
      <c r="B15" s="467">
        <f ca="1">SUM(B4:B14)</f>
        <v>211383.01874717034</v>
      </c>
      <c r="C15" s="467">
        <f t="shared" ref="C15:Q15" ca="1" si="1">SUM(C4:C14)</f>
        <v>3.75</v>
      </c>
      <c r="D15" s="467">
        <f t="shared" ca="1" si="1"/>
        <v>267166.90315328923</v>
      </c>
      <c r="E15" s="467">
        <f t="shared" si="1"/>
        <v>9043.0475883105082</v>
      </c>
      <c r="F15" s="467">
        <f t="shared" ca="1" si="1"/>
        <v>106506.01025686739</v>
      </c>
      <c r="G15" s="467">
        <f t="shared" si="1"/>
        <v>210188.00255342972</v>
      </c>
      <c r="H15" s="467">
        <f t="shared" si="1"/>
        <v>32411.170090492215</v>
      </c>
      <c r="I15" s="467">
        <f t="shared" si="1"/>
        <v>0</v>
      </c>
      <c r="J15" s="467">
        <f t="shared" si="1"/>
        <v>430.37775399694794</v>
      </c>
      <c r="K15" s="467">
        <f t="shared" si="1"/>
        <v>0</v>
      </c>
      <c r="L15" s="467">
        <f t="shared" ca="1" si="1"/>
        <v>0</v>
      </c>
      <c r="M15" s="467">
        <f t="shared" si="1"/>
        <v>10835.209576050634</v>
      </c>
      <c r="N15" s="467">
        <f t="shared" ca="1" si="1"/>
        <v>43835.570654906158</v>
      </c>
      <c r="O15" s="467">
        <f t="shared" si="1"/>
        <v>351.75000000000006</v>
      </c>
      <c r="P15" s="467">
        <f t="shared" si="1"/>
        <v>1353.7333333333333</v>
      </c>
      <c r="Q15" s="467">
        <f t="shared" ca="1" si="1"/>
        <v>893508.54370784643</v>
      </c>
    </row>
    <row r="17" spans="1:17">
      <c r="A17" s="470" t="s">
        <v>573</v>
      </c>
      <c r="B17" s="774">
        <f ca="1">huishoudens!B10</f>
        <v>0.21014699478524143</v>
      </c>
      <c r="C17" s="774">
        <f ca="1">huishoudens!C10</f>
        <v>0.22444444444444447</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13728.328184557718</v>
      </c>
      <c r="C22" s="457">
        <f t="shared" ref="C22:C32" ca="1" si="3">C4*$C$17</f>
        <v>0</v>
      </c>
      <c r="D22" s="457">
        <f t="shared" ref="D22:D32" si="4">D4*$D$17</f>
        <v>26405.969937164518</v>
      </c>
      <c r="E22" s="457">
        <f t="shared" ref="E22:E32" si="5">E4*$E$17</f>
        <v>1244.4889433322951</v>
      </c>
      <c r="F22" s="457">
        <f t="shared" ref="F22:F32" si="6">F4*$F$17</f>
        <v>18434.1589383682</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59812.946003422738</v>
      </c>
    </row>
    <row r="23" spans="1:17">
      <c r="A23" s="456" t="s">
        <v>155</v>
      </c>
      <c r="B23" s="457">
        <f t="shared" ca="1" si="2"/>
        <v>17208.365056788563</v>
      </c>
      <c r="C23" s="457">
        <f t="shared" ca="1" si="3"/>
        <v>0</v>
      </c>
      <c r="D23" s="457">
        <f t="shared" ca="1" si="4"/>
        <v>22048.663553593178</v>
      </c>
      <c r="E23" s="457">
        <f t="shared" si="5"/>
        <v>495.63248727667303</v>
      </c>
      <c r="F23" s="457">
        <f t="shared" ca="1" si="6"/>
        <v>4851.4829330877819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44604.144030746196</v>
      </c>
    </row>
    <row r="24" spans="1:17">
      <c r="A24" s="456" t="s">
        <v>193</v>
      </c>
      <c r="B24" s="457">
        <f t="shared" ca="1" si="2"/>
        <v>308.17762579462959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308.17762579462959</v>
      </c>
    </row>
    <row r="25" spans="1:17">
      <c r="A25" s="456" t="s">
        <v>111</v>
      </c>
      <c r="B25" s="457">
        <f t="shared" ca="1" si="2"/>
        <v>259.52305543728841</v>
      </c>
      <c r="C25" s="457">
        <f t="shared" ca="1" si="3"/>
        <v>0.84166666666666679</v>
      </c>
      <c r="D25" s="457">
        <f t="shared" si="4"/>
        <v>26.104916217334249</v>
      </c>
      <c r="E25" s="457">
        <f t="shared" si="5"/>
        <v>2.6409514115928641</v>
      </c>
      <c r="F25" s="457">
        <f t="shared" si="6"/>
        <v>1076.0321951074063</v>
      </c>
      <c r="G25" s="457">
        <f t="shared" si="7"/>
        <v>0</v>
      </c>
      <c r="H25" s="457">
        <f t="shared" si="8"/>
        <v>0</v>
      </c>
      <c r="I25" s="457">
        <f t="shared" si="9"/>
        <v>0</v>
      </c>
      <c r="J25" s="457">
        <f t="shared" si="10"/>
        <v>54.080761734643801</v>
      </c>
      <c r="K25" s="457">
        <f t="shared" si="11"/>
        <v>0</v>
      </c>
      <c r="L25" s="457">
        <f t="shared" si="12"/>
        <v>0</v>
      </c>
      <c r="M25" s="457">
        <f t="shared" si="13"/>
        <v>0</v>
      </c>
      <c r="N25" s="457">
        <f t="shared" si="14"/>
        <v>0</v>
      </c>
      <c r="O25" s="457">
        <f t="shared" si="15"/>
        <v>0</v>
      </c>
      <c r="P25" s="458">
        <f t="shared" si="16"/>
        <v>0</v>
      </c>
      <c r="Q25" s="456">
        <f t="shared" ca="1" si="17"/>
        <v>1419.2235465749322</v>
      </c>
    </row>
    <row r="26" spans="1:17">
      <c r="A26" s="456" t="s">
        <v>682</v>
      </c>
      <c r="B26" s="457">
        <f t="shared" ca="1" si="2"/>
        <v>12466.686955870604</v>
      </c>
      <c r="C26" s="457">
        <f t="shared" ca="1" si="3"/>
        <v>0</v>
      </c>
      <c r="D26" s="457">
        <f t="shared" si="4"/>
        <v>4011.8720344816566</v>
      </c>
      <c r="E26" s="457">
        <f t="shared" si="5"/>
        <v>121.52772443288707</v>
      </c>
      <c r="F26" s="457">
        <f t="shared" si="6"/>
        <v>4075.4306720202053</v>
      </c>
      <c r="G26" s="457">
        <f t="shared" si="7"/>
        <v>0</v>
      </c>
      <c r="H26" s="457">
        <f t="shared" si="8"/>
        <v>0</v>
      </c>
      <c r="I26" s="457">
        <f t="shared" si="9"/>
        <v>0</v>
      </c>
      <c r="J26" s="457">
        <f t="shared" si="10"/>
        <v>98.272963180275752</v>
      </c>
      <c r="K26" s="457">
        <f t="shared" si="11"/>
        <v>0</v>
      </c>
      <c r="L26" s="457">
        <f t="shared" si="12"/>
        <v>0</v>
      </c>
      <c r="M26" s="457">
        <f t="shared" si="13"/>
        <v>0</v>
      </c>
      <c r="N26" s="457">
        <f t="shared" si="14"/>
        <v>0</v>
      </c>
      <c r="O26" s="457">
        <f t="shared" si="15"/>
        <v>0</v>
      </c>
      <c r="P26" s="458">
        <f t="shared" si="16"/>
        <v>0</v>
      </c>
      <c r="Q26" s="456">
        <f t="shared" ca="1" si="17"/>
        <v>20773.790349985626</v>
      </c>
    </row>
    <row r="27" spans="1:17" s="462" customFormat="1">
      <c r="A27" s="460" t="s">
        <v>578</v>
      </c>
      <c r="B27" s="768">
        <f t="shared" ca="1" si="2"/>
        <v>1.1565559373419478</v>
      </c>
      <c r="C27" s="461">
        <f t="shared" ca="1" si="3"/>
        <v>0</v>
      </c>
      <c r="D27" s="461">
        <f t="shared" si="4"/>
        <v>2.5499999252128833</v>
      </c>
      <c r="E27" s="461">
        <f t="shared" si="5"/>
        <v>188.48169609303713</v>
      </c>
      <c r="F27" s="461">
        <f t="shared" si="6"/>
        <v>0</v>
      </c>
      <c r="G27" s="461">
        <f t="shared" si="7"/>
        <v>55323.157444521821</v>
      </c>
      <c r="H27" s="461">
        <f t="shared" si="8"/>
        <v>8070.3813525325613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63585.727049009976</v>
      </c>
    </row>
    <row r="28" spans="1:17">
      <c r="A28" s="456" t="s">
        <v>568</v>
      </c>
      <c r="B28" s="457">
        <f t="shared" ca="1" si="2"/>
        <v>0</v>
      </c>
      <c r="C28" s="457">
        <f t="shared" ca="1" si="3"/>
        <v>0</v>
      </c>
      <c r="D28" s="457">
        <f t="shared" si="4"/>
        <v>0</v>
      </c>
      <c r="E28" s="457">
        <f t="shared" si="5"/>
        <v>0</v>
      </c>
      <c r="F28" s="457">
        <f t="shared" si="6"/>
        <v>0</v>
      </c>
      <c r="G28" s="457">
        <f t="shared" si="7"/>
        <v>797.0392372439178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797.0392372439178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449.26870396404468</v>
      </c>
      <c r="C32" s="457">
        <f t="shared" ca="1" si="3"/>
        <v>0</v>
      </c>
      <c r="D32" s="457">
        <f t="shared" si="4"/>
        <v>1472.5539955825161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1921.8226995465607</v>
      </c>
    </row>
    <row r="33" spans="1:17" s="469" customFormat="1">
      <c r="A33" s="466" t="s">
        <v>572</v>
      </c>
      <c r="B33" s="467">
        <f ca="1">SUM(B22:B32)</f>
        <v>44421.506138350189</v>
      </c>
      <c r="C33" s="467">
        <f t="shared" ref="C33:Q33" ca="1" si="18">SUM(C22:C32)</f>
        <v>0.84166666666666679</v>
      </c>
      <c r="D33" s="467">
        <f t="shared" ca="1" si="18"/>
        <v>53967.714436964416</v>
      </c>
      <c r="E33" s="467">
        <f t="shared" si="18"/>
        <v>2052.7718025464851</v>
      </c>
      <c r="F33" s="467">
        <f t="shared" ca="1" si="18"/>
        <v>28437.104738583595</v>
      </c>
      <c r="G33" s="467">
        <f t="shared" si="18"/>
        <v>56120.196681765738</v>
      </c>
      <c r="H33" s="467">
        <f t="shared" si="18"/>
        <v>8070.3813525325613</v>
      </c>
      <c r="I33" s="467">
        <f t="shared" si="18"/>
        <v>0</v>
      </c>
      <c r="J33" s="467">
        <f t="shared" si="18"/>
        <v>152.35372491491955</v>
      </c>
      <c r="K33" s="467">
        <f t="shared" si="18"/>
        <v>0</v>
      </c>
      <c r="L33" s="467">
        <f t="shared" ca="1" si="18"/>
        <v>0</v>
      </c>
      <c r="M33" s="467">
        <f t="shared" si="18"/>
        <v>0</v>
      </c>
      <c r="N33" s="467">
        <f t="shared" ca="1" si="18"/>
        <v>0</v>
      </c>
      <c r="O33" s="467">
        <f t="shared" si="18"/>
        <v>0</v>
      </c>
      <c r="P33" s="467">
        <f t="shared" si="18"/>
        <v>0</v>
      </c>
      <c r="Q33" s="467">
        <f t="shared" ca="1" si="18"/>
        <v>193222.87054232456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10380.740217682291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0.75</v>
      </c>
      <c r="D8" s="1026">
        <f>'SEAP template'!D76</f>
        <v>0.83333333333333326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0.16833333333333333</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10380.740217682291</v>
      </c>
      <c r="C10" s="1030">
        <f>SUM(C4:C9)</f>
        <v>0.75</v>
      </c>
      <c r="D10" s="1030">
        <f t="shared" ref="D10:H10" si="0">SUM(D8:D9)</f>
        <v>0.83333333333333326</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0.16833333333333333</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0.21014699478524143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3.75</v>
      </c>
      <c r="D17" s="1027">
        <f>'SEAP template'!D87</f>
        <v>4.166666666666667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0.84166666666666679</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3.75</v>
      </c>
      <c r="D20" s="1030">
        <f t="shared" ref="D20:H20" si="2">SUM(D17:D19)</f>
        <v>4.166666666666667</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0.84166666666666679</v>
      </c>
    </row>
    <row r="22" spans="1:16">
      <c r="A22" s="470" t="s">
        <v>916</v>
      </c>
      <c r="B22" s="774" t="s">
        <v>910</v>
      </c>
      <c r="C22" s="774">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0.21014699478524143</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2</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38.133333333333333</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2020-06-20T16:26:36Z</dcterms:modified>
</cp:coreProperties>
</file>