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F20" i="18" l="1"/>
  <c r="G20" i="18"/>
  <c r="K20" i="18"/>
  <c r="B10" i="18"/>
  <c r="O9" i="18"/>
  <c r="O19" i="18"/>
  <c r="O18" i="18"/>
  <c r="B20" i="18"/>
  <c r="I49" i="18"/>
  <c r="H17" i="18" s="1"/>
  <c r="H20" i="18" s="1"/>
  <c r="E49" i="18"/>
  <c r="E17" i="18" s="1"/>
  <c r="E20" i="18" s="1"/>
  <c r="G49" i="18"/>
  <c r="C49" i="18"/>
  <c r="H49" i="18"/>
  <c r="D49" i="18"/>
  <c r="F49" i="18"/>
  <c r="B49" i="18"/>
  <c r="C17" i="18" s="1"/>
  <c r="I48" i="18"/>
  <c r="H8" i="18" s="1"/>
  <c r="H10" i="18" s="1"/>
  <c r="E48" i="18"/>
  <c r="E8" i="18" s="1"/>
  <c r="E10" i="18" s="1"/>
  <c r="G48" i="18"/>
  <c r="C48" i="18"/>
  <c r="H48" i="18"/>
  <c r="D48" i="18"/>
  <c r="F48" i="18"/>
  <c r="B48" i="18"/>
  <c r="C8" i="18" s="1"/>
  <c r="N6" i="17"/>
  <c r="L6" i="17"/>
  <c r="F6" i="17"/>
  <c r="D6" i="17"/>
  <c r="C6" i="17"/>
  <c r="N16" i="16"/>
  <c r="L16" i="16"/>
  <c r="F16" i="16"/>
  <c r="D16" i="16"/>
  <c r="C16" i="16"/>
  <c r="B16" i="16"/>
  <c r="B13" i="15"/>
  <c r="C10" i="18" l="1"/>
  <c r="C20" i="18"/>
  <c r="I8" i="18"/>
  <c r="I10" i="18" s="1"/>
  <c r="I17" i="18"/>
  <c r="I20" i="18" s="1"/>
  <c r="J8" i="18"/>
  <c r="J10" i="18" s="1"/>
  <c r="J17" i="18"/>
  <c r="J20" i="18" s="1"/>
  <c r="B19" i="6"/>
  <c r="B18" i="6"/>
  <c r="B5" i="6"/>
  <c r="C29" i="14" s="1"/>
  <c r="B6" i="6"/>
  <c r="C64" i="14" s="1"/>
  <c r="B14" i="48"/>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I76" i="14"/>
  <c r="I8" i="56" s="1"/>
  <c r="I10"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P26" i="14"/>
  <c r="L26" i="14"/>
  <c r="H26" i="14"/>
  <c r="Q22" i="14"/>
  <c r="P22" i="14"/>
  <c r="O22" i="14"/>
  <c r="M22" i="14"/>
  <c r="L22" i="14"/>
  <c r="K22" i="14"/>
  <c r="J22" i="14"/>
  <c r="G22" i="14"/>
  <c r="D22" i="14"/>
  <c r="H16" i="14"/>
  <c r="L16" i="14"/>
  <c r="I16" i="14"/>
  <c r="R12" i="14"/>
  <c r="N16" i="14"/>
  <c r="J16" i="14"/>
  <c r="F13" i="15"/>
  <c r="D13" i="15"/>
  <c r="C13" i="15"/>
  <c r="Q14" i="48" l="1"/>
  <c r="I87" i="14"/>
  <c r="I17" i="56" s="1"/>
  <c r="J10" i="56"/>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B4" i="48" l="1"/>
  <c r="C11" i="14"/>
  <c r="B38" i="13"/>
  <c r="C24" i="14"/>
  <c r="C26" i="14" s="1"/>
  <c r="B7" i="48"/>
  <c r="E11" i="14"/>
  <c r="D4" i="48"/>
  <c r="D22" i="48" s="1"/>
  <c r="O4" i="48"/>
  <c r="O22" i="48" s="1"/>
  <c r="P11" i="14"/>
  <c r="P4" i="48"/>
  <c r="P22" i="48" s="1"/>
  <c r="Q11" i="14"/>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P8" i="48"/>
  <c r="P26" i="48" s="1"/>
  <c r="Q13" i="14"/>
  <c r="Q16" i="14" s="1"/>
  <c r="Q27" i="14" s="1"/>
  <c r="P15" i="48"/>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B47" i="13" s="1"/>
  <c r="N8" i="17"/>
  <c r="G31" i="20"/>
  <c r="H48" i="14" s="1"/>
  <c r="G12" i="22"/>
  <c r="D14" i="22"/>
  <c r="D18" i="22" s="1"/>
  <c r="E50" i="14" s="1"/>
  <c r="E52" i="14" s="1"/>
  <c r="M12" i="22"/>
  <c r="B36" i="13"/>
  <c r="B48" i="13" s="1"/>
  <c r="C48" i="13" s="1"/>
  <c r="N5" i="13" s="1"/>
  <c r="N8" i="13" s="1"/>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F24" i="14"/>
  <c r="F26" i="14" s="1"/>
  <c r="E7" i="48"/>
  <c r="E25" i="48" s="1"/>
  <c r="O8" i="48"/>
  <c r="O26" i="48" s="1"/>
  <c r="P13" i="14"/>
  <c r="D16" i="14"/>
  <c r="D27" i="14" s="1"/>
  <c r="B20" i="6" s="1"/>
  <c r="B22" i="6" s="1"/>
  <c r="C22" i="56" s="1"/>
  <c r="P16" i="14"/>
  <c r="P27" i="14"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P63" i="14" s="1"/>
  <c r="G58" i="22"/>
  <c r="H49" i="14" s="1"/>
  <c r="M58" i="22"/>
  <c r="N49" i="14" s="1"/>
  <c r="M18" i="22"/>
  <c r="N50"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E5" i="48" l="1"/>
  <c r="E23" i="48" s="1"/>
  <c r="F10" i="14"/>
  <c r="O15" i="48"/>
  <c r="K10" i="14"/>
  <c r="J5" i="48"/>
  <c r="J23" i="48" s="1"/>
  <c r="N52" i="14"/>
  <c r="N61" i="14" s="1"/>
  <c r="N22" i="14"/>
  <c r="N27" i="14" s="1"/>
  <c r="O33" i="48"/>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R10" i="14"/>
  <c r="C16" i="14"/>
  <c r="Q7" i="48"/>
  <c r="B1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F13" i="14" l="1"/>
  <c r="F16" i="14" s="1"/>
  <c r="F27" i="14" s="1"/>
  <c r="E8" i="48"/>
  <c r="Q5" i="48"/>
  <c r="J8" i="48"/>
  <c r="J26" i="48" s="1"/>
  <c r="J33" i="48" s="1"/>
  <c r="K13" i="14"/>
  <c r="K16" i="14" s="1"/>
  <c r="K27" i="14" s="1"/>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C12" i="13"/>
  <c r="D41" i="14" s="1"/>
  <c r="D46" i="14" s="1"/>
  <c r="D61" i="14" s="1"/>
  <c r="D63" i="14" s="1"/>
  <c r="J15" i="48" l="1"/>
  <c r="E26" i="48"/>
  <c r="E33" i="48" s="1"/>
  <c r="E15" i="48"/>
  <c r="K63" i="14"/>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<sst xmlns="http://schemas.openxmlformats.org/spreadsheetml/2006/main" count="2516" uniqueCount="966">
  <si>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</si>
  <si>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</si>
  <si>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</si>
  <si>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</si>
  <si>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</si>
  <si>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</si>
  <si>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</si>
  <si>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</si>
  <si>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</si>
  <si>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</si>
  <si>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</si>
  <si>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</si>
  <si>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</si>
  <si>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</si>
  <si>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</si>
  <si>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</si>
  <si>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</si>
  <si>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</si>
  <si>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</si>
  <si>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</si>
  <si>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</si>
  <si>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</si>
  <si>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</si>
  <si>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</si>
  <si>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</si>
  <si>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</si>
  <si>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</si>
  <si>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</si>
  <si>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</si>
  <si>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</si>
  <si>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</si>
  <si>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</si>
  <si>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</si>
  <si>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</si>
  <si>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</si>
  <si>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</si>
  <si>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</si>
  <si>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</si>
  <si>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</si>
  <si>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</si>
  <si>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</si>
  <si>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</si>
  <si>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</si>
  <si>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</si>
  <si>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</si>
  <si>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</si>
  <si>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</si>
  <si>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</si>
  <si>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</si>
  <si>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</si>
  <si>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</si>
  <si>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</si>
  <si>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</si>
  <si>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</si>
  <si>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</si>
  <si>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</si>
  <si>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</si>
  <si>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</si>
  <si>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</si>
  <si>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</si>
  <si>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</si>
  <si>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</si>
  <si>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</si>
  <si>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</si>
  <si>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</si>
  <si>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</si>
  <si>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</si>
  <si>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</si>
  <si>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</si>
  <si>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</si>
  <si>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</si>
  <si>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</si>
  <si>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</si>
  <si>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</si>
  <si>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</si>
  <si>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</si>
  <si>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</si>
  <si>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</si>
  <si>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</si>
  <si>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</si>
  <si>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</si>
  <si>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</si>
  <si>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</si>
  <si>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</si>
  <si>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</si>
  <si>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</si>
  <si>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</si>
  <si>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</si>
  <si>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</si>
  <si>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</si>
  <si>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</si>
  <si>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</si>
  <si>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</si>
  <si>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</si>
  <si>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</si>
  <si>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</si>
  <si>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</si>
  <si>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</si>
  <si>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</si>
  <si>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</si>
  <si>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</si>
  <si>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</si>
  <si>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</si>
  <si>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</si>
  <si>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</si>
  <si>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</si>
  <si>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</si>
  <si>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</si>
  <si>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</si>
  <si>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</si>
  <si>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</si>
  <si>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</si>
  <si>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</si>
  <si>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</si>
  <si>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</si>
  <si>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</si>
  <si>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</si>
  <si>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</si>
  <si>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</si>
  <si>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</si>
  <si>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</si>
  <si>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</si>
  <si>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</si>
  <si>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</si>
  <si>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</si>
  <si>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</si>
  <si>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</si>
  <si>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</si>
  <si>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</si>
  <si>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</si>
  <si>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</si>
  <si>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</si>
  <si>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</si>
  <si>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</si>
  <si>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</si>
  <si>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</si>
  <si>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</si>
  <si>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</si>
  <si>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</si>
  <si>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</si>
  <si>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</si>
  <si>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</si>
  <si>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</si>
  <si>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</si>
  <si>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</si>
  <si>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</si>
  <si>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</si>
  <si>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</si>
  <si>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</si>
  <si>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</si>
  <si>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</si>
  <si>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</si>
  <si>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</si>
  <si>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</si>
  <si>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</si>
  <si>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</si>
  <si>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</si>
  <si>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</si>
  <si>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</si>
  <si>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</si>
  <si>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</si>
  <si>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</si>
  <si>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</si>
  <si>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</si>
  <si>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</si>
  <si>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</si>
  <si>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</si>
  <si>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</si>
  <si>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</si>
  <si>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</si>
  <si>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</si>
  <si>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</si>
  <si>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</si>
  <si>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</si>
  <si>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</si>
  <si>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</si>
  <si>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</si>
  <si>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</si>
  <si>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</si>
  <si>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</si>
  <si>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</si>
  <si>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</si>
  <si>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</si>
  <si>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</si>
  <si>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</si>
  <si>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</si>
  <si>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</si>
  <si>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</si>
  <si>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</si>
  <si>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</si>
  <si>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</si>
  <si>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</si>
  <si>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</si>
  <si>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</si>
  <si>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</si>
  <si>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</si>
  <si>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</si>
  <si>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</si>
  <si>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</si>
  <si>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</si>
  <si>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</si>
  <si>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</si>
  <si>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</si>
  <si>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</si>
  <si>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</si>
  <si>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</si>
  <si>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</si>
  <si>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</si>
  <si>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</si>
  <si>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</si>
  <si>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</si>
  <si>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</si>
  <si>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</si>
  <si>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</si>
  <si>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</si>
  <si>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</si>
  <si>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</si>
  <si>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</si>
  <si>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</si>
  <si>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</si>
  <si>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</si>
  <si>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</si>
  <si>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</si>
  <si>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</si>
  <si>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</si>
  <si>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</si>
  <si>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</si>
  <si>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</si>
  <si>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</si>
  <si>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</si>
  <si>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</si>
  <si>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</si>
  <si>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</si>
  <si>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</si>
  <si>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</si>
  <si>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</si>
  <si>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</si>
  <si>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</si>
  <si>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</si>
  <si>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</si>
  <si>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</si>
  <si>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</si>
  <si>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</si>
  <si>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</si>
  <si>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</si>
  <si>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</si>
  <si>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</si>
  <si>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</si>
  <si>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</si>
  <si>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</si>
  <si>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</si>
  <si>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</si>
  <si>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</si>
  <si>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</si>
  <si>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</si>
  <si>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</si>
  <si>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</si>
  <si>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</si>
  <si>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</si>
  <si>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</si>
  <si>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</si>
  <si>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</si>
  <si>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</si>
  <si>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</si>
  <si>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</si>
  <si>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</si>
  <si>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</si>
  <si>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</si>
  <si>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</si>
  <si>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</si>
  <si>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</si>
  <si>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</si>
  <si>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</si>
  <si>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</si>
  <si>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</si>
  <si>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</si>
  <si>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</si>
  <si>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</si>
  <si>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</si>
  <si>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</si>
  <si>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</si>
  <si>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</si>
  <si>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</si>
  <si>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</si>
  <si>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</si>
  <si>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</si>
  <si>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</si>
  <si>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</si>
  <si>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</si>
  <si>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</si>
  <si>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</si>
  <si>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</si>
  <si>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</si>
  <si>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</si>
  <si>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</si>
  <si>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</si>
  <si>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</si>
  <si>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</si>
  <si>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</si>
  <si>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</si>
  <si>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</si>
  <si>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</si>
  <si>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</si>
  <si>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</si>
  <si>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</si>
  <si>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</si>
  <si>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</si>
  <si>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</si>
  <si>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</si>
  <si>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</si>
  <si>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</si>
  <si>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</si>
  <si>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</si>
  <si>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</si>
  <si>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</si>
  <si>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</si>
  <si>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</si>
  <si>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</si>
  <si>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</si>
  <si>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</si>
  <si>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</si>
  <si>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</si>
  <si>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</si>
  <si>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</si>
  <si>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</si>
  <si>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</si>
  <si>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</si>
  <si>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</si>
  <si>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</si>
  <si>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</si>
  <si>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</si>
  <si>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</si>
  <si>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</si>
  <si>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</si>
  <si>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</si>
  <si>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</si>
  <si>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</si>
  <si>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</si>
  <si>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</si>
  <si>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</si>
  <si>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</si>
  <si>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</si>
  <si>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</si>
  <si>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</si>
  <si>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</si>
  <si>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</si>
  <si>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</si>
  <si>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</si>
  <si>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</si>
  <si>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</si>
  <si>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</si>
  <si>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</si>
  <si>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</si>
  <si>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</si>
  <si>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</si>
  <si>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</si>
  <si>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</si>
  <si>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</si>
  <si>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</si>
  <si>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</si>
  <si>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</si>
  <si>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</si>
  <si>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</si>
  <si>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</si>
  <si>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</si>
  <si>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</si>
  <si>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</si>
  <si>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</si>
  <si>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</si>
  <si>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</si>
  <si>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</si>
  <si>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</si>
  <si>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</si>
  <si>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</si>
  <si>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</si>
  <si>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</si>
  <si>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</si>
  <si>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</si>
  <si>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</si>
  <si>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</si>
  <si>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</si>
  <si>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</si>
  <si>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</si>
  <si>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</si>
  <si>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</si>
  <si>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</si>
  <si>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</si>
  <si>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</si>
  <si>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</si>
  <si>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</si>
  <si>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</si>
  <si>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</si>
  <si>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</si>
  <si>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</si>
  <si>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</si>
  <si>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</si>
  <si>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</si>
  <si>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</si>
  <si>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</si>
  <si>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</si>
  <si>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</si>
  <si>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</si>
  <si>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</si>
  <si>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</si>
  <si>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</si>
  <si>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</si>
  <si>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</si>
  <si>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</si>
  <si>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</si>
  <si>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</si>
  <si>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</si>
  <si>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</si>
  <si>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</si>
  <si>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</si>
  <si>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</si>
  <si>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</si>
  <si>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</si>
  <si>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</si>
  <si>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</si>
  <si>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</si>
  <si>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</si>
  <si>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</si>
  <si>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</si>
  <si>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</si>
  <si>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</si>
  <si>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</si>
  <si>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</si>
  <si>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</si>
  <si>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</si>
  <si>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</si>
  <si>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</si>
  <si>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</si>
  <si>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</si>
  <si>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</si>
  <si>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</si>
  <si>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</si>
  <si>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</si>
  <si>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</si>
  <si>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</si>
  <si>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</si>
  <si>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</si>
  <si>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</si>
  <si>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</si>
  <si>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</si>
  <si>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</si>
  <si>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</si>
  <si>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</si>
  <si>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</si>
  <si>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</si>
  <si>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</si>
  <si>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</si>
  <si>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</si>
  <si>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</si>
  <si>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</si>
  <si>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</si>
  <si>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</si>
  <si>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</si>
  <si>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</si>
  <si>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</si>
  <si>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</si>
  <si>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</si>
  <si>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</si>
  <si>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</si>
  <si>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</si>
  <si>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</si>
  <si>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</si>
  <si>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</si>
  <si>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</si>
  <si>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</si>
  <si>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</si>
  <si>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</si>
  <si>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</si>
  <si>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</si>
  <si>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</si>
  <si>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</si>
  <si>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</si>
  <si>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</si>
  <si>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</si>
  <si>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</si>
  <si>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</si>
  <si>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</si>
  <si>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</si>
  <si>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</si>
  <si>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</si>
  <si>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</si>
  <si>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</si>
  <si>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</si>
  <si>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</si>
  <si>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</si>
  <si>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</si>
  <si>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</si>
  <si>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</si>
  <si>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</si>
  <si>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</si>
  <si>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</si>
  <si>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</si>
  <si>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</si>
  <si>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</si>
  <si>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</si>
  <si>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</si>
  <si>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</si>
  <si>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</si>
  <si>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</si>
  <si>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</si>
  <si>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</si>
  <si>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</si>
  <si>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</si>
  <si>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</si>
  <si>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</si>
  <si>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</si>
  <si>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</si>
  <si>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</si>
  <si>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</si>
  <si>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</si>
  <si>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</si>
  <si>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</si>
  <si>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</si>
  <si>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</si>
  <si>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</si>
  <si>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</si>
  <si>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</si>
  <si>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</si>
  <si>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</si>
  <si>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</si>
  <si>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</si>
  <si>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</si>
  <si>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</si>
  <si>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</si>
  <si>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</si>
  <si>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</si>
  <si>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</si>
  <si>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</si>
  <si>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</si>
  <si>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</si>
  <si>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</si>
  <si>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</si>
  <si>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</si>
  <si>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</si>
  <si>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</si>
  <si>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</si>
  <si>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</si>
  <si>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</si>
  <si>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</si>
  <si>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</si>
  <si>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</si>
  <si>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</si>
  <si>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</si>
  <si>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</si>
  <si>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</si>
  <si>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</si>
  <si>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</si>
  <si>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</si>
  <si>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</si>
  <si>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</si>
  <si>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</si>
  <si>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</si>
  <si>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</si>
  <si>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</si>
  <si>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</si>
  <si>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</si>
  <si>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</si>
  <si>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</si>
  <si>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</si>
  <si>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</si>
  <si>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</si>
  <si>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</si>
  <si>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</si>
  <si>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</si>
  <si>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</si>
  <si>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</si>
  <si>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</si>
  <si>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</si>
  <si>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</si>
  <si>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</si>
  <si>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</si>
  <si>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</si>
  <si>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</si>
  <si>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</si>
  <si>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</si>
  <si>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</si>
  <si>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</si>
  <si>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</si>
  <si>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</si>
  <si>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</si>
  <si>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</si>
  <si>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</si>
  <si>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</si>
  <si>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</si>
  <si>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</si>
  <si>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</si>
  <si>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</si>
  <si>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</si>
  <si>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</si>
  <si>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</si>
  <si>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</si>
  <si>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</si>
  <si>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</si>
  <si>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</si>
  <si>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</si>
  <si>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</si>
  <si>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</si>
  <si>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</si>
  <si>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</si>
  <si>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</si>
  <si>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</si>
  <si>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</si>
  <si>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</si>
  <si>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</si>
  <si>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</si>
  <si>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</si>
  <si>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</si>
  <si>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</si>
  <si>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</si>
  <si>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</si>
  <si>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</si>
  <si>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</si>
  <si>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</si>
  <si>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</si>
  <si>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</si>
  <si>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</si>
  <si>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</si>
  <si>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</si>
  <si>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</si>
  <si>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</si>
  <si>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</si>
  <si>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</si>
  <si>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</si>
  <si>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</si>
  <si>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</si>
  <si>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</si>
  <si>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</si>
  <si>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</si>
  <si>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</si>
  <si>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</si>
  <si>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</si>
  <si>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</si>
  <si>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</si>
  <si>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</si>
  <si>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</si>
  <si>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</si>
  <si>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</si>
  <si>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</si>
  <si>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</si>
  <si>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</si>
  <si>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</si>
  <si>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</si>
  <si>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</si>
  <si>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</si>
  <si>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</si>
  <si>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</si>
  <si>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</si>
  <si>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</si>
  <si>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</si>
  <si>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</si>
  <si>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</si>
  <si>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</si>
  <si>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</si>
  <si>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</si>
  <si>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</si>
  <si>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</si>
  <si>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</si>
  <si>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</si>
  <si>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</si>
  <si>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</si>
  <si>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</si>
  <si>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</si>
  <si>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</si>
  <si>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</si>
  <si>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</si>
  <si>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</si>
  <si>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</si>
  <si>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</si>
  <si>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</si>
  <si>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</si>
  <si>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</si>
  <si>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</si>
  <si>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</si>
  <si>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</si>
  <si>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</si>
  <si>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</si>
  <si>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</si>
  <si>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</si>
  <si>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</si>
  <si>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</si>
  <si>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</si>
  <si>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</si>
  <si>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</si>
  <si>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</si>
  <si>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</si>
  <si>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</si>
  <si>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</si>
  <si>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</si>
  <si>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</si>
  <si>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</si>
  <si>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</si>
  <si>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</si>
  <si>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</si>
  <si>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</si>
  <si>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</si>
  <si>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</si>
  <si>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</si>
  <si>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</si>
  <si>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</si>
  <si>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</si>
  <si>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</si>
  <si>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</si>
  <si>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</si>
  <si>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</si>
  <si>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</si>
  <si>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</si>
  <si>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</si>
  <si>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</si>
  <si>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</si>
  <si>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</si>
  <si>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</si>
  <si>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</si>
  <si>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</si>
  <si>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</si>
  <si>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</si>
  <si>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</si>
  <si>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</si>
  <si>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</si>
  <si>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</si>
  <si>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</si>
  <si>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</si>
  <si>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</si>
  <si>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</si>
  <si>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</si>
  <si>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</si>
  <si>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</si>
  <si>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</si>
  <si>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</si>
  <si>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</si>
  <si>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</si>
  <si>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</si>
  <si>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</si>
  <si>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</si>
  <si>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</si>
  <si>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</si>
  <si>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</si>
  <si>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</si>
  <si>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</si>
  <si>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</si>
  <si>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</si>
  <si>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</si>
  <si>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</si>
  <si>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</si>
  <si>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</si>
  <si>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</si>
  <si>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</si>
  <si>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</si>
  <si>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</si>
  <si>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</si>
  <si>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</si>
  <si>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</si>
  <si>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</si>
  <si>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</si>
  <si>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</si>
  <si>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</si>
  <si>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</si>
  <si>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</si>
  <si>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</si>
  <si>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</si>
  <si>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</si>
  <si>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</si>
  <si>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</si>
  <si>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</si>
  <si>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</si>
  <si>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</si>
  <si>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</si>
  <si>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</si>
  <si>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</si>
  <si>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</si>
  <si>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</si>
  <si>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</si>
  <si>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</si>
  <si>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</si>
  <si>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</si>
  <si>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</si>
  <si>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</si>
  <si>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</si>
  <si>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</si>
  <si>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</si>
  <si>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</si>
  <si>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</si>
  <si>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</si>
  <si>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</si>
  <si>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</si>
  <si>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</si>
  <si>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</si>
  <si>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</si>
  <si>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</si>
  <si>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</si>
  <si>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</si>
  <si>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</si>
  <si>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</si>
  <si>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</si>
  <si>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</si>
  <si>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</si>
  <si>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</si>
  <si>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</si>
  <si>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</si>
  <si>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</si>
  <si>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</si>
  <si>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</si>
  <si>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</si>
  <si>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</si>
  <si>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</si>
  <si>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</si>
  <si>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</si>
  <si>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</si>
  <si>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</si>
  <si>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</si>
  <si>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</si>
  <si>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</si>
  <si>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</si>
  <si>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</si>
  <si>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</si>
  <si>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</si>
  <si>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</si>
  <si>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</si>
  <si>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</si>
  <si>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</si>
  <si>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</si>
  <si>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</si>
  <si>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</si>
  <si>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</si>
  <si>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</si>
  <si>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</si>
  <si>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</si>
  <si>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</si>
  <si>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</si>
  <si>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</si>
  <si>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</si>
  <si>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</si>
  <si>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</si>
  <si>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</si>
  <si>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</si>
  <si>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</si>
  <si>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</si>
  <si>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</si>
  <si>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</si>
  <si>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</si>
  <si>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</si>
  <si>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</si>
  <si>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</si>
  <si>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</si>
  <si>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</si>
  <si>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</si>
  <si>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</si>
  <si>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</si>
  <si>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</si>
  <si>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</si>
  <si>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</si>
  <si>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</si>
  <si>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</si>
  <si>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</si>
  <si>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</si>
  <si>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</si>
  <si>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</si>
  <si>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</si>
  <si>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</si>
  <si>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</si>
  <si>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</si>
  <si>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</si>
  <si>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</si>
  <si>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</si>
  <si>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</si>
  <si>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</si>
  <si>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</si>
  <si>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</si>
  <si>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</si>
  <si>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</si>
  <si>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</si>
  <si>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</si>
  <si>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</si>
  <si>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</si>
  <si>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</si>
  <si>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</si>
  <si>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</si>
  <si>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</si>
  <si>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</si>
  <si>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</si>
  <si>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</si>
  <si>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</si>
  <si>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</si>
  <si>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</si>
  <si>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</si>
  <si>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</si>
  <si>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</si>
  <si>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</si>
  <si>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</si>
  <si>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</si>
  <si>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</si>
  <si>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</si>
  <si>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</si>
  <si>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</si>
  <si>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</si>
  <si>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</si>
  <si>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</si>
  <si>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</si>
  <si>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</si>
  <si>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</si>
  <si>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</si>
  <si>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</si>
  <si>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</si>
  <si>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</si>
  <si>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</si>
  <si>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</si>
  <si>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</si>
  <si>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</si>
  <si>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</si>
  <si>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</si>
  <si>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</si>
  <si>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</si>
  <si>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</si>
  <si>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</si>
  <si>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</si>
  <si>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</si>
  <si>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</si>
  <si>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</si>
  <si>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</si>
  <si>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</si>
  <si>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</si>
  <si>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</si>
  <si>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</si>
  <si>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</si>
  <si>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</si>
  <si>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</si>
  <si>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</si>
  <si>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</si>
  <si>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</si>
  <si>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</si>
  <si>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</si>
  <si>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</si>
  <si>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</si>
  <si>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</si>
  <si>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</si>
  <si>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</si>
  <si>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</si>
  <si>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</si>
  <si>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</si>
  <si>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</si>
  <si>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</si>
  <si>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</si>
  <si>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</si>
  <si>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</si>
  <si>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</si>
  <si>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13001</t>
  </si>
  <si>
    <t>ARENDONK</t>
  </si>
  <si>
    <t>Paarden&amp;pony's 200 - 600 kg</t>
  </si>
  <si>
    <t>Paarden&amp;pony's &lt; 200 kg</t>
  </si>
  <si>
    <t>Fluvius</t>
  </si>
  <si>
    <t>referentietaak LNE (2017); Jaarverslag De Lijn</t>
  </si>
  <si>
    <t>Biogas De Biezen</t>
  </si>
  <si>
    <t>De Biezen 6 , 2370 Arendonk</t>
  </si>
  <si>
    <t>WKK-0237 Biogas De Biezen</t>
  </si>
  <si>
    <t>interne verbrandingsmotor</t>
  </si>
  <si>
    <t>WKK interne verbrandinsgmotor (gas)</t>
  </si>
  <si>
    <t>IVEKA</t>
  </si>
  <si>
    <t>Arbio bvba</t>
  </si>
  <si>
    <t>Watering 20 a, 2370 Arendonk</t>
  </si>
  <si>
    <t>BGS-0168 Arbio agr.verg</t>
  </si>
  <si>
    <t>biogas - hoofdzakelijk agrarische stromen</t>
  </si>
  <si>
    <t>niet WKK interne verbrandingsmotor (gas)</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</si>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</sst>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13001</v>
      </c>
      <c r="B6" s="394"/>
      <c r="C6" s="395"/>
    </row>
    <row r="7" spans="1:7" s="392" customFormat="1" ht="15.75" customHeight="1">
      <c r="A7" s="396" t="str">
        <f>txtMunicipality</f>
        <v>ARENDONK</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0.1179708588386521</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0.1179708588386521</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5104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2457</v>
      </c>
      <c r="C14" s="332"/>
      <c r="D14" s="332"/>
      <c r="E14" s="332"/>
      <c r="F14" s="332"/>
    </row>
    <row r="15" spans="1:6">
      <c r="A15" s="1299" t="s">
        <v>183</v>
      </c>
      <c r="B15" s="1300">
        <v>4015</v>
      </c>
      <c r="C15" s="332"/>
      <c r="D15" s="332"/>
      <c r="E15" s="332"/>
      <c r="F15" s="332"/>
    </row>
    <row r="16" spans="1:6">
      <c r="A16" s="1299" t="s">
        <v>6</v>
      </c>
      <c r="B16" s="1300">
        <v>1284</v>
      </c>
      <c r="C16" s="332"/>
      <c r="D16" s="332"/>
      <c r="E16" s="332"/>
      <c r="F16" s="332"/>
    </row>
    <row r="17" spans="1:6">
      <c r="A17" s="1299" t="s">
        <v>7</v>
      </c>
      <c r="B17" s="1300">
        <v>137</v>
      </c>
      <c r="C17" s="332"/>
      <c r="D17" s="332"/>
      <c r="E17" s="332"/>
      <c r="F17" s="332"/>
    </row>
    <row r="18" spans="1:6">
      <c r="A18" s="1299" t="s">
        <v>8</v>
      </c>
      <c r="B18" s="1300">
        <v>808</v>
      </c>
      <c r="C18" s="332"/>
      <c r="D18" s="332"/>
      <c r="E18" s="332"/>
      <c r="F18" s="332"/>
    </row>
    <row r="19" spans="1:6">
      <c r="A19" s="1299" t="s">
        <v>9</v>
      </c>
      <c r="B19" s="1300">
        <v>726</v>
      </c>
      <c r="C19" s="332"/>
      <c r="D19" s="332"/>
      <c r="E19" s="332"/>
      <c r="F19" s="332"/>
    </row>
    <row r="20" spans="1:6">
      <c r="A20" s="1299" t="s">
        <v>10</v>
      </c>
      <c r="B20" s="1300">
        <v>355</v>
      </c>
      <c r="C20" s="332"/>
      <c r="D20" s="332"/>
      <c r="E20" s="332"/>
      <c r="F20" s="332"/>
    </row>
    <row r="21" spans="1:6">
      <c r="A21" s="1299" t="s">
        <v>11</v>
      </c>
      <c r="B21" s="1300">
        <v>16009</v>
      </c>
      <c r="C21" s="332"/>
      <c r="D21" s="332"/>
      <c r="E21" s="332"/>
      <c r="F21" s="332"/>
    </row>
    <row r="22" spans="1:6">
      <c r="A22" s="1299" t="s">
        <v>12</v>
      </c>
      <c r="B22" s="1300">
        <v>18348</v>
      </c>
      <c r="C22" s="332"/>
      <c r="D22" s="332"/>
      <c r="E22" s="332"/>
      <c r="F22" s="332"/>
    </row>
    <row r="23" spans="1:6">
      <c r="A23" s="1299" t="s">
        <v>13</v>
      </c>
      <c r="B23" s="1300">
        <v>650</v>
      </c>
      <c r="C23" s="332"/>
      <c r="D23" s="332"/>
      <c r="E23" s="332"/>
      <c r="F23" s="332"/>
    </row>
    <row r="24" spans="1:6">
      <c r="A24" s="1299" t="s">
        <v>14</v>
      </c>
      <c r="B24" s="1300">
        <v>13</v>
      </c>
      <c r="C24" s="332"/>
      <c r="D24" s="332"/>
      <c r="E24" s="332"/>
      <c r="F24" s="332"/>
    </row>
    <row r="25" spans="1:6">
      <c r="A25" s="1299" t="s">
        <v>15</v>
      </c>
      <c r="B25" s="1300">
        <v>4454</v>
      </c>
      <c r="C25" s="332"/>
      <c r="D25" s="332"/>
      <c r="E25" s="332"/>
      <c r="F25" s="332"/>
    </row>
    <row r="26" spans="1:6">
      <c r="A26" s="1299" t="s">
        <v>16</v>
      </c>
      <c r="B26" s="1300">
        <v>10</v>
      </c>
      <c r="C26" s="332"/>
      <c r="D26" s="332"/>
      <c r="E26" s="332"/>
      <c r="F26" s="332"/>
    </row>
    <row r="27" spans="1:6">
      <c r="A27" s="1299" t="s">
        <v>17</v>
      </c>
      <c r="B27" s="1300">
        <v>2</v>
      </c>
      <c r="C27" s="332"/>
      <c r="D27" s="332"/>
      <c r="E27" s="332"/>
      <c r="F27" s="332"/>
    </row>
    <row r="28" spans="1:6" s="44" customFormat="1">
      <c r="A28" s="1301" t="s">
        <v>18</v>
      </c>
      <c r="B28" s="1302">
        <v>335587</v>
      </c>
      <c r="C28" s="338"/>
      <c r="D28" s="338"/>
      <c r="E28" s="338"/>
      <c r="F28" s="338"/>
    </row>
    <row r="29" spans="1:6">
      <c r="A29" s="1301" t="s">
        <v>950</v>
      </c>
      <c r="B29" s="1302">
        <v>45</v>
      </c>
      <c r="C29" s="338"/>
      <c r="D29" s="338"/>
      <c r="E29" s="338"/>
      <c r="F29" s="338"/>
    </row>
    <row r="30" spans="1:6">
      <c r="A30" s="1294" t="s">
        <v>951</v>
      </c>
      <c r="B30" s="1303">
        <v>7</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0</v>
      </c>
      <c r="F36" s="1300">
        <v>0</v>
      </c>
    </row>
    <row r="37" spans="1:6">
      <c r="A37" s="1299" t="s">
        <v>24</v>
      </c>
      <c r="B37" s="1299" t="s">
        <v>27</v>
      </c>
      <c r="C37" s="1300">
        <v>0</v>
      </c>
      <c r="D37" s="1300">
        <v>0</v>
      </c>
      <c r="E37" s="1300">
        <v>0</v>
      </c>
      <c r="F37" s="1300">
        <v>0</v>
      </c>
    </row>
    <row r="38" spans="1:6">
      <c r="A38" s="1299" t="s">
        <v>24</v>
      </c>
      <c r="B38" s="1299" t="s">
        <v>28</v>
      </c>
      <c r="C38" s="1300">
        <v>1</v>
      </c>
      <c r="D38" s="1300">
        <v>179400.35570216901</v>
      </c>
      <c r="E38" s="1300">
        <v>1</v>
      </c>
      <c r="F38" s="1300">
        <v>445938.27082273999</v>
      </c>
    </row>
    <row r="39" spans="1:6">
      <c r="A39" s="1299" t="s">
        <v>29</v>
      </c>
      <c r="B39" s="1299" t="s">
        <v>30</v>
      </c>
      <c r="C39" s="1300">
        <v>3497</v>
      </c>
      <c r="D39" s="1300">
        <v>71886913.734373093</v>
      </c>
      <c r="E39" s="1300">
        <v>4986</v>
      </c>
      <c r="F39" s="1300">
        <v>19723426.298128899</v>
      </c>
    </row>
    <row r="40" spans="1:6">
      <c r="A40" s="1299" t="s">
        <v>29</v>
      </c>
      <c r="B40" s="1299" t="s">
        <v>28</v>
      </c>
      <c r="C40" s="1300">
        <v>1</v>
      </c>
      <c r="D40" s="1300">
        <v>20429.706138263002</v>
      </c>
      <c r="E40" s="1300">
        <v>1</v>
      </c>
      <c r="F40" s="1300">
        <v>6170.9293710934999</v>
      </c>
    </row>
    <row r="41" spans="1:6">
      <c r="A41" s="1299" t="s">
        <v>31</v>
      </c>
      <c r="B41" s="1299" t="s">
        <v>32</v>
      </c>
      <c r="C41" s="1300">
        <v>57</v>
      </c>
      <c r="D41" s="1300">
        <v>1379202.6642984699</v>
      </c>
      <c r="E41" s="1300">
        <v>110</v>
      </c>
      <c r="F41" s="1300">
        <v>6332301.3251190903</v>
      </c>
    </row>
    <row r="42" spans="1:6">
      <c r="A42" s="1299" t="s">
        <v>31</v>
      </c>
      <c r="B42" s="1299" t="s">
        <v>33</v>
      </c>
      <c r="C42" s="1300">
        <v>0</v>
      </c>
      <c r="D42" s="1300">
        <v>0</v>
      </c>
      <c r="E42" s="1300">
        <v>3</v>
      </c>
      <c r="F42" s="1300">
        <v>221321.10800588701</v>
      </c>
    </row>
    <row r="43" spans="1:6">
      <c r="A43" s="1299" t="s">
        <v>31</v>
      </c>
      <c r="B43" s="1299" t="s">
        <v>34</v>
      </c>
      <c r="C43" s="1300">
        <v>0</v>
      </c>
      <c r="D43" s="1300">
        <v>0</v>
      </c>
      <c r="E43" s="1300">
        <v>0</v>
      </c>
      <c r="F43" s="1300">
        <v>0</v>
      </c>
    </row>
    <row r="44" spans="1:6">
      <c r="A44" s="1299" t="s">
        <v>31</v>
      </c>
      <c r="B44" s="1299" t="s">
        <v>35</v>
      </c>
      <c r="C44" s="1300">
        <v>9</v>
      </c>
      <c r="D44" s="1300">
        <v>3535262.8314765701</v>
      </c>
      <c r="E44" s="1300">
        <v>21</v>
      </c>
      <c r="F44" s="1300">
        <v>4863062.1776012899</v>
      </c>
    </row>
    <row r="45" spans="1:6">
      <c r="A45" s="1299" t="s">
        <v>31</v>
      </c>
      <c r="B45" s="1299" t="s">
        <v>36</v>
      </c>
      <c r="C45" s="1300">
        <v>3</v>
      </c>
      <c r="D45" s="1300">
        <v>160681.74324073701</v>
      </c>
      <c r="E45" s="1300">
        <v>0</v>
      </c>
      <c r="F45" s="1300">
        <v>0</v>
      </c>
    </row>
    <row r="46" spans="1:6">
      <c r="A46" s="1299" t="s">
        <v>31</v>
      </c>
      <c r="B46" s="1299" t="s">
        <v>37</v>
      </c>
      <c r="C46" s="1300">
        <v>0</v>
      </c>
      <c r="D46" s="1300">
        <v>0</v>
      </c>
      <c r="E46" s="1300">
        <v>0</v>
      </c>
      <c r="F46" s="1300">
        <v>0</v>
      </c>
    </row>
    <row r="47" spans="1:6">
      <c r="A47" s="1299" t="s">
        <v>31</v>
      </c>
      <c r="B47" s="1299" t="s">
        <v>38</v>
      </c>
      <c r="C47" s="1300">
        <v>0</v>
      </c>
      <c r="D47" s="1300">
        <v>0</v>
      </c>
      <c r="E47" s="1300">
        <v>3</v>
      </c>
      <c r="F47" s="1300">
        <v>1369799.29576621</v>
      </c>
    </row>
    <row r="48" spans="1:6">
      <c r="A48" s="1299" t="s">
        <v>31</v>
      </c>
      <c r="B48" s="1299" t="s">
        <v>28</v>
      </c>
      <c r="C48" s="1300">
        <v>34</v>
      </c>
      <c r="D48" s="1300">
        <v>3139153.1595419198</v>
      </c>
      <c r="E48" s="1300">
        <v>37</v>
      </c>
      <c r="F48" s="1300">
        <v>5241331.0311568901</v>
      </c>
    </row>
    <row r="49" spans="1:6">
      <c r="A49" s="1299" t="s">
        <v>31</v>
      </c>
      <c r="B49" s="1299" t="s">
        <v>39</v>
      </c>
      <c r="C49" s="1300">
        <v>0</v>
      </c>
      <c r="D49" s="1300">
        <v>0</v>
      </c>
      <c r="E49" s="1300">
        <v>3</v>
      </c>
      <c r="F49" s="1300">
        <v>62392.915246534503</v>
      </c>
    </row>
    <row r="50" spans="1:6">
      <c r="A50" s="1299" t="s">
        <v>31</v>
      </c>
      <c r="B50" s="1299" t="s">
        <v>40</v>
      </c>
      <c r="C50" s="1300">
        <v>6</v>
      </c>
      <c r="D50" s="1300">
        <v>431955.16568555299</v>
      </c>
      <c r="E50" s="1300">
        <v>10</v>
      </c>
      <c r="F50" s="1300">
        <v>369254.79001555103</v>
      </c>
    </row>
    <row r="51" spans="1:6">
      <c r="A51" s="1299" t="s">
        <v>41</v>
      </c>
      <c r="B51" s="1299" t="s">
        <v>42</v>
      </c>
      <c r="C51" s="1300">
        <v>0</v>
      </c>
      <c r="D51" s="1300">
        <v>0</v>
      </c>
      <c r="E51" s="1300">
        <v>64</v>
      </c>
      <c r="F51" s="1300">
        <v>5062254.71179068</v>
      </c>
    </row>
    <row r="52" spans="1:6">
      <c r="A52" s="1299" t="s">
        <v>41</v>
      </c>
      <c r="B52" s="1299" t="s">
        <v>28</v>
      </c>
      <c r="C52" s="1300">
        <v>5</v>
      </c>
      <c r="D52" s="1300">
        <v>1825383.34083206</v>
      </c>
      <c r="E52" s="1300">
        <v>9</v>
      </c>
      <c r="F52" s="1300">
        <v>131934.82826676301</v>
      </c>
    </row>
    <row r="53" spans="1:6">
      <c r="A53" s="1299" t="s">
        <v>43</v>
      </c>
      <c r="B53" s="1299" t="s">
        <v>44</v>
      </c>
      <c r="C53" s="1300">
        <v>81</v>
      </c>
      <c r="D53" s="1300">
        <v>2439561.9751751302</v>
      </c>
      <c r="E53" s="1300">
        <v>142</v>
      </c>
      <c r="F53" s="1300">
        <v>785095.712845181</v>
      </c>
    </row>
    <row r="54" spans="1:6">
      <c r="A54" s="1299" t="s">
        <v>45</v>
      </c>
      <c r="B54" s="1299" t="s">
        <v>46</v>
      </c>
      <c r="C54" s="1300">
        <v>0</v>
      </c>
      <c r="D54" s="1300">
        <v>0</v>
      </c>
      <c r="E54" s="1300">
        <v>1</v>
      </c>
      <c r="F54" s="1300">
        <v>792372</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13</v>
      </c>
      <c r="D57" s="1300">
        <v>272053.47740621702</v>
      </c>
      <c r="E57" s="1300">
        <v>79</v>
      </c>
      <c r="F57" s="1300">
        <v>6150352.3374624103</v>
      </c>
    </row>
    <row r="58" spans="1:6">
      <c r="A58" s="1299" t="s">
        <v>48</v>
      </c>
      <c r="B58" s="1299" t="s">
        <v>50</v>
      </c>
      <c r="C58" s="1300">
        <v>0</v>
      </c>
      <c r="D58" s="1300">
        <v>0</v>
      </c>
      <c r="E58" s="1300">
        <v>0</v>
      </c>
      <c r="F58" s="1300">
        <v>0</v>
      </c>
    </row>
    <row r="59" spans="1:6">
      <c r="A59" s="1299" t="s">
        <v>48</v>
      </c>
      <c r="B59" s="1299" t="s">
        <v>51</v>
      </c>
      <c r="C59" s="1300">
        <v>54</v>
      </c>
      <c r="D59" s="1300">
        <v>1966788.15849945</v>
      </c>
      <c r="E59" s="1300">
        <v>101</v>
      </c>
      <c r="F59" s="1300">
        <v>2305857.3588719601</v>
      </c>
    </row>
    <row r="60" spans="1:6">
      <c r="A60" s="1299" t="s">
        <v>48</v>
      </c>
      <c r="B60" s="1299" t="s">
        <v>52</v>
      </c>
      <c r="C60" s="1300">
        <v>44</v>
      </c>
      <c r="D60" s="1300">
        <v>1987193.49650286</v>
      </c>
      <c r="E60" s="1300">
        <v>58</v>
      </c>
      <c r="F60" s="1300">
        <v>1304870.44106252</v>
      </c>
    </row>
    <row r="61" spans="1:6">
      <c r="A61" s="1299" t="s">
        <v>48</v>
      </c>
      <c r="B61" s="1299" t="s">
        <v>53</v>
      </c>
      <c r="C61" s="1300">
        <v>55</v>
      </c>
      <c r="D61" s="1300">
        <v>5484060.7579376996</v>
      </c>
      <c r="E61" s="1300">
        <v>126</v>
      </c>
      <c r="F61" s="1300">
        <v>3572243.6617080499</v>
      </c>
    </row>
    <row r="62" spans="1:6">
      <c r="A62" s="1299" t="s">
        <v>48</v>
      </c>
      <c r="B62" s="1299" t="s">
        <v>54</v>
      </c>
      <c r="C62" s="1300">
        <v>0</v>
      </c>
      <c r="D62" s="1300">
        <v>0</v>
      </c>
      <c r="E62" s="1300">
        <v>0</v>
      </c>
      <c r="F62" s="1300">
        <v>0</v>
      </c>
    </row>
    <row r="63" spans="1:6">
      <c r="A63" s="1299" t="s">
        <v>48</v>
      </c>
      <c r="B63" s="1299" t="s">
        <v>28</v>
      </c>
      <c r="C63" s="1300">
        <v>85</v>
      </c>
      <c r="D63" s="1300">
        <v>5335293.7173592299</v>
      </c>
      <c r="E63" s="1300">
        <v>89</v>
      </c>
      <c r="F63" s="1300">
        <v>25442228.47104815</v>
      </c>
    </row>
    <row r="64" spans="1:6">
      <c r="A64" s="1299" t="s">
        <v>55</v>
      </c>
      <c r="B64" s="1299" t="s">
        <v>56</v>
      </c>
      <c r="C64" s="1300">
        <v>0</v>
      </c>
      <c r="D64" s="1300">
        <v>0</v>
      </c>
      <c r="E64" s="1300">
        <v>0</v>
      </c>
      <c r="F64" s="1300">
        <v>0</v>
      </c>
    </row>
    <row r="65" spans="1:6">
      <c r="A65" s="1299" t="s">
        <v>55</v>
      </c>
      <c r="B65" s="1299" t="s">
        <v>28</v>
      </c>
      <c r="C65" s="1300">
        <v>0</v>
      </c>
      <c r="D65" s="1300">
        <v>0</v>
      </c>
      <c r="E65" s="1300">
        <v>2</v>
      </c>
      <c r="F65" s="1300">
        <v>8513.5447318445003</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4</v>
      </c>
      <c r="D68" s="1303">
        <v>126152.608522653</v>
      </c>
      <c r="E68" s="1303">
        <v>7</v>
      </c>
      <c r="F68" s="1303">
        <v>223271.99564223801</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31899376</v>
      </c>
      <c r="E73" s="455"/>
      <c r="F73" s="332"/>
    </row>
    <row r="74" spans="1:6">
      <c r="A74" s="1299" t="s">
        <v>63</v>
      </c>
      <c r="B74" s="1299" t="s">
        <v>768</v>
      </c>
      <c r="C74" s="1313" t="s">
        <v>762</v>
      </c>
      <c r="D74" s="1314">
        <v>1640033.9069145366</v>
      </c>
      <c r="E74" s="455"/>
      <c r="F74" s="332"/>
    </row>
    <row r="75" spans="1:6">
      <c r="A75" s="1299" t="s">
        <v>64</v>
      </c>
      <c r="B75" s="1299" t="s">
        <v>767</v>
      </c>
      <c r="C75" s="1313" t="s">
        <v>763</v>
      </c>
      <c r="D75" s="1314">
        <v>11619865</v>
      </c>
      <c r="E75" s="455"/>
      <c r="F75" s="332"/>
    </row>
    <row r="76" spans="1:6">
      <c r="A76" s="1299" t="s">
        <v>64</v>
      </c>
      <c r="B76" s="1299" t="s">
        <v>768</v>
      </c>
      <c r="C76" s="1313" t="s">
        <v>764</v>
      </c>
      <c r="D76" s="1314">
        <v>465500.90691453667</v>
      </c>
      <c r="E76" s="455"/>
      <c r="F76" s="332"/>
    </row>
    <row r="77" spans="1:6">
      <c r="A77" s="1299" t="s">
        <v>65</v>
      </c>
      <c r="B77" s="1299" t="s">
        <v>767</v>
      </c>
      <c r="C77" s="1313" t="s">
        <v>765</v>
      </c>
      <c r="D77" s="1314">
        <v>31216713</v>
      </c>
      <c r="E77" s="455"/>
      <c r="F77" s="332"/>
    </row>
    <row r="78" spans="1:6">
      <c r="A78" s="1294" t="s">
        <v>65</v>
      </c>
      <c r="B78" s="1294" t="s">
        <v>768</v>
      </c>
      <c r="C78" s="1294" t="s">
        <v>766</v>
      </c>
      <c r="D78" s="1315">
        <v>12166632</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219896.18617092664</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22845.452955909452</v>
      </c>
      <c r="C90" s="332"/>
      <c r="D90" s="332"/>
      <c r="E90" s="332"/>
      <c r="F90" s="332"/>
    </row>
    <row r="91" spans="1:6">
      <c r="A91" s="1299" t="s">
        <v>67</v>
      </c>
      <c r="B91" s="1300">
        <v>2536.0114589457007</v>
      </c>
      <c r="C91" s="332"/>
      <c r="D91" s="332"/>
      <c r="E91" s="332"/>
      <c r="F91" s="332"/>
    </row>
    <row r="92" spans="1:6">
      <c r="A92" s="1294" t="s">
        <v>68</v>
      </c>
      <c r="B92" s="1295">
        <v>3984.285378318883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2294</v>
      </c>
      <c r="C97" s="332"/>
      <c r="D97" s="332"/>
      <c r="E97" s="332"/>
      <c r="F97" s="332"/>
    </row>
    <row r="98" spans="1:6">
      <c r="A98" s="1299" t="s">
        <v>71</v>
      </c>
      <c r="B98" s="1300">
        <v>6</v>
      </c>
      <c r="C98" s="332"/>
      <c r="D98" s="332"/>
      <c r="E98" s="332"/>
      <c r="F98" s="332"/>
    </row>
    <row r="99" spans="1:6">
      <c r="A99" s="1299" t="s">
        <v>72</v>
      </c>
      <c r="B99" s="1300">
        <v>78</v>
      </c>
      <c r="C99" s="332"/>
      <c r="D99" s="332"/>
      <c r="E99" s="332"/>
      <c r="F99" s="332"/>
    </row>
    <row r="100" spans="1:6">
      <c r="A100" s="1299" t="s">
        <v>73</v>
      </c>
      <c r="B100" s="1300">
        <v>168</v>
      </c>
      <c r="C100" s="332"/>
      <c r="D100" s="332"/>
      <c r="E100" s="332"/>
      <c r="F100" s="332"/>
    </row>
    <row r="101" spans="1:6">
      <c r="A101" s="1299" t="s">
        <v>74</v>
      </c>
      <c r="B101" s="1300">
        <v>133</v>
      </c>
      <c r="C101" s="332"/>
      <c r="D101" s="332"/>
      <c r="E101" s="332"/>
      <c r="F101" s="332"/>
    </row>
    <row r="102" spans="1:6">
      <c r="A102" s="1299" t="s">
        <v>75</v>
      </c>
      <c r="B102" s="1300">
        <v>48</v>
      </c>
      <c r="C102" s="332"/>
      <c r="D102" s="332"/>
      <c r="E102" s="332"/>
      <c r="F102" s="332"/>
    </row>
    <row r="103" spans="1:6">
      <c r="A103" s="1299" t="s">
        <v>76</v>
      </c>
      <c r="B103" s="1300">
        <v>44</v>
      </c>
      <c r="C103" s="332"/>
      <c r="D103" s="332"/>
      <c r="E103" s="332"/>
      <c r="F103" s="332"/>
    </row>
    <row r="104" spans="1:6">
      <c r="A104" s="1299" t="s">
        <v>77</v>
      </c>
      <c r="B104" s="1300">
        <v>1624</v>
      </c>
      <c r="C104" s="332"/>
      <c r="D104" s="332"/>
      <c r="E104" s="332"/>
      <c r="F104" s="332"/>
    </row>
    <row r="105" spans="1:6">
      <c r="A105" s="1294" t="s">
        <v>78</v>
      </c>
      <c r="B105" s="1303">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16</v>
      </c>
      <c r="C123" s="1300">
        <v>13</v>
      </c>
      <c r="D123" s="332"/>
      <c r="E123" s="332"/>
      <c r="F123" s="332"/>
    </row>
    <row r="124" spans="1:6" s="44" customFormat="1">
      <c r="A124" s="1301" t="s">
        <v>88</v>
      </c>
      <c r="B124" s="1322">
        <v>0</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78</v>
      </c>
      <c r="C129" s="332"/>
      <c r="D129" s="332"/>
      <c r="E129" s="332"/>
      <c r="F129" s="332"/>
    </row>
    <row r="130" spans="1:6">
      <c r="A130" s="1299" t="s">
        <v>294</v>
      </c>
      <c r="B130" s="1300">
        <v>2</v>
      </c>
      <c r="C130" s="332"/>
      <c r="D130" s="332"/>
      <c r="E130" s="332"/>
      <c r="F130" s="332"/>
    </row>
    <row r="131" spans="1:6">
      <c r="A131" s="1299" t="s">
        <v>295</v>
      </c>
      <c r="B131" s="1300">
        <v>2</v>
      </c>
      <c r="C131" s="332"/>
      <c r="D131" s="332"/>
      <c r="E131" s="332"/>
      <c r="F131" s="332"/>
    </row>
    <row r="132" spans="1:6">
      <c r="A132" s="1294" t="s">
        <v>296</v>
      </c>
      <c r="B132" s="1295">
        <v>8</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86273.944964477007</v>
      </c>
      <c r="C3" s="44" t="s">
        <v>169</v>
      </c>
      <c r="D3" s="44"/>
      <c r="E3" s="157"/>
      <c r="F3" s="44"/>
      <c r="G3" s="44"/>
      <c r="H3" s="44"/>
      <c r="I3" s="44"/>
      <c r="J3" s="44"/>
      <c r="K3" s="97"/>
    </row>
    <row r="4" spans="1:11">
      <c r="A4" s="362" t="s">
        <v>170</v>
      </c>
      <c r="B4" s="50">
        <f>IF(ISERROR('SEAP template'!B78+'SEAP template'!C78),0,'SEAP template'!B78+'SEAP template'!C78)</f>
        <v>40220.499793174036</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0</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0.1179708588386521</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0</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14232.857142857143</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792.37199999999996</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792.37199999999996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0.1179708588386521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93.476805359700435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19729.597227499991</v>
      </c>
      <c r="C5" s="18">
        <f>IF(ISERROR('Eigen informatie GS &amp; warmtenet'!B57),0,'Eigen informatie GS &amp; warmtenet'!B57)</f>
        <v>0</v>
      </c>
      <c r="D5" s="31">
        <f>(SUM(HH_hh_gas_kWh,HH_rest_gas_kWh)/1000)*0.902</f>
        <v>64860.423783341255</v>
      </c>
      <c r="E5" s="18">
        <f>B46*B57</f>
        <v>4536.9253614459758</v>
      </c>
      <c r="F5" s="18">
        <f>B51*B62</f>
        <v>11388.250215770409</v>
      </c>
      <c r="G5" s="19"/>
      <c r="H5" s="18"/>
      <c r="I5" s="18"/>
      <c r="J5" s="18">
        <f>B50*B61+C50*C61</f>
        <v>0</v>
      </c>
      <c r="K5" s="18"/>
      <c r="L5" s="18"/>
      <c r="M5" s="18"/>
      <c r="N5" s="18">
        <f>B48*B59+C48*C59</f>
        <v>26291.063525542791</v>
      </c>
      <c r="O5" s="18">
        <f>B69*B70*B71</f>
        <v>142.26333333333332</v>
      </c>
      <c r="P5" s="18">
        <f>B77*B78*B79/1000-B77*B78*B79/1000/B80</f>
        <v>457.6</v>
      </c>
    </row>
    <row r="6" spans="1:16">
      <c r="A6" s="17" t="s">
        <v>638</v>
      </c>
      <c r="B6" s="776">
        <f>kWh_PV_kleiner_dan_10kW</f>
        <v>2536.0114589457007</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22265.608686445692</v>
      </c>
      <c r="C8" s="22">
        <f>C5</f>
        <v>0</v>
      </c>
      <c r="D8" s="22">
        <f>D5</f>
        <v>64860.423783341255</v>
      </c>
      <c r="E8" s="22">
        <f>E5</f>
        <v>4536.9253614459758</v>
      </c>
      <c r="F8" s="22">
        <f>F5</f>
        <v>11388.250215770409</v>
      </c>
      <c r="G8" s="22"/>
      <c r="H8" s="22"/>
      <c r="I8" s="22"/>
      <c r="J8" s="22">
        <f>J5</f>
        <v>0</v>
      </c>
      <c r="K8" s="22"/>
      <c r="L8" s="22">
        <f>L5</f>
        <v>0</v>
      </c>
      <c r="M8" s="22">
        <f>M5</f>
        <v>0</v>
      </c>
      <c r="N8" s="22">
        <f>N5</f>
        <v>26291.063525542791</v>
      </c>
      <c r="O8" s="22">
        <f>O5</f>
        <v>142.26333333333332</v>
      </c>
      <c r="P8" s="22">
        <f>P5</f>
        <v>457.6</v>
      </c>
    </row>
    <row r="9" spans="1:16">
      <c r="B9" s="20"/>
      <c r="C9" s="20"/>
      <c r="D9" s="262"/>
      <c r="E9" s="20"/>
      <c r="F9" s="20"/>
      <c r="G9" s="20"/>
      <c r="H9" s="20"/>
      <c r="I9" s="20"/>
      <c r="J9" s="20"/>
      <c r="K9" s="20"/>
      <c r="L9" s="20"/>
      <c r="M9" s="20"/>
      <c r="N9" s="20"/>
      <c r="O9" s="20"/>
      <c r="P9" s="20"/>
    </row>
    <row r="10" spans="1:16">
      <c r="A10" s="25" t="s">
        <v>213</v>
      </c>
      <c r="B10" s="26">
        <f ca="1">'EF ele_warmte'!B12</f>
        <v>0.1179708588386521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2626.6929793053509</v>
      </c>
      <c r="C12" s="24">
        <f ca="1">C10*C8</f>
        <v>0</v>
      </c>
      <c r="D12" s="24">
        <f>D8*D10</f>
        <v>13101.805604234934</v>
      </c>
      <c r="E12" s="24">
        <f>E10*E8</f>
        <v>1029.8820570482364</v>
      </c>
      <c r="F12" s="24">
        <f>F10*F8</f>
        <v>3040.6628076106995</v>
      </c>
      <c r="G12" s="24"/>
      <c r="H12" s="24"/>
      <c r="I12" s="24"/>
      <c r="J12" s="24">
        <f>J10*J8</f>
        <v>0</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2294</v>
      </c>
      <c r="C18" s="169" t="s">
        <v>110</v>
      </c>
      <c r="D18" s="231"/>
      <c r="E18" s="16"/>
    </row>
    <row r="19" spans="1:7">
      <c r="A19" s="174" t="s">
        <v>71</v>
      </c>
      <c r="B19" s="38">
        <f>aantalw2001_ander</f>
        <v>6</v>
      </c>
      <c r="C19" s="169" t="s">
        <v>110</v>
      </c>
      <c r="D19" s="232"/>
      <c r="E19" s="16"/>
    </row>
    <row r="20" spans="1:7">
      <c r="A20" s="174" t="s">
        <v>72</v>
      </c>
      <c r="B20" s="38">
        <f>aantalw2001_propaan</f>
        <v>78</v>
      </c>
      <c r="C20" s="170">
        <f>IF(ISERROR(B20/SUM($B$20,$B$21,$B$22)*100),0,B20/SUM($B$20,$B$21,$B$22)*100)</f>
        <v>20.580474934036939</v>
      </c>
      <c r="D20" s="232"/>
      <c r="E20" s="16"/>
    </row>
    <row r="21" spans="1:7">
      <c r="A21" s="174" t="s">
        <v>73</v>
      </c>
      <c r="B21" s="38">
        <f>aantalw2001_elektriciteit</f>
        <v>168</v>
      </c>
      <c r="C21" s="170">
        <f>IF(ISERROR(B21/SUM($B$20,$B$21,$B$22)*100),0,B21/SUM($B$20,$B$21,$B$22)*100)</f>
        <v>44.327176781002635</v>
      </c>
      <c r="D21" s="232"/>
      <c r="E21" s="16"/>
    </row>
    <row r="22" spans="1:7">
      <c r="A22" s="174" t="s">
        <v>74</v>
      </c>
      <c r="B22" s="38">
        <f>aantalw2001_hout</f>
        <v>133</v>
      </c>
      <c r="C22" s="170">
        <f>IF(ISERROR(B22/SUM($B$20,$B$21,$B$22)*100),0,B22/SUM($B$20,$B$21,$B$22)*100)</f>
        <v>35.092348284960423</v>
      </c>
      <c r="D22" s="232"/>
      <c r="E22" s="16"/>
    </row>
    <row r="23" spans="1:7">
      <c r="A23" s="174" t="s">
        <v>75</v>
      </c>
      <c r="B23" s="38">
        <f>aantalw2001_niet_gespec</f>
        <v>48</v>
      </c>
      <c r="C23" s="169" t="s">
        <v>110</v>
      </c>
      <c r="D23" s="231"/>
      <c r="E23" s="16"/>
    </row>
    <row r="24" spans="1:7">
      <c r="A24" s="174" t="s">
        <v>76</v>
      </c>
      <c r="B24" s="38">
        <f>aantalw2001_steenkool</f>
        <v>44</v>
      </c>
      <c r="C24" s="169" t="s">
        <v>110</v>
      </c>
      <c r="D24" s="232"/>
      <c r="E24" s="16"/>
    </row>
    <row r="25" spans="1:7">
      <c r="A25" s="174" t="s">
        <v>77</v>
      </c>
      <c r="B25" s="38">
        <f>aantalw2001_stookolie</f>
        <v>1624</v>
      </c>
      <c r="C25" s="169" t="s">
        <v>110</v>
      </c>
      <c r="D25" s="231"/>
      <c r="E25" s="53"/>
    </row>
    <row r="26" spans="1:7">
      <c r="A26" s="174" t="s">
        <v>78</v>
      </c>
      <c r="B26" s="38">
        <f>aantalw2001_WP</f>
        <v>1</v>
      </c>
      <c r="C26" s="169" t="s">
        <v>110</v>
      </c>
      <c r="D26" s="231"/>
      <c r="E26" s="16"/>
    </row>
    <row r="27" spans="1:7" s="16" customFormat="1">
      <c r="A27" s="174"/>
      <c r="B27" s="30"/>
      <c r="C27" s="37"/>
      <c r="D27" s="231"/>
    </row>
    <row r="28" spans="1:7" s="16" customFormat="1">
      <c r="A28" s="233" t="s">
        <v>663</v>
      </c>
      <c r="B28" s="38">
        <f>aantalHuishoudens</f>
        <v>5104</v>
      </c>
      <c r="C28" s="37"/>
      <c r="D28" s="231"/>
    </row>
    <row r="29" spans="1:7" s="16" customFormat="1">
      <c r="A29" s="233" t="s">
        <v>664</v>
      </c>
      <c r="B29" s="38">
        <f>SUM(HH_hh_gas_aantal,HH_rest_gas_aantal)</f>
        <v>3498</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3498</v>
      </c>
      <c r="C32" s="170">
        <f>IF(ISERROR(B32/SUM($B$32,$B$34,$B$35,$B$36,$B$38,$B$39)*100),0,B32/SUM($B$32,$B$34,$B$35,$B$36,$B$38,$B$39)*100)</f>
        <v>68.858267716535437</v>
      </c>
      <c r="D32" s="236"/>
      <c r="G32" s="16"/>
    </row>
    <row r="33" spans="1:7">
      <c r="A33" s="174" t="s">
        <v>71</v>
      </c>
      <c r="B33" s="35" t="s">
        <v>110</v>
      </c>
      <c r="C33" s="170"/>
      <c r="D33" s="236"/>
      <c r="G33" s="16"/>
    </row>
    <row r="34" spans="1:7">
      <c r="A34" s="174" t="s">
        <v>72</v>
      </c>
      <c r="B34" s="34">
        <f>IF((($B$28-$B$32-$B$39-$B$77-$B$38)*C20/100)&lt;0,0,($B$28-$B$32-$B$39-$B$77-$B$38)*C20/100)</f>
        <v>214.36622691292879</v>
      </c>
      <c r="C34" s="170">
        <f>IF(ISERROR(B34/SUM($B$32,$B$34,$B$35,$B$36,$B$38,$B$39)*100),0,B34/SUM($B$32,$B$34,$B$35,$B$36,$B$38,$B$39)*100)</f>
        <v>4.2198076163962357</v>
      </c>
      <c r="D34" s="236"/>
      <c r="G34" s="16"/>
    </row>
    <row r="35" spans="1:7">
      <c r="A35" s="174" t="s">
        <v>73</v>
      </c>
      <c r="B35" s="34">
        <f>IF((($B$28-$B$32-$B$39-$B$77-$B$38)*C21/100)&lt;0,0,($B$28-$B$32-$B$39-$B$77-$B$38)*C21/100)</f>
        <v>461.7118733509235</v>
      </c>
      <c r="C35" s="170">
        <f>IF(ISERROR(B35/SUM($B$32,$B$34,$B$35,$B$36,$B$38,$B$39)*100),0,B35/SUM($B$32,$B$34,$B$35,$B$36,$B$38,$B$39)*100)</f>
        <v>9.0888164045457387</v>
      </c>
      <c r="D35" s="236"/>
      <c r="G35" s="16"/>
    </row>
    <row r="36" spans="1:7">
      <c r="A36" s="174" t="s">
        <v>74</v>
      </c>
      <c r="B36" s="34">
        <f>IF((($B$28-$B$32-$B$39-$B$77-$B$38)*C22/100)&lt;0,0,($B$28-$B$32-$B$39-$B$77-$B$38)*C22/100)</f>
        <v>365.52189973614782</v>
      </c>
      <c r="C36" s="170">
        <f>IF(ISERROR(B36/SUM($B$32,$B$34,$B$35,$B$36,$B$38,$B$39)*100),0,B36/SUM($B$32,$B$34,$B$35,$B$36,$B$38,$B$39)*100)</f>
        <v>7.195312986932044</v>
      </c>
      <c r="D36" s="236"/>
      <c r="G36" s="16"/>
    </row>
    <row r="37" spans="1:7">
      <c r="A37" s="174" t="s">
        <v>75</v>
      </c>
      <c r="B37" s="35" t="s">
        <v>110</v>
      </c>
      <c r="C37" s="170"/>
      <c r="D37" s="176"/>
      <c r="G37" s="16"/>
    </row>
    <row r="38" spans="1:7">
      <c r="A38" s="174" t="s">
        <v>76</v>
      </c>
      <c r="B38" s="34">
        <f>IF((B24-(B29-B18)*0.1)&lt;0,0,B24-(B29-B18)*0.1)</f>
        <v>0</v>
      </c>
      <c r="C38" s="170">
        <f>IF(ISERROR(B38/SUM($B$32,$B$34,$B$35,$B$36,$B$38,$B$39)*100),0,B38/SUM($B$32,$B$34,$B$35,$B$36,$B$38,$B$39)*100)</f>
        <v>0</v>
      </c>
      <c r="D38" s="237"/>
      <c r="G38" s="16"/>
    </row>
    <row r="39" spans="1:7">
      <c r="A39" s="174" t="s">
        <v>77</v>
      </c>
      <c r="B39" s="34">
        <f>IF((B25-(B29-B18))&lt;0,0,B25-(B29-B18)*0.9)</f>
        <v>540.39999999999986</v>
      </c>
      <c r="C39" s="170">
        <f>IF(ISERROR(B39/SUM($B$32,$B$34,$B$35,$B$36,$B$38,$B$39)*100),0,B39/SUM($B$32,$B$34,$B$35,$B$36,$B$38,$B$39)*100)</f>
        <v>10.637795275590548</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3498</v>
      </c>
      <c r="C44" s="35" t="s">
        <v>110</v>
      </c>
      <c r="D44" s="177"/>
    </row>
    <row r="45" spans="1:7">
      <c r="A45" s="174" t="s">
        <v>71</v>
      </c>
      <c r="B45" s="34" t="str">
        <f t="shared" si="0"/>
        <v>-</v>
      </c>
      <c r="C45" s="35" t="s">
        <v>110</v>
      </c>
      <c r="D45" s="177"/>
    </row>
    <row r="46" spans="1:7">
      <c r="A46" s="174" t="s">
        <v>72</v>
      </c>
      <c r="B46" s="34">
        <f t="shared" si="0"/>
        <v>214.36622691292879</v>
      </c>
      <c r="C46" s="35" t="s">
        <v>110</v>
      </c>
      <c r="D46" s="177"/>
    </row>
    <row r="47" spans="1:7">
      <c r="A47" s="174" t="s">
        <v>73</v>
      </c>
      <c r="B47" s="34">
        <f t="shared" si="0"/>
        <v>461.7118733509235</v>
      </c>
      <c r="C47" s="35" t="s">
        <v>110</v>
      </c>
      <c r="D47" s="177"/>
    </row>
    <row r="48" spans="1:7">
      <c r="A48" s="174" t="s">
        <v>74</v>
      </c>
      <c r="B48" s="34">
        <f t="shared" si="0"/>
        <v>365.52189973614782</v>
      </c>
      <c r="C48" s="34">
        <f>B48*10</f>
        <v>3655.2189973614782</v>
      </c>
      <c r="D48" s="237"/>
    </row>
    <row r="49" spans="1:6">
      <c r="A49" s="174" t="s">
        <v>75</v>
      </c>
      <c r="B49" s="34" t="str">
        <f t="shared" si="0"/>
        <v>-</v>
      </c>
      <c r="C49" s="35" t="s">
        <v>110</v>
      </c>
      <c r="D49" s="237"/>
    </row>
    <row r="50" spans="1:6">
      <c r="A50" s="174" t="s">
        <v>76</v>
      </c>
      <c r="B50" s="34">
        <f t="shared" si="0"/>
        <v>0</v>
      </c>
      <c r="C50" s="34">
        <f>B50*2</f>
        <v>0</v>
      </c>
      <c r="D50" s="237"/>
    </row>
    <row r="51" spans="1:6">
      <c r="A51" s="174" t="s">
        <v>77</v>
      </c>
      <c r="B51" s="34">
        <f t="shared" si="0"/>
        <v>540.39999999999986</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91</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24</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38775.552270153086</v>
      </c>
      <c r="C5" s="18">
        <f>IF(ISERROR('Eigen informatie GS &amp; warmtenet'!B58),0,'Eigen informatie GS &amp; warmtenet'!B58)</f>
        <v>0</v>
      </c>
      <c r="D5" s="31">
        <f>SUM(D6:D12)</f>
        <v>13570.941426150323</v>
      </c>
      <c r="E5" s="18">
        <f>SUM(E6:E12)</f>
        <v>356.13898563796863</v>
      </c>
      <c r="F5" s="18">
        <f>SUM(F6:F12)</f>
        <v>8054.9717941520094</v>
      </c>
      <c r="G5" s="19"/>
      <c r="H5" s="18"/>
      <c r="I5" s="18"/>
      <c r="J5" s="18">
        <f>SUM(J6:J12)</f>
        <v>0</v>
      </c>
      <c r="K5" s="18"/>
      <c r="L5" s="18"/>
      <c r="M5" s="18"/>
      <c r="N5" s="18">
        <f>SUM(N6:N12)</f>
        <v>5233.6807078263228</v>
      </c>
      <c r="O5" s="18">
        <f>B38*B39*B40</f>
        <v>3.1266666666666669</v>
      </c>
      <c r="P5" s="18">
        <f>B46*B47*B48/1000-B46*B47*B48/1000/B49</f>
        <v>38.133333333333333</v>
      </c>
      <c r="R5" s="33"/>
    </row>
    <row r="6" spans="1:18">
      <c r="A6" s="33" t="s">
        <v>53</v>
      </c>
      <c r="B6" s="38">
        <f>B26</f>
        <v>3572.2436617080498</v>
      </c>
      <c r="C6" s="34"/>
      <c r="D6" s="38">
        <f>IF(ISERROR(TER_kantoor_gas_kWh/1000),0,TER_kantoor_gas_kWh/1000)*0.902</f>
        <v>4946.622803659805</v>
      </c>
      <c r="E6" s="34">
        <f>$C$26*'E Balans VL '!I12/100/3.6*1000000</f>
        <v>5.8627758563798071</v>
      </c>
      <c r="F6" s="34">
        <f>$C$26*('E Balans VL '!L12+'E Balans VL '!N12)/100/3.6*1000000</f>
        <v>421.08347738633381</v>
      </c>
      <c r="G6" s="35"/>
      <c r="H6" s="34"/>
      <c r="I6" s="34"/>
      <c r="J6" s="34">
        <f>$C$26*('E Balans VL '!D12+'E Balans VL '!E12)/100/3.6*1000000</f>
        <v>0</v>
      </c>
      <c r="K6" s="34"/>
      <c r="L6" s="34"/>
      <c r="M6" s="34"/>
      <c r="N6" s="34">
        <f>$C$26*'E Balans VL '!Y12/100/3.6*1000000</f>
        <v>0.72175491588950769</v>
      </c>
      <c r="O6" s="34"/>
      <c r="P6" s="34"/>
      <c r="R6" s="33"/>
    </row>
    <row r="7" spans="1:18">
      <c r="A7" s="33" t="s">
        <v>52</v>
      </c>
      <c r="B7" s="38">
        <f t="shared" ref="B7:B12" si="0">B27</f>
        <v>1304.8704410625201</v>
      </c>
      <c r="C7" s="34"/>
      <c r="D7" s="38">
        <f>IF(ISERROR(TER_horeca_gas_kWh/1000),0,TER_horeca_gas_kWh/1000)*0.902</f>
        <v>1792.4485338455797</v>
      </c>
      <c r="E7" s="34">
        <f>$C$27*'E Balans VL '!I9/100/3.6*1000000</f>
        <v>67.713333646576757</v>
      </c>
      <c r="F7" s="34">
        <f>$C$27*('E Balans VL '!L9+'E Balans VL '!N9)/100/3.6*1000000</f>
        <v>297.77238146915175</v>
      </c>
      <c r="G7" s="35"/>
      <c r="H7" s="34"/>
      <c r="I7" s="34"/>
      <c r="J7" s="34">
        <f>$C$27*('E Balans VL '!D9+'E Balans VL '!E9)/100/3.6*1000000</f>
        <v>0</v>
      </c>
      <c r="K7" s="34"/>
      <c r="L7" s="34"/>
      <c r="M7" s="34"/>
      <c r="N7" s="34">
        <f>$C$27*'E Balans VL '!Y9/100/3.6*1000000</f>
        <v>0.13779372059323411</v>
      </c>
      <c r="O7" s="34"/>
      <c r="P7" s="34"/>
      <c r="R7" s="33"/>
    </row>
    <row r="8" spans="1:18">
      <c r="A8" s="6" t="s">
        <v>51</v>
      </c>
      <c r="B8" s="38">
        <f t="shared" si="0"/>
        <v>2305.8573588719601</v>
      </c>
      <c r="C8" s="34"/>
      <c r="D8" s="38">
        <f>IF(ISERROR(TER_handel_gas_kWh/1000),0,TER_handel_gas_kWh/1000)*0.902</f>
        <v>1774.042918966504</v>
      </c>
      <c r="E8" s="34">
        <f>$C$28*'E Balans VL '!I13/100/3.6*1000000</f>
        <v>12.417325229734356</v>
      </c>
      <c r="F8" s="34">
        <f>$C$28*('E Balans VL '!L13+'E Balans VL '!N13)/100/3.6*1000000</f>
        <v>470.23283938297158</v>
      </c>
      <c r="G8" s="35"/>
      <c r="H8" s="34"/>
      <c r="I8" s="34"/>
      <c r="J8" s="34">
        <f>$C$28*('E Balans VL '!D13+'E Balans VL '!E13)/100/3.6*1000000</f>
        <v>0</v>
      </c>
      <c r="K8" s="34"/>
      <c r="L8" s="34"/>
      <c r="M8" s="34"/>
      <c r="N8" s="34">
        <f>$C$28*'E Balans VL '!Y13/100/3.6*1000000</f>
        <v>11.465810957286514</v>
      </c>
      <c r="O8" s="34"/>
      <c r="P8" s="34"/>
      <c r="R8" s="33"/>
    </row>
    <row r="9" spans="1:18">
      <c r="A9" s="33" t="s">
        <v>50</v>
      </c>
      <c r="B9" s="38">
        <f t="shared" si="0"/>
        <v>0</v>
      </c>
      <c r="C9" s="34"/>
      <c r="D9" s="38">
        <f>IF(ISERROR(TER_gezond_gas_kWh/1000),0,TER_gezond_gas_kWh/1000)*0.902</f>
        <v>0</v>
      </c>
      <c r="E9" s="34">
        <f>$C$29*'E Balans VL '!I10/100/3.6*1000000</f>
        <v>0</v>
      </c>
      <c r="F9" s="34">
        <f>$C$29*('E Balans VL '!L10+'E Balans VL '!N10)/100/3.6*1000000</f>
        <v>0</v>
      </c>
      <c r="G9" s="35"/>
      <c r="H9" s="34"/>
      <c r="I9" s="34"/>
      <c r="J9" s="34">
        <f>$C$29*('E Balans VL '!D10+'E Balans VL '!E10)/100/3.6*1000000</f>
        <v>0</v>
      </c>
      <c r="K9" s="34"/>
      <c r="L9" s="34"/>
      <c r="M9" s="34"/>
      <c r="N9" s="34">
        <f>$C$29*'E Balans VL '!Y10/100/3.6*1000000</f>
        <v>0</v>
      </c>
      <c r="O9" s="34"/>
      <c r="P9" s="34"/>
      <c r="R9" s="33"/>
    </row>
    <row r="10" spans="1:18">
      <c r="A10" s="33" t="s">
        <v>49</v>
      </c>
      <c r="B10" s="38">
        <f t="shared" si="0"/>
        <v>6150.3523374624101</v>
      </c>
      <c r="C10" s="34"/>
      <c r="D10" s="38">
        <f>IF(ISERROR(TER_ander_gas_kWh/1000),0,TER_ander_gas_kWh/1000)*0.902</f>
        <v>245.39223662040777</v>
      </c>
      <c r="E10" s="34">
        <f>$C$30*'E Balans VL '!I14/100/3.6*1000000</f>
        <v>50.316028959839187</v>
      </c>
      <c r="F10" s="34">
        <f>$C$30*('E Balans VL '!L14+'E Balans VL '!N14)/100/3.6*1000000</f>
        <v>1798.1126322600228</v>
      </c>
      <c r="G10" s="35"/>
      <c r="H10" s="34"/>
      <c r="I10" s="34"/>
      <c r="J10" s="34">
        <f>$C$30*('E Balans VL '!D14+'E Balans VL '!E14)/100/3.6*1000000</f>
        <v>0</v>
      </c>
      <c r="K10" s="34"/>
      <c r="L10" s="34"/>
      <c r="M10" s="34"/>
      <c r="N10" s="34">
        <f>$C$30*'E Balans VL '!Y14/100/3.6*1000000</f>
        <v>3547.946304302603</v>
      </c>
      <c r="O10" s="34"/>
      <c r="P10" s="34"/>
      <c r="R10" s="33"/>
    </row>
    <row r="11" spans="1:18">
      <c r="A11" s="33" t="s">
        <v>54</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259</v>
      </c>
      <c r="B12" s="38">
        <f t="shared" si="0"/>
        <v>25442.228471048151</v>
      </c>
      <c r="C12" s="34"/>
      <c r="D12" s="38">
        <f>IF(ISERROR(TER_rest_gas_kWh/1000),0,TER_rest_gas_kWh/1000)*0.902</f>
        <v>4812.4349330580253</v>
      </c>
      <c r="E12" s="34">
        <f>$C$32*'E Balans VL '!I8/100/3.6*1000000</f>
        <v>219.82952194543853</v>
      </c>
      <c r="F12" s="34">
        <f>$C$32*('E Balans VL '!L8+'E Balans VL '!N8)/100/3.6*1000000</f>
        <v>5067.7704636535291</v>
      </c>
      <c r="G12" s="35"/>
      <c r="H12" s="34"/>
      <c r="I12" s="34"/>
      <c r="J12" s="34">
        <f>$C$32*('E Balans VL '!D8+'E Balans VL '!E8)/100/3.6*1000000</f>
        <v>0</v>
      </c>
      <c r="K12" s="34"/>
      <c r="L12" s="34"/>
      <c r="M12" s="34"/>
      <c r="N12" s="34">
        <f>$C$32*'E Balans VL '!Y8/100/3.6*1000000</f>
        <v>1673.40904392995</v>
      </c>
      <c r="O12" s="34"/>
      <c r="P12" s="34"/>
      <c r="R12" s="33"/>
    </row>
    <row r="13" spans="1:18">
      <c r="A13" s="17" t="s">
        <v>501</v>
      </c>
      <c r="B13" s="250">
        <f ca="1">'lokale energieproductie'!N38+'lokale energieproductie'!N31</f>
        <v>0</v>
      </c>
      <c r="C13" s="250">
        <f ca="1">'lokale energieproductie'!O38+'lokale energieproductie'!O31</f>
        <v>0</v>
      </c>
      <c r="D13" s="310">
        <f ca="1">('lokale energieproductie'!P31+'lokale energieproductie'!P38)*(-1)</f>
        <v>0</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38775.552270153086</v>
      </c>
      <c r="C16" s="22">
        <f t="shared" ca="1" si="1"/>
        <v>0</v>
      </c>
      <c r="D16" s="22">
        <f t="shared" ca="1" si="1"/>
        <v>13570.941426150323</v>
      </c>
      <c r="E16" s="22">
        <f t="shared" si="1"/>
        <v>356.13898563796863</v>
      </c>
      <c r="F16" s="22">
        <f t="shared" ca="1" si="1"/>
        <v>8054.9717941520094</v>
      </c>
      <c r="G16" s="22">
        <f t="shared" si="1"/>
        <v>0</v>
      </c>
      <c r="H16" s="22">
        <f t="shared" si="1"/>
        <v>0</v>
      </c>
      <c r="I16" s="22">
        <f t="shared" si="1"/>
        <v>0</v>
      </c>
      <c r="J16" s="22">
        <f t="shared" si="1"/>
        <v>0</v>
      </c>
      <c r="K16" s="22">
        <f t="shared" si="1"/>
        <v>0</v>
      </c>
      <c r="L16" s="22">
        <f t="shared" ca="1" si="1"/>
        <v>0</v>
      </c>
      <c r="M16" s="22">
        <f t="shared" si="1"/>
        <v>0</v>
      </c>
      <c r="N16" s="22">
        <f t="shared" ca="1" si="1"/>
        <v>5233.6807078263228</v>
      </c>
      <c r="O16" s="22">
        <f>O5</f>
        <v>3.1266666666666669</v>
      </c>
      <c r="P16" s="22">
        <f>P5</f>
        <v>38.133333333333333</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0.1179708588386521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4574.3852032530058</v>
      </c>
      <c r="C20" s="24">
        <f t="shared" ref="C20:P20" ca="1" si="2">C16*C18</f>
        <v>0</v>
      </c>
      <c r="D20" s="24">
        <f t="shared" ca="1" si="2"/>
        <v>2741.3301680823652</v>
      </c>
      <c r="E20" s="24">
        <f t="shared" si="2"/>
        <v>80.843549739818883</v>
      </c>
      <c r="F20" s="24">
        <f t="shared" ca="1" si="2"/>
        <v>2150.6774690385864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3572.2436617080498</v>
      </c>
      <c r="C26" s="40">
        <f>IF(ISERROR(B26*3.6/1000000/'E Balans VL '!Z12*100),0,B26*3.6/1000000/'E Balans VL '!Z12*100)</f>
        <v>7.5907616044470577E-2</v>
      </c>
      <c r="D26" s="240" t="s">
        <v>703</v>
      </c>
      <c r="F26" s="6"/>
    </row>
    <row r="27" spans="1:18">
      <c r="A27" s="234" t="s">
        <v>52</v>
      </c>
      <c r="B27" s="34">
        <f>IF(ISERROR(TER_horeca_ele_kWh/1000),0,TER_horeca_ele_kWh/1000)</f>
        <v>1304.8704410625201</v>
      </c>
      <c r="C27" s="40">
        <f>IF(ISERROR(B27*3.6/1000000/'E Balans VL '!Z9*100),0,B27*3.6/1000000/'E Balans VL '!Z9*100)</f>
        <v>0.10270339423098193</v>
      </c>
      <c r="D27" s="240" t="s">
        <v>703</v>
      </c>
      <c r="F27" s="6"/>
    </row>
    <row r="28" spans="1:18">
      <c r="A28" s="174" t="s">
        <v>51</v>
      </c>
      <c r="B28" s="34">
        <f>IF(ISERROR(TER_handel_ele_kWh/1000),0,TER_handel_ele_kWh/1000)</f>
        <v>2305.8573588719601</v>
      </c>
      <c r="C28" s="40">
        <f>IF(ISERROR(B28*3.6/1000000/'E Balans VL '!Z13*100),0,B28*3.6/1000000/'E Balans VL '!Z13*100)</f>
        <v>6.458829866814228E-2</v>
      </c>
      <c r="D28" s="240" t="s">
        <v>703</v>
      </c>
      <c r="F28" s="6"/>
    </row>
    <row r="29" spans="1:18">
      <c r="A29" s="234" t="s">
        <v>50</v>
      </c>
      <c r="B29" s="34">
        <f>IF(ISERROR(TER_gezond_ele_kWh/1000),0,TER_gezond_ele_kWh/1000)</f>
        <v>0</v>
      </c>
      <c r="C29" s="40">
        <f>IF(ISERROR(B29*3.6/1000000/'E Balans VL '!Z10*100),0,B29*3.6/1000000/'E Balans VL '!Z10*100)</f>
        <v>0</v>
      </c>
      <c r="D29" s="240" t="s">
        <v>703</v>
      </c>
      <c r="F29" s="6"/>
    </row>
    <row r="30" spans="1:18">
      <c r="A30" s="234" t="s">
        <v>49</v>
      </c>
      <c r="B30" s="34">
        <f>IF(ISERROR(TER_ander_ele_kWh/1000),0,TER_ander_ele_kWh/1000)</f>
        <v>6150.3523374624101</v>
      </c>
      <c r="C30" s="40">
        <f>IF(ISERROR(B30*3.6/1000000/'E Balans VL '!Z14*100),0,B30*3.6/1000000/'E Balans VL '!Z14*100)</f>
        <v>0.45999453106808841</v>
      </c>
      <c r="D30" s="240" t="s">
        <v>703</v>
      </c>
      <c r="F30" s="6"/>
    </row>
    <row r="31" spans="1:18">
      <c r="A31" s="234" t="s">
        <v>54</v>
      </c>
      <c r="B31" s="34">
        <f>IF(ISERROR(TER_onderwijs_ele_kWh/1000),0,TER_onderwijs_ele_kWh/1000)</f>
        <v>0</v>
      </c>
      <c r="C31" s="40">
        <f>IF(ISERROR(B31*3.6/1000000/'E Balans VL '!Z11*100),0,B31*3.6/1000000/'E Balans VL '!Z11*100)</f>
        <v>0</v>
      </c>
      <c r="D31" s="240" t="s">
        <v>703</v>
      </c>
    </row>
    <row r="32" spans="1:18">
      <c r="A32" s="234" t="s">
        <v>259</v>
      </c>
      <c r="B32" s="34">
        <f>IF(ISERROR(TER_rest_ele_kWh/1000),0,TER_rest_ele_kWh/1000)</f>
        <v>25442.228471048151</v>
      </c>
      <c r="C32" s="40">
        <f>IF(ISERROR(B32*3.6/1000000/'E Balans VL '!Z8*100),0,B32*3.6/1000000/'E Balans VL '!Z8*100)</f>
        <v>0.20959134973788954</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2</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2</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18459.462642911454</v>
      </c>
      <c r="C5" s="18">
        <f>IF(ISERROR('Eigen informatie GS &amp; warmtenet'!B59),0,'Eigen informatie GS &amp; warmtenet'!B59)</f>
        <v>0</v>
      </c>
      <c r="D5" s="31">
        <f>SUM(D6:D15)</f>
        <v>7798.9225189474109</v>
      </c>
      <c r="E5" s="18">
        <f>SUM(E6:E15)</f>
        <v>180.06854972039599</v>
      </c>
      <c r="F5" s="18">
        <f>SUM(F6:F15)</f>
        <v>6984.5989801447558</v>
      </c>
      <c r="G5" s="19"/>
      <c r="H5" s="18"/>
      <c r="I5" s="18"/>
      <c r="J5" s="18">
        <f>SUM(J6:J15)</f>
        <v>106.70502993190547</v>
      </c>
      <c r="K5" s="18"/>
      <c r="L5" s="18"/>
      <c r="M5" s="18"/>
      <c r="N5" s="18">
        <f>SUM(N6:N15)</f>
        <v>1167.6036780513607</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4863.0621776012904</v>
      </c>
      <c r="C8" s="34"/>
      <c r="D8" s="38">
        <f>IF( ISERROR(IND_metaal_Gas_kWH/1000),0,IND_metaal_Gas_kWH/1000)*0.902</f>
        <v>3188.8070739918662</v>
      </c>
      <c r="E8" s="34">
        <f>C30*'E Balans VL '!I18/100/3.6*1000000</f>
        <v>44.287030867530163</v>
      </c>
      <c r="F8" s="34">
        <f>C30*'E Balans VL '!L18/100/3.6*1000000+C30*'E Balans VL '!N18/100/3.6*1000000</f>
        <v>641.40097049712824</v>
      </c>
      <c r="G8" s="35"/>
      <c r="H8" s="34"/>
      <c r="I8" s="34"/>
      <c r="J8" s="41">
        <f>C30*'E Balans VL '!D18/100/3.6*1000000+C30*'E Balans VL '!E18/100/3.6*1000000</f>
        <v>79.747158800635106</v>
      </c>
      <c r="K8" s="34"/>
      <c r="L8" s="34"/>
      <c r="M8" s="34"/>
      <c r="N8" s="34">
        <f>C30*'E Balans VL '!Y18/100/3.6*1000000</f>
        <v>16.712412857921141</v>
      </c>
      <c r="O8" s="34"/>
      <c r="P8" s="34"/>
      <c r="R8" s="33"/>
    </row>
    <row r="9" spans="1:18">
      <c r="A9" s="6" t="s">
        <v>32</v>
      </c>
      <c r="B9" s="38">
        <f t="shared" si="0"/>
        <v>6332.3013251190905</v>
      </c>
      <c r="C9" s="34"/>
      <c r="D9" s="38">
        <f>IF( ISERROR(IND_andere_gas_kWh/1000),0,IND_andere_gas_kWh/1000)*0.902</f>
        <v>1244.0408031972199</v>
      </c>
      <c r="E9" s="34">
        <f>C31*'E Balans VL '!I19/100/3.6*1000000</f>
        <v>36.601647943351402</v>
      </c>
      <c r="F9" s="34">
        <f>C31*'E Balans VL '!L19/100/3.6*1000000+C31*'E Balans VL '!N19/100/3.6*1000000</f>
        <v>5037.6504024146479</v>
      </c>
      <c r="G9" s="35"/>
      <c r="H9" s="34"/>
      <c r="I9" s="34"/>
      <c r="J9" s="41">
        <f>C31*'E Balans VL '!D19/100/3.6*1000000+C31*'E Balans VL '!E19/100/3.6*1000000</f>
        <v>0.5989653681453635</v>
      </c>
      <c r="K9" s="34"/>
      <c r="L9" s="34"/>
      <c r="M9" s="34"/>
      <c r="N9" s="34">
        <f>C31*'E Balans VL '!Y19/100/3.6*1000000</f>
        <v>479.76765403932671</v>
      </c>
      <c r="O9" s="34"/>
      <c r="P9" s="34"/>
      <c r="R9" s="33"/>
    </row>
    <row r="10" spans="1:18">
      <c r="A10" s="6" t="s">
        <v>40</v>
      </c>
      <c r="B10" s="38">
        <f t="shared" si="0"/>
        <v>369.25479001555101</v>
      </c>
      <c r="C10" s="34"/>
      <c r="D10" s="38">
        <f>IF( ISERROR(IND_voed_gas_kWh/1000),0,IND_voed_gas_kWh/1000)*0.902</f>
        <v>389.62355944836878</v>
      </c>
      <c r="E10" s="34">
        <f>C32*'E Balans VL '!I20/100/3.6*1000000</f>
        <v>3.6307406122572274</v>
      </c>
      <c r="F10" s="34">
        <f>C32*'E Balans VL '!L20/100/3.6*1000000+C32*'E Balans VL '!N20/100/3.6*1000000</f>
        <v>41.010564182690899</v>
      </c>
      <c r="G10" s="35"/>
      <c r="H10" s="34"/>
      <c r="I10" s="34"/>
      <c r="J10" s="41">
        <f>C32*'E Balans VL '!D20/100/3.6*1000000+C32*'E Balans VL '!E20/100/3.6*1000000</f>
        <v>1.4554007590391745E-3</v>
      </c>
      <c r="K10" s="34"/>
      <c r="L10" s="34"/>
      <c r="M10" s="34"/>
      <c r="N10" s="34">
        <f>C32*'E Balans VL '!Y20/100/3.6*1000000</f>
        <v>5.4677948613092751</v>
      </c>
      <c r="O10" s="34"/>
      <c r="P10" s="34"/>
      <c r="R10" s="33"/>
    </row>
    <row r="11" spans="1:18">
      <c r="A11" s="6" t="s">
        <v>39</v>
      </c>
      <c r="B11" s="38">
        <f t="shared" si="0"/>
        <v>62.3929152465345</v>
      </c>
      <c r="C11" s="34"/>
      <c r="D11" s="38">
        <f>IF( ISERROR(IND_textiel_gas_kWh/1000),0,IND_textiel_gas_kWh/1000)*0.902</f>
        <v>0</v>
      </c>
      <c r="E11" s="34">
        <f>C33*'E Balans VL '!I21/100/3.6*1000000</f>
        <v>0.12149349404706704</v>
      </c>
      <c r="F11" s="34">
        <f>C33*'E Balans VL '!L21/100/3.6*1000000+C33*'E Balans VL '!N21/100/3.6*1000000</f>
        <v>2.0579230874056011</v>
      </c>
      <c r="G11" s="35"/>
      <c r="H11" s="34"/>
      <c r="I11" s="34"/>
      <c r="J11" s="41">
        <f>C33*'E Balans VL '!D21/100/3.6*1000000+C33*'E Balans VL '!E21/100/3.6*1000000</f>
        <v>0</v>
      </c>
      <c r="K11" s="34"/>
      <c r="L11" s="34"/>
      <c r="M11" s="34"/>
      <c r="N11" s="34">
        <f>C33*'E Balans VL '!Y21/100/3.6*1000000</f>
        <v>0.64717863553553434</v>
      </c>
      <c r="O11" s="34"/>
      <c r="P11" s="34"/>
      <c r="R11" s="33"/>
    </row>
    <row r="12" spans="1:18">
      <c r="A12" s="6" t="s">
        <v>36</v>
      </c>
      <c r="B12" s="38">
        <f t="shared" si="0"/>
        <v>0</v>
      </c>
      <c r="C12" s="34"/>
      <c r="D12" s="38">
        <f>IF( ISERROR(IND_min_gas_kWh/1000),0,IND_min_gas_kWh/1000)*0.902</f>
        <v>144.93493240314478</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1369.79929576621</v>
      </c>
      <c r="C13" s="34"/>
      <c r="D13" s="38">
        <f>IF( ISERROR(IND_papier_gas_kWh/1000),0,IND_papier_gas_kWh/1000)*0.902</f>
        <v>0</v>
      </c>
      <c r="E13" s="34">
        <f>C35*'E Balans VL '!I23/100/3.6*1000000</f>
        <v>46.657350094370891</v>
      </c>
      <c r="F13" s="34">
        <f>C35*'E Balans VL '!L23/100/3.6*1000000+C35*'E Balans VL '!N23/100/3.6*1000000</f>
        <v>226.25869516312093</v>
      </c>
      <c r="G13" s="35"/>
      <c r="H13" s="34"/>
      <c r="I13" s="34"/>
      <c r="J13" s="41">
        <f>C35*'E Balans VL '!D23/100/3.6*1000000+C35*'E Balans VL '!E23/100/3.6*1000000</f>
        <v>0</v>
      </c>
      <c r="K13" s="34"/>
      <c r="L13" s="34"/>
      <c r="M13" s="34"/>
      <c r="N13" s="34">
        <f>C35*'E Balans VL '!Y23/100/3.6*1000000</f>
        <v>504.049405672565</v>
      </c>
      <c r="O13" s="34"/>
      <c r="P13" s="34"/>
      <c r="R13" s="33"/>
    </row>
    <row r="14" spans="1:18">
      <c r="A14" s="6" t="s">
        <v>33</v>
      </c>
      <c r="B14" s="38">
        <f t="shared" si="0"/>
        <v>221.32110800588703</v>
      </c>
      <c r="C14" s="34"/>
      <c r="D14" s="38">
        <f>IF( ISERROR(IND_chemie_gas_kWh/1000),0,IND_chemie_gas_kWh/1000)*0.902</f>
        <v>0</v>
      </c>
      <c r="E14" s="34">
        <f>C36*'E Balans VL '!I24/100/3.6*1000000</f>
        <v>1.6733059184364072</v>
      </c>
      <c r="F14" s="34">
        <f>C36*'E Balans VL '!L24/100/3.6*1000000+C36*'E Balans VL '!N24/100/3.6*1000000</f>
        <v>4.0950524097518519</v>
      </c>
      <c r="G14" s="35"/>
      <c r="H14" s="34"/>
      <c r="I14" s="34"/>
      <c r="J14" s="41">
        <f>C36*'E Balans VL '!D24/100/3.6*1000000+C36*'E Balans VL '!E24/100/3.6*1000000</f>
        <v>0</v>
      </c>
      <c r="K14" s="34"/>
      <c r="L14" s="34"/>
      <c r="M14" s="34"/>
      <c r="N14" s="34">
        <f>C36*'E Balans VL '!Y24/100/3.6*1000000</f>
        <v>6.4177414304970606E-2</v>
      </c>
      <c r="O14" s="34"/>
      <c r="P14" s="34"/>
      <c r="R14" s="33"/>
    </row>
    <row r="15" spans="1:18">
      <c r="A15" s="6" t="s">
        <v>269</v>
      </c>
      <c r="B15" s="38">
        <f t="shared" si="0"/>
        <v>5241.3310311568903</v>
      </c>
      <c r="C15" s="34"/>
      <c r="D15" s="38">
        <f>IF( ISERROR(IND_rest_gas_kWh/1000),0,IND_rest_gas_kWh/1000)*0.902</f>
        <v>2831.5161499068117</v>
      </c>
      <c r="E15" s="34">
        <f>C37*'E Balans VL '!I15/100/3.6*1000000</f>
        <v>47.09698079040281</v>
      </c>
      <c r="F15" s="34">
        <f>C37*'E Balans VL '!L15/100/3.6*1000000+C37*'E Balans VL '!N15/100/3.6*1000000</f>
        <v>1032.1253723900102</v>
      </c>
      <c r="G15" s="35"/>
      <c r="H15" s="34"/>
      <c r="I15" s="34"/>
      <c r="J15" s="41">
        <f>C37*'E Balans VL '!D15/100/3.6*1000000+C37*'E Balans VL '!E15/100/3.6*1000000</f>
        <v>26.35745036236597</v>
      </c>
      <c r="K15" s="34"/>
      <c r="L15" s="34"/>
      <c r="M15" s="34"/>
      <c r="N15" s="34">
        <f>C37*'E Balans VL '!Y15/100/3.6*1000000</f>
        <v>160.89505457039817</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18459.462642911454</v>
      </c>
      <c r="C18" s="22">
        <f>C5+C16</f>
        <v>0</v>
      </c>
      <c r="D18" s="22">
        <f>MAX((D5+D16),0)</f>
        <v>7798.9225189474109</v>
      </c>
      <c r="E18" s="22">
        <f>MAX((E5+E16),0)</f>
        <v>180.06854972039599</v>
      </c>
      <c r="F18" s="22">
        <f>MAX((F5+F16),0)</f>
        <v>6984.5989801447558</v>
      </c>
      <c r="G18" s="22"/>
      <c r="H18" s="22"/>
      <c r="I18" s="22"/>
      <c r="J18" s="22">
        <f>MAX((J5+J16),0)</f>
        <v>106.70502993190547</v>
      </c>
      <c r="K18" s="22"/>
      <c r="L18" s="22">
        <f>MAX((L5+L16),0)</f>
        <v>0</v>
      </c>
      <c r="M18" s="22"/>
      <c r="N18" s="22">
        <f>MAX((N5+N16),0)</f>
        <v>1167.6036780513607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0.1179708588386521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2177.6786616842792</v>
      </c>
      <c r="C22" s="24">
        <f ca="1">C18*C20</f>
        <v>0</v>
      </c>
      <c r="D22" s="24">
        <f>D18*D20</f>
        <v>1575.3823488273772</v>
      </c>
      <c r="E22" s="24">
        <f>E18*E20</f>
        <v>40.875560786529888</v>
      </c>
      <c r="F22" s="24">
        <f>F18*F20</f>
        <v>1864.8879276986499</v>
      </c>
      <c r="G22" s="24"/>
      <c r="H22" s="24"/>
      <c r="I22" s="24"/>
      <c r="J22" s="24">
        <f>J18*J20</f>
        <v>37.773580595894536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4863.0621776012904</v>
      </c>
      <c r="C30" s="40">
        <f>IF(ISERROR(B30*3.6/1000000/'E Balans VL '!Z18*100),0,B30*3.6/1000000/'E Balans VL '!Z18*100)</f>
        <v>0.27059689116573488</v>
      </c>
      <c r="D30" s="240" t="s">
        <v>703</v>
      </c>
    </row>
    <row r="31" spans="1:18">
      <c r="A31" s="6" t="s">
        <v>32</v>
      </c>
      <c r="B31" s="38">
        <f>IF( ISERROR(IND_ander_ele_kWh/1000),0,IND_ander_ele_kWh/1000)</f>
        <v>6332.3013251190905</v>
      </c>
      <c r="C31" s="40">
        <f>IF(ISERROR(B31*3.6/1000000/'E Balans VL '!Z19*100),0,B31*3.6/1000000/'E Balans VL '!Z19*100)</f>
        <v>0.29437205806461553</v>
      </c>
      <c r="D31" s="240" t="s">
        <v>703</v>
      </c>
    </row>
    <row r="32" spans="1:18">
      <c r="A32" s="174" t="s">
        <v>40</v>
      </c>
      <c r="B32" s="38">
        <f>IF( ISERROR(IND_voed_ele_kWh/1000),0,IND_voed_ele_kWh/1000)</f>
        <v>369.25479001555101</v>
      </c>
      <c r="C32" s="40">
        <f>IF(ISERROR(B32*3.6/1000000/'E Balans VL '!Z20*100),0,B32*3.6/1000000/'E Balans VL '!Z20*100)</f>
        <v>1.3052411085418806E-2</v>
      </c>
      <c r="D32" s="240" t="s">
        <v>703</v>
      </c>
    </row>
    <row r="33" spans="1:5">
      <c r="A33" s="174" t="s">
        <v>39</v>
      </c>
      <c r="B33" s="38">
        <f>IF( ISERROR(IND_textiel_ele_kWh/1000),0,IND_textiel_ele_kWh/1000)</f>
        <v>62.3929152465345</v>
      </c>
      <c r="C33" s="40">
        <f>IF(ISERROR(B33*3.6/1000000/'E Balans VL '!Z21*100),0,B33*3.6/1000000/'E Balans VL '!Z21*100)</f>
        <v>8.4271099501860014E-3</v>
      </c>
      <c r="D33" s="240" t="s">
        <v>703</v>
      </c>
    </row>
    <row r="34" spans="1:5">
      <c r="A34" s="174" t="s">
        <v>36</v>
      </c>
      <c r="B34" s="38">
        <f>IF( ISERROR(IND_min_ele_kWh/1000),0,IND_min_ele_kWh/1000)</f>
        <v>0</v>
      </c>
      <c r="C34" s="40">
        <f>IF(ISERROR(B34*3.6/1000000/'E Balans VL '!Z22*100),0,B34*3.6/1000000/'E Balans VL '!Z22*100)</f>
        <v>0</v>
      </c>
      <c r="D34" s="240" t="s">
        <v>703</v>
      </c>
    </row>
    <row r="35" spans="1:5">
      <c r="A35" s="174" t="s">
        <v>38</v>
      </c>
      <c r="B35" s="38">
        <f>IF( ISERROR(IND_papier_ele_kWh/1000),0,IND_papier_ele_kWh/1000)</f>
        <v>1369.79929576621</v>
      </c>
      <c r="C35" s="40">
        <f>IF(ISERROR(B35*3.6/1000000/'E Balans VL '!Z22*100),0,B35*3.6/1000000/'E Balans VL '!Z22*100)</f>
        <v>0.27529103141384725</v>
      </c>
      <c r="D35" s="240" t="s">
        <v>703</v>
      </c>
    </row>
    <row r="36" spans="1:5">
      <c r="A36" s="174" t="s">
        <v>33</v>
      </c>
      <c r="B36" s="38">
        <f>IF( ISERROR(IND_chemie_ele_kWh/1000),0,IND_chemie_ele_kWh/1000)</f>
        <v>221.32110800588703</v>
      </c>
      <c r="C36" s="40">
        <f>IF(ISERROR(B36*3.6/1000000/'E Balans VL '!Z24*100),0,B36*3.6/1000000/'E Balans VL '!Z24*100)</f>
        <v>5.4500818247680757E-3</v>
      </c>
      <c r="D36" s="240" t="s">
        <v>703</v>
      </c>
    </row>
    <row r="37" spans="1:5">
      <c r="A37" s="174" t="s">
        <v>269</v>
      </c>
      <c r="B37" s="38">
        <f>IF( ISERROR(IND_rest_ele_kWh/1000),0,IND_rest_ele_kWh/1000)</f>
        <v>5241.3310311568903</v>
      </c>
      <c r="C37" s="40">
        <f>IF(ISERROR(B37*3.6/1000000/'E Balans VL '!Z15*100),0,B37*3.6/1000000/'E Balans VL '!Z15*100)</f>
        <v>3.957979190196708E-2</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5194.1895400574431</v>
      </c>
      <c r="C5" s="18">
        <f>'Eigen informatie GS &amp; warmtenet'!B60</f>
        <v>0</v>
      </c>
      <c r="D5" s="31">
        <f>IF(ISERROR(SUM(LB_lb_gas_kWh,LB_rest_gas_kWh)/1000),0,SUM(LB_lb_gas_kWh,LB_rest_gas_kWh)/1000)*0.902</f>
        <v>1646.4957734305181</v>
      </c>
      <c r="E5" s="18">
        <f>B17*'E Balans VL '!I25/3.6*1000000/100</f>
        <v>48.932745688494975</v>
      </c>
      <c r="F5" s="18">
        <f>B17*('E Balans VL '!L25/3.6*1000000+'E Balans VL '!N25/3.6*1000000)/100</f>
        <v>16950.36426932603</v>
      </c>
      <c r="G5" s="19"/>
      <c r="H5" s="18"/>
      <c r="I5" s="18"/>
      <c r="J5" s="18">
        <f>('E Balans VL '!D25+'E Balans VL '!E25)/3.6*1000000*landbouw!B17/100</f>
        <v>642.54651063817539</v>
      </c>
      <c r="K5" s="18"/>
      <c r="L5" s="18">
        <f>L6*(-1)</f>
        <v>0</v>
      </c>
      <c r="M5" s="18"/>
      <c r="N5" s="18">
        <f>N6*(-1)</f>
        <v>31013.571428571428</v>
      </c>
      <c r="O5" s="18"/>
      <c r="P5" s="18"/>
      <c r="R5" s="33"/>
    </row>
    <row r="6" spans="1:18">
      <c r="A6" s="17" t="s">
        <v>501</v>
      </c>
      <c r="B6" s="18" t="s">
        <v>210</v>
      </c>
      <c r="C6" s="18">
        <f>'lokale energieproductie'!O39+'lokale energieproductie'!O32</f>
        <v>14232.857142857143</v>
      </c>
      <c r="D6" s="310">
        <f>('lokale energieproductie'!P32+'lokale energieproductie'!P39)*(-1)</f>
        <v>0</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-31013.571428571428</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5194.1895400574431</v>
      </c>
      <c r="C8" s="22">
        <f>C5+C6</f>
        <v>14232.857142857143</v>
      </c>
      <c r="D8" s="22">
        <f>MAX((D5+D6),0)</f>
        <v>1646.4957734305181</v>
      </c>
      <c r="E8" s="22">
        <f>MAX((E5+E6),0)</f>
        <v>48.932745688494975</v>
      </c>
      <c r="F8" s="22">
        <f>MAX((F5+F6),0)</f>
        <v>16950.36426932603</v>
      </c>
      <c r="G8" s="22"/>
      <c r="H8" s="22"/>
      <c r="I8" s="22"/>
      <c r="J8" s="22">
        <f>MAX((J5+J6),0)</f>
        <v>642.54651063817539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0.1179708588386521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612.76300101131994</v>
      </c>
      <c r="C12" s="24">
        <f ca="1">C8*C10</f>
        <v>0</v>
      </c>
      <c r="D12" s="24">
        <f>D8*D10</f>
        <v>332.59214623296469</v>
      </c>
      <c r="E12" s="24">
        <f>E8*E10</f>
        <v>11.10773327128836</v>
      </c>
      <c r="F12" s="24">
        <f>F8*F10</f>
        <v>4525.7472599100502</v>
      </c>
      <c r="G12" s="24"/>
      <c r="H12" s="24"/>
      <c r="I12" s="24"/>
      <c r="J12" s="24">
        <f>J8*J10</f>
        <v>227.46146476591409</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0.7032102632282019</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351.31098958910877</v>
      </c>
      <c r="C26" s="250">
        <f>B26*'GWP N2O_CH4'!B5</f>
        <v>7377.5307813712843</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254.99765855097664</v>
      </c>
      <c r="C27" s="250">
        <f>B27*'GWP N2O_CH4'!B5</f>
        <v>5354.9508295705091</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8.3480155482375498</v>
      </c>
      <c r="C28" s="250">
        <f>B28*'GWP N2O_CH4'!B4</f>
        <v>2587.8848199536405</v>
      </c>
      <c r="D28" s="51"/>
    </row>
    <row r="29" spans="1:4">
      <c r="A29" s="42" t="s">
        <v>276</v>
      </c>
      <c r="B29" s="250">
        <f>B34*'ha_N2O bodem landbouw'!B4</f>
        <v>13.551251446623128</v>
      </c>
      <c r="C29" s="250">
        <f>B29*'GWP N2O_CH4'!B4</f>
        <v>4200.8879484531699</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3.6584112935767114E-3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5.9908034308988598E-6</v>
      </c>
      <c r="C5" s="443" t="s">
        <v>210</v>
      </c>
      <c r="D5" s="428">
        <f>SUM(D6:D11)</f>
        <v>1.3396460928071171E-5</v>
      </c>
      <c r="E5" s="428">
        <f>SUM(E6:E11)</f>
        <v>9.3366546753213299E-4</v>
      </c>
      <c r="F5" s="441" t="s">
        <v>210</v>
      </c>
      <c r="G5" s="428">
        <f>SUM(G6:G11)</f>
        <v>0.27408105985341097</v>
      </c>
      <c r="H5" s="428">
        <f>SUM(H6:H11)</f>
        <v>3.4871451593324783E-2</v>
      </c>
      <c r="I5" s="443" t="s">
        <v>210</v>
      </c>
      <c r="J5" s="443" t="s">
        <v>210</v>
      </c>
      <c r="K5" s="443" t="s">
        <v>210</v>
      </c>
      <c r="L5" s="443" t="s">
        <v>210</v>
      </c>
      <c r="M5" s="428">
        <f>SUM(M6:M11)</f>
        <v>1.3792708929233601E-2</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2.5570409014158397E-6</v>
      </c>
      <c r="C6" s="429"/>
      <c r="D6" s="429">
        <f>vkm_GW_PW*SUMIFS(TableVerdeelsleutelVkm[CNG],TableVerdeelsleutelVkm[Voertuigtype],"Lichte voertuigen")*SUMIFS(TableECFTransport[EnergieConsumptieFactor (PJ per km)],TableECFTransport[Index],CONCATENATE($A6,"_CNG_CNG"))</f>
        <v>5.1735656387811592E-6</v>
      </c>
      <c r="E6" s="431">
        <f>vkm_GW_PW*SUMIFS(TableVerdeelsleutelVkm[LPG],TableVerdeelsleutelVkm[Voertuigtype],"Lichte voertuigen")*SUMIFS(TableECFTransport[EnergieConsumptieFactor (PJ per km)],TableECFTransport[Index],CONCATENATE($A6,"_LPG_LPG"))</f>
        <v>3.340020500130432E-4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5.333372117828776E-2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1.3364478507537648E-2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2.9852885877029297E-3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1.5884871450158322E-2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4.3447795804456819E-7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7.0682533715637011E-4</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9.3144361425534996E-7</v>
      </c>
      <c r="C8" s="429"/>
      <c r="D8" s="431">
        <f>vkm_NGW_PW*SUMIFS(TableVerdeelsleutelVkm[CNG],TableVerdeelsleutelVkm[Voertuigtype],"Lichte voertuigen")*SUMIFS(TableECFTransport[EnergieConsumptieFactor (PJ per km)],TableECFTransport[Index],CONCATENATE($A8,"_CNG_CNG"))</f>
        <v>3.198623028916581E-6</v>
      </c>
      <c r="E8" s="431">
        <f>vkm_NGW_PW*SUMIFS(TableVerdeelsleutelVkm[LPG],TableVerdeelsleutelVkm[Voertuigtype],"Lichte voertuigen")*SUMIFS(TableECFTransport[EnergieConsumptieFactor (PJ per km)],TableECFTransport[Index],CONCATENATE($A8,"_LPG_LPG"))</f>
        <v>1.9437630183266272E-4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2.9547679628086458E-2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7.8852417091726263E-3</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1.675932913800653E-3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5.7889683364503617E-3</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1.8387691660694372E-7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2.5759151352517431E-4</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2.50231891522767E-6</v>
      </c>
      <c r="C10" s="429"/>
      <c r="D10" s="431">
        <f>vkm_SW_PW*SUMIFS(TableVerdeelsleutelVkm[CNG],TableVerdeelsleutelVkm[Voertuigtype],"Lichte voertuigen")*SUMIFS(TableECFTransport[EnergieConsumptieFactor (PJ per km)],TableECFTransport[Index],CONCATENATE($A10,"_CNG_CNG"))</f>
        <v>5.0242722603734306E-6</v>
      </c>
      <c r="E10" s="431">
        <f>vkm_SW_PW*SUMIFS(TableVerdeelsleutelVkm[LPG],TableVerdeelsleutelVkm[Voertuigtype],"Lichte voertuigen")*SUMIFS(TableECFTransport[EnergieConsumptieFactor (PJ per km)],TableECFTransport[Index],CONCATENATE($A10,"_LPG_LPG"))</f>
        <v>4.0528711568642702E-4</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5.9159321922643032E-2</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1.3617821311376E-2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3.2561063568260682E-3</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0.11036649733778503</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3.2917103638578752E-6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4.9109642202224057E-3</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1.6641120641385723</v>
      </c>
      <c r="C14" s="22"/>
      <c r="D14" s="22">
        <f t="shared" ref="D14:M14" si="0">((D5)*10^9/3600)+D12</f>
        <v>3.7212391466864365</v>
      </c>
      <c r="E14" s="22">
        <f t="shared" si="0"/>
        <v>259.35151875892581</v>
      </c>
      <c r="F14" s="22"/>
      <c r="G14" s="22">
        <f t="shared" si="0"/>
        <v>76133.627737058603</v>
      </c>
      <c r="H14" s="22">
        <f t="shared" si="0"/>
        <v>9686.5143314791057</v>
      </c>
      <c r="I14" s="22"/>
      <c r="J14" s="22"/>
      <c r="K14" s="22"/>
      <c r="L14" s="22"/>
      <c r="M14" s="22">
        <f t="shared" si="0"/>
        <v>3831.3080358982224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0.1179708588386521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0.19631672941018949</v>
      </c>
      <c r="C18" s="24"/>
      <c r="D18" s="24">
        <f t="shared" ref="D18:M18" si="1">D14*D16</f>
        <v>0.75169030763066025</v>
      </c>
      <c r="E18" s="24">
        <f t="shared" si="1"/>
        <v>58.872794758276157</v>
      </c>
      <c r="F18" s="24"/>
      <c r="G18" s="24">
        <f t="shared" si="1"/>
        <v>20327.678605794648</v>
      </c>
      <c r="H18" s="24">
        <f t="shared" si="1"/>
        <v>2411.9420685382975</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2.8810682195933705E-3</v>
      </c>
      <c r="H50" s="321">
        <f t="shared" si="2"/>
        <v>0</v>
      </c>
      <c r="I50" s="321">
        <f t="shared" si="2"/>
        <v>0</v>
      </c>
      <c r="J50" s="321">
        <f t="shared" si="2"/>
        <v>0</v>
      </c>
      <c r="K50" s="321">
        <f t="shared" si="2"/>
        <v>0</v>
      </c>
      <c r="L50" s="321">
        <f t="shared" si="2"/>
        <v>0</v>
      </c>
      <c r="M50" s="321">
        <f t="shared" si="2"/>
        <v>1.2641023316979568E-4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2.8810682195933705E-3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1.2641023316979568E-4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800.29672766482508</v>
      </c>
      <c r="H54" s="22">
        <f t="shared" si="3"/>
        <v>0</v>
      </c>
      <c r="I54" s="22">
        <f t="shared" si="3"/>
        <v>0</v>
      </c>
      <c r="J54" s="22">
        <f t="shared" si="3"/>
        <v>0</v>
      </c>
      <c r="K54" s="22">
        <f t="shared" si="3"/>
        <v>0</v>
      </c>
      <c r="L54" s="22">
        <f t="shared" si="3"/>
        <v>0</v>
      </c>
      <c r="M54" s="22">
        <f t="shared" si="3"/>
        <v>35.113953658276579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0.1179708588386521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213.67922628650831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39567.924270153089</v>
      </c>
      <c r="D10" s="684">
        <f ca="1">tertiair!C16</f>
        <v>0</v>
      </c>
      <c r="E10" s="684">
        <f ca="1">tertiair!D16</f>
        <v>13570.941426150323</v>
      </c>
      <c r="F10" s="684">
        <f>tertiair!E16</f>
        <v>356.13898563796863</v>
      </c>
      <c r="G10" s="684">
        <f ca="1">tertiair!F16</f>
        <v>8054.9717941520094</v>
      </c>
      <c r="H10" s="684">
        <f>tertiair!G16</f>
        <v>0</v>
      </c>
      <c r="I10" s="684">
        <f>tertiair!H16</f>
        <v>0</v>
      </c>
      <c r="J10" s="684">
        <f>tertiair!I16</f>
        <v>0</v>
      </c>
      <c r="K10" s="684">
        <f>tertiair!J16</f>
        <v>0</v>
      </c>
      <c r="L10" s="684">
        <f>tertiair!K16</f>
        <v>0</v>
      </c>
      <c r="M10" s="684">
        <f ca="1">tertiair!L16</f>
        <v>0</v>
      </c>
      <c r="N10" s="684">
        <f>tertiair!M16</f>
        <v>0</v>
      </c>
      <c r="O10" s="684">
        <f ca="1">tertiair!N16</f>
        <v>5233.6807078263228</v>
      </c>
      <c r="P10" s="684">
        <f>tertiair!O16</f>
        <v>3.1266666666666669</v>
      </c>
      <c r="Q10" s="685">
        <f>tertiair!P16</f>
        <v>38.133333333333333</v>
      </c>
      <c r="R10" s="687">
        <f ca="1">SUM(C10:Q10)</f>
        <v>66824.917183919708</v>
      </c>
      <c r="S10" s="68"/>
    </row>
    <row r="11" spans="1:19" s="453" customFormat="1">
      <c r="A11" s="799" t="s">
        <v>224</v>
      </c>
      <c r="B11" s="804"/>
      <c r="C11" s="684">
        <f>huishoudens!B8</f>
        <v>22265.608686445692</v>
      </c>
      <c r="D11" s="684">
        <f>huishoudens!C8</f>
        <v>0</v>
      </c>
      <c r="E11" s="684">
        <f>huishoudens!D8</f>
        <v>64860.423783341255</v>
      </c>
      <c r="F11" s="684">
        <f>huishoudens!E8</f>
        <v>4536.9253614459758</v>
      </c>
      <c r="G11" s="684">
        <f>huishoudens!F8</f>
        <v>11388.250215770409</v>
      </c>
      <c r="H11" s="684">
        <f>huishoudens!G8</f>
        <v>0</v>
      </c>
      <c r="I11" s="684">
        <f>huishoudens!H8</f>
        <v>0</v>
      </c>
      <c r="J11" s="684">
        <f>huishoudens!I8</f>
        <v>0</v>
      </c>
      <c r="K11" s="684">
        <f>huishoudens!J8</f>
        <v>0</v>
      </c>
      <c r="L11" s="684">
        <f>huishoudens!K8</f>
        <v>0</v>
      </c>
      <c r="M11" s="684">
        <f>huishoudens!L8</f>
        <v>0</v>
      </c>
      <c r="N11" s="684">
        <f>huishoudens!M8</f>
        <v>0</v>
      </c>
      <c r="O11" s="684">
        <f>huishoudens!N8</f>
        <v>26291.063525542791</v>
      </c>
      <c r="P11" s="684">
        <f>huishoudens!O8</f>
        <v>142.26333333333332</v>
      </c>
      <c r="Q11" s="685">
        <f>huishoudens!P8</f>
        <v>457.6</v>
      </c>
      <c r="R11" s="687">
        <f>SUM(C11:Q11)</f>
        <v>129942.13490587947</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18459.462642911454</v>
      </c>
      <c r="D13" s="684">
        <f>industrie!C18</f>
        <v>0</v>
      </c>
      <c r="E13" s="684">
        <f>industrie!D18</f>
        <v>7798.9225189474109</v>
      </c>
      <c r="F13" s="684">
        <f>industrie!E18</f>
        <v>180.06854972039599</v>
      </c>
      <c r="G13" s="684">
        <f>industrie!F18</f>
        <v>6984.5989801447558</v>
      </c>
      <c r="H13" s="684">
        <f>industrie!G18</f>
        <v>0</v>
      </c>
      <c r="I13" s="684">
        <f>industrie!H18</f>
        <v>0</v>
      </c>
      <c r="J13" s="684">
        <f>industrie!I18</f>
        <v>0</v>
      </c>
      <c r="K13" s="684">
        <f>industrie!J18</f>
        <v>106.70502993190547</v>
      </c>
      <c r="L13" s="684">
        <f>industrie!K18</f>
        <v>0</v>
      </c>
      <c r="M13" s="684">
        <f>industrie!L18</f>
        <v>0</v>
      </c>
      <c r="N13" s="684">
        <f>industrie!M18</f>
        <v>0</v>
      </c>
      <c r="O13" s="684">
        <f>industrie!N18</f>
        <v>1167.6036780513607</v>
      </c>
      <c r="P13" s="684">
        <f>industrie!O18</f>
        <v>0</v>
      </c>
      <c r="Q13" s="685">
        <f>industrie!P18</f>
        <v>0</v>
      </c>
      <c r="R13" s="687">
        <f>SUM(C13:Q13)</f>
        <v>34697.36139970729</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80292.995599510235</v>
      </c>
      <c r="D16" s="717">
        <f t="shared" ref="D16:R16" ca="1" si="0">SUM(D9:D15)</f>
        <v>0</v>
      </c>
      <c r="E16" s="717">
        <f t="shared" ca="1" si="0"/>
        <v>86230.287728438983</v>
      </c>
      <c r="F16" s="717">
        <f t="shared" si="0"/>
        <v>5073.1328968043399</v>
      </c>
      <c r="G16" s="717">
        <f t="shared" ca="1" si="0"/>
        <v>26427.820990067172</v>
      </c>
      <c r="H16" s="717">
        <f t="shared" si="0"/>
        <v>0</v>
      </c>
      <c r="I16" s="717">
        <f t="shared" si="0"/>
        <v>0</v>
      </c>
      <c r="J16" s="717">
        <f t="shared" si="0"/>
        <v>0</v>
      </c>
      <c r="K16" s="717">
        <f t="shared" si="0"/>
        <v>106.70502993190547</v>
      </c>
      <c r="L16" s="717">
        <f t="shared" si="0"/>
        <v>0</v>
      </c>
      <c r="M16" s="717">
        <f t="shared" ca="1" si="0"/>
        <v>0</v>
      </c>
      <c r="N16" s="717">
        <f t="shared" si="0"/>
        <v>0</v>
      </c>
      <c r="O16" s="717">
        <f t="shared" ca="1" si="0"/>
        <v>32692.347911420475</v>
      </c>
      <c r="P16" s="717">
        <f t="shared" si="0"/>
        <v>145.38999999999999</v>
      </c>
      <c r="Q16" s="717">
        <f t="shared" si="0"/>
        <v>495.73333333333335</v>
      </c>
      <c r="R16" s="717">
        <f t="shared" ca="1" si="0"/>
        <v>231464.41348950649</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800.29672766482508</v>
      </c>
      <c r="I19" s="684">
        <f>transport!H54</f>
        <v>0</v>
      </c>
      <c r="J19" s="684">
        <f>transport!I54</f>
        <v>0</v>
      </c>
      <c r="K19" s="684">
        <f>transport!J54</f>
        <v>0</v>
      </c>
      <c r="L19" s="684">
        <f>transport!K54</f>
        <v>0</v>
      </c>
      <c r="M19" s="684">
        <f>transport!L54</f>
        <v>0</v>
      </c>
      <c r="N19" s="684">
        <f>transport!M54</f>
        <v>35.113953658276579</v>
      </c>
      <c r="O19" s="684">
        <f>transport!N54</f>
        <v>0</v>
      </c>
      <c r="P19" s="684">
        <f>transport!O54</f>
        <v>0</v>
      </c>
      <c r="Q19" s="685">
        <f>transport!P54</f>
        <v>0</v>
      </c>
      <c r="R19" s="687">
        <f>SUM(C19:Q19)</f>
        <v>835.4106813231017</v>
      </c>
      <c r="S19" s="68"/>
    </row>
    <row r="20" spans="1:19" s="453" customFormat="1">
      <c r="A20" s="799" t="s">
        <v>306</v>
      </c>
      <c r="B20" s="804"/>
      <c r="C20" s="684">
        <f>transport!B14</f>
        <v>1.6641120641385723</v>
      </c>
      <c r="D20" s="684">
        <f>transport!C14</f>
        <v>0</v>
      </c>
      <c r="E20" s="684">
        <f>transport!D14</f>
        <v>3.7212391466864365</v>
      </c>
      <c r="F20" s="684">
        <f>transport!E14</f>
        <v>259.35151875892581</v>
      </c>
      <c r="G20" s="684">
        <f>transport!F14</f>
        <v>0</v>
      </c>
      <c r="H20" s="684">
        <f>transport!G14</f>
        <v>76133.627737058603</v>
      </c>
      <c r="I20" s="684">
        <f>transport!H14</f>
        <v>9686.5143314791057</v>
      </c>
      <c r="J20" s="684">
        <f>transport!I14</f>
        <v>0</v>
      </c>
      <c r="K20" s="684">
        <f>transport!J14</f>
        <v>0</v>
      </c>
      <c r="L20" s="684">
        <f>transport!K14</f>
        <v>0</v>
      </c>
      <c r="M20" s="684">
        <f>transport!L14</f>
        <v>0</v>
      </c>
      <c r="N20" s="684">
        <f>transport!M14</f>
        <v>3831.3080358982224</v>
      </c>
      <c r="O20" s="684">
        <f>transport!N14</f>
        <v>0</v>
      </c>
      <c r="P20" s="684">
        <f>transport!O14</f>
        <v>0</v>
      </c>
      <c r="Q20" s="685">
        <f>transport!P14</f>
        <v>0</v>
      </c>
      <c r="R20" s="687">
        <f>SUM(C20:Q20)</f>
        <v>89916.186974405689</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1.6641120641385723</v>
      </c>
      <c r="D22" s="802">
        <f t="shared" ref="D22:R22" si="1">SUM(D18:D21)</f>
        <v>0</v>
      </c>
      <c r="E22" s="802">
        <f t="shared" si="1"/>
        <v>3.7212391466864365</v>
      </c>
      <c r="F22" s="802">
        <f t="shared" si="1"/>
        <v>259.35151875892581</v>
      </c>
      <c r="G22" s="802">
        <f t="shared" si="1"/>
        <v>0</v>
      </c>
      <c r="H22" s="802">
        <f t="shared" si="1"/>
        <v>76933.92446472343</v>
      </c>
      <c r="I22" s="802">
        <f t="shared" si="1"/>
        <v>9686.5143314791057</v>
      </c>
      <c r="J22" s="802">
        <f t="shared" si="1"/>
        <v>0</v>
      </c>
      <c r="K22" s="802">
        <f t="shared" si="1"/>
        <v>0</v>
      </c>
      <c r="L22" s="802">
        <f t="shared" si="1"/>
        <v>0</v>
      </c>
      <c r="M22" s="802">
        <f t="shared" si="1"/>
        <v>0</v>
      </c>
      <c r="N22" s="802">
        <f t="shared" si="1"/>
        <v>3866.4219895564988</v>
      </c>
      <c r="O22" s="802">
        <f t="shared" si="1"/>
        <v>0</v>
      </c>
      <c r="P22" s="802">
        <f t="shared" si="1"/>
        <v>0</v>
      </c>
      <c r="Q22" s="802">
        <f t="shared" si="1"/>
        <v>0</v>
      </c>
      <c r="R22" s="802">
        <f t="shared" si="1"/>
        <v>90751.597655728794</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5194.1895400574431</v>
      </c>
      <c r="D24" s="684">
        <f>+landbouw!C8</f>
        <v>14232.857142857143</v>
      </c>
      <c r="E24" s="684">
        <f>+landbouw!D8</f>
        <v>1646.4957734305181</v>
      </c>
      <c r="F24" s="684">
        <f>+landbouw!E8</f>
        <v>48.932745688494975</v>
      </c>
      <c r="G24" s="684">
        <f>+landbouw!F8</f>
        <v>16950.36426932603</v>
      </c>
      <c r="H24" s="684">
        <f>+landbouw!G8</f>
        <v>0</v>
      </c>
      <c r="I24" s="684">
        <f>+landbouw!H8</f>
        <v>0</v>
      </c>
      <c r="J24" s="684">
        <f>+landbouw!I8</f>
        <v>0</v>
      </c>
      <c r="K24" s="684">
        <f>+landbouw!J8</f>
        <v>642.54651063817539</v>
      </c>
      <c r="L24" s="684">
        <f>+landbouw!K8</f>
        <v>0</v>
      </c>
      <c r="M24" s="684">
        <f>+landbouw!L8</f>
        <v>0</v>
      </c>
      <c r="N24" s="684">
        <f>+landbouw!M8</f>
        <v>0</v>
      </c>
      <c r="O24" s="684">
        <f>+landbouw!N8</f>
        <v>0</v>
      </c>
      <c r="P24" s="684">
        <f>+landbouw!O8</f>
        <v>0</v>
      </c>
      <c r="Q24" s="685">
        <f>+landbouw!P8</f>
        <v>0</v>
      </c>
      <c r="R24" s="687">
        <f>SUM(C24:Q24)</f>
        <v>38715.38598199781</v>
      </c>
      <c r="S24" s="68"/>
    </row>
    <row r="25" spans="1:19" s="453" customFormat="1" ht="15" thickBot="1">
      <c r="A25" s="821" t="s">
        <v>896</v>
      </c>
      <c r="B25" s="990"/>
      <c r="C25" s="991">
        <f>IF(Onbekend_ele_kWh="---",0,Onbekend_ele_kWh)/1000+IF(REST_rest_ele_kWh="---",0,REST_rest_ele_kWh)/1000</f>
        <v>785.09571284518097</v>
      </c>
      <c r="D25" s="991"/>
      <c r="E25" s="991">
        <f>IF(onbekend_gas_kWh="---",0,onbekend_gas_kWh)/1000+IF(REST_rest_gas_kWh="---",0,REST_rest_gas_kWh)/1000</f>
        <v>2439.5619751751301</v>
      </c>
      <c r="F25" s="991"/>
      <c r="G25" s="991"/>
      <c r="H25" s="991"/>
      <c r="I25" s="991"/>
      <c r="J25" s="991"/>
      <c r="K25" s="991"/>
      <c r="L25" s="991"/>
      <c r="M25" s="991"/>
      <c r="N25" s="991"/>
      <c r="O25" s="991"/>
      <c r="P25" s="991"/>
      <c r="Q25" s="992"/>
      <c r="R25" s="687">
        <f>SUM(C25:Q25)</f>
        <v>3224.6576880203111</v>
      </c>
      <c r="S25" s="68"/>
    </row>
    <row r="26" spans="1:19" s="453" customFormat="1" ht="15.75" thickBot="1">
      <c r="A26" s="690" t="s">
        <v>897</v>
      </c>
      <c r="B26" s="807"/>
      <c r="C26" s="802">
        <f>SUM(C24:C25)</f>
        <v>5979.2852529026241</v>
      </c>
      <c r="D26" s="802">
        <f t="shared" ref="D26:R26" si="2">SUM(D24:D25)</f>
        <v>14232.857142857143</v>
      </c>
      <c r="E26" s="802">
        <f t="shared" si="2"/>
        <v>4086.0577486056482</v>
      </c>
      <c r="F26" s="802">
        <f t="shared" si="2"/>
        <v>48.932745688494975</v>
      </c>
      <c r="G26" s="802">
        <f t="shared" si="2"/>
        <v>16950.36426932603</v>
      </c>
      <c r="H26" s="802">
        <f t="shared" si="2"/>
        <v>0</v>
      </c>
      <c r="I26" s="802">
        <f t="shared" si="2"/>
        <v>0</v>
      </c>
      <c r="J26" s="802">
        <f t="shared" si="2"/>
        <v>0</v>
      </c>
      <c r="K26" s="802">
        <f t="shared" si="2"/>
        <v>642.54651063817539</v>
      </c>
      <c r="L26" s="802">
        <f t="shared" si="2"/>
        <v>0</v>
      </c>
      <c r="M26" s="802">
        <f t="shared" si="2"/>
        <v>0</v>
      </c>
      <c r="N26" s="802">
        <f t="shared" si="2"/>
        <v>0</v>
      </c>
      <c r="O26" s="802">
        <f t="shared" si="2"/>
        <v>0</v>
      </c>
      <c r="P26" s="802">
        <f t="shared" si="2"/>
        <v>0</v>
      </c>
      <c r="Q26" s="802">
        <f t="shared" si="2"/>
        <v>0</v>
      </c>
      <c r="R26" s="802">
        <f t="shared" si="2"/>
        <v>41940.043670018124</v>
      </c>
      <c r="S26" s="68"/>
    </row>
    <row r="27" spans="1:19" s="453" customFormat="1" ht="17.25" thickTop="1" thickBot="1">
      <c r="A27" s="691" t="s">
        <v>115</v>
      </c>
      <c r="B27" s="794"/>
      <c r="C27" s="692">
        <f ca="1">C22+C16+C26</f>
        <v>86273.944964477007</v>
      </c>
      <c r="D27" s="692">
        <f t="shared" ref="D27:R27" ca="1" si="3">D22+D16+D26</f>
        <v>14232.857142857143</v>
      </c>
      <c r="E27" s="692">
        <f t="shared" ca="1" si="3"/>
        <v>90320.066716191315</v>
      </c>
      <c r="F27" s="692">
        <f t="shared" si="3"/>
        <v>5381.4171612517603</v>
      </c>
      <c r="G27" s="692">
        <f t="shared" ca="1" si="3"/>
        <v>43378.185259393198</v>
      </c>
      <c r="H27" s="692">
        <f t="shared" si="3"/>
        <v>76933.92446472343</v>
      </c>
      <c r="I27" s="692">
        <f t="shared" si="3"/>
        <v>9686.5143314791057</v>
      </c>
      <c r="J27" s="692">
        <f t="shared" si="3"/>
        <v>0</v>
      </c>
      <c r="K27" s="692">
        <f t="shared" si="3"/>
        <v>749.25154057008081</v>
      </c>
      <c r="L27" s="692">
        <f t="shared" si="3"/>
        <v>0</v>
      </c>
      <c r="M27" s="692">
        <f t="shared" ca="1" si="3"/>
        <v>0</v>
      </c>
      <c r="N27" s="692">
        <f t="shared" si="3"/>
        <v>3866.4219895564988</v>
      </c>
      <c r="O27" s="692">
        <f t="shared" ca="1" si="3"/>
        <v>32692.347911420475</v>
      </c>
      <c r="P27" s="692">
        <f t="shared" si="3"/>
        <v>145.38999999999999</v>
      </c>
      <c r="Q27" s="692">
        <f t="shared" si="3"/>
        <v>495.73333333333335</v>
      </c>
      <c r="R27" s="692">
        <f t="shared" ca="1" si="3"/>
        <v>364156.05481525342</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4667.8620086127066</v>
      </c>
      <c r="D40" s="684">
        <f ca="1">tertiair!C20</f>
        <v>0</v>
      </c>
      <c r="E40" s="684">
        <f ca="1">tertiair!D20</f>
        <v>2741.3301680823652</v>
      </c>
      <c r="F40" s="684">
        <f>tertiair!E20</f>
        <v>80.843549739818883</v>
      </c>
      <c r="G40" s="684">
        <f ca="1">tertiair!F20</f>
        <v>2150.6774690385864</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9640.7131954734759</v>
      </c>
    </row>
    <row r="41" spans="1:18">
      <c r="A41" s="812" t="s">
        <v>224</v>
      </c>
      <c r="B41" s="819"/>
      <c r="C41" s="684">
        <f ca="1">huishoudens!B12</f>
        <v>2626.6929793053509</v>
      </c>
      <c r="D41" s="684">
        <f ca="1">huishoudens!C12</f>
        <v>0</v>
      </c>
      <c r="E41" s="684">
        <f>huishoudens!D12</f>
        <v>13101.805604234934</v>
      </c>
      <c r="F41" s="684">
        <f>huishoudens!E12</f>
        <v>1029.8820570482364</v>
      </c>
      <c r="G41" s="684">
        <f>huishoudens!F12</f>
        <v>3040.6628076106995</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19799.043448199223</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2177.6786616842792</v>
      </c>
      <c r="D43" s="684">
        <f ca="1">industrie!C22</f>
        <v>0</v>
      </c>
      <c r="E43" s="684">
        <f>industrie!D22</f>
        <v>1575.3823488273772</v>
      </c>
      <c r="F43" s="684">
        <f>industrie!E22</f>
        <v>40.875560786529888</v>
      </c>
      <c r="G43" s="684">
        <f>industrie!F22</f>
        <v>1864.8879276986499</v>
      </c>
      <c r="H43" s="684">
        <f>industrie!G22</f>
        <v>0</v>
      </c>
      <c r="I43" s="684">
        <f>industrie!H22</f>
        <v>0</v>
      </c>
      <c r="J43" s="684">
        <f>industrie!I22</f>
        <v>0</v>
      </c>
      <c r="K43" s="684">
        <f>industrie!J22</f>
        <v>37.773580595894536</v>
      </c>
      <c r="L43" s="684">
        <f>industrie!K22</f>
        <v>0</v>
      </c>
      <c r="M43" s="684">
        <f>industrie!L22</f>
        <v>0</v>
      </c>
      <c r="N43" s="684">
        <f>industrie!M22</f>
        <v>0</v>
      </c>
      <c r="O43" s="684">
        <f>industrie!N22</f>
        <v>0</v>
      </c>
      <c r="P43" s="684">
        <f>industrie!O22</f>
        <v>0</v>
      </c>
      <c r="Q43" s="759">
        <f>industrie!P22</f>
        <v>0</v>
      </c>
      <c r="R43" s="839">
        <f t="shared" ca="1" si="4"/>
        <v>5696.5980795927317</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9472.2336496023381</v>
      </c>
      <c r="D46" s="717">
        <f t="shared" ref="D46:Q46" ca="1" si="5">SUM(D39:D45)</f>
        <v>0</v>
      </c>
      <c r="E46" s="717">
        <f t="shared" ca="1" si="5"/>
        <v>17418.518121144676</v>
      </c>
      <c r="F46" s="717">
        <f t="shared" si="5"/>
        <v>1151.6011675745851</v>
      </c>
      <c r="G46" s="717">
        <f t="shared" ca="1" si="5"/>
        <v>7056.2282043479354</v>
      </c>
      <c r="H46" s="717">
        <f t="shared" si="5"/>
        <v>0</v>
      </c>
      <c r="I46" s="717">
        <f t="shared" si="5"/>
        <v>0</v>
      </c>
      <c r="J46" s="717">
        <f t="shared" si="5"/>
        <v>0</v>
      </c>
      <c r="K46" s="717">
        <f t="shared" si="5"/>
        <v>37.773580595894536</v>
      </c>
      <c r="L46" s="717">
        <f t="shared" si="5"/>
        <v>0</v>
      </c>
      <c r="M46" s="717">
        <f t="shared" ca="1" si="5"/>
        <v>0</v>
      </c>
      <c r="N46" s="717">
        <f t="shared" si="5"/>
        <v>0</v>
      </c>
      <c r="O46" s="717">
        <f t="shared" ca="1" si="5"/>
        <v>0</v>
      </c>
      <c r="P46" s="717">
        <f t="shared" si="5"/>
        <v>0</v>
      </c>
      <c r="Q46" s="717">
        <f t="shared" si="5"/>
        <v>0</v>
      </c>
      <c r="R46" s="717">
        <f ca="1">SUM(R39:R45)</f>
        <v>35136.354723265431</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213.67922628650831</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213.67922628650831</v>
      </c>
    </row>
    <row r="50" spans="1:18">
      <c r="A50" s="815" t="s">
        <v>306</v>
      </c>
      <c r="B50" s="825"/>
      <c r="C50" s="997">
        <f ca="1">transport!B18</f>
        <v>0.19631672941018949</v>
      </c>
      <c r="D50" s="997">
        <f>transport!C18</f>
        <v>0</v>
      </c>
      <c r="E50" s="997">
        <f>transport!D18</f>
        <v>0.75169030763066025</v>
      </c>
      <c r="F50" s="997">
        <f>transport!E18</f>
        <v>58.872794758276157</v>
      </c>
      <c r="G50" s="997">
        <f>transport!F18</f>
        <v>0</v>
      </c>
      <c r="H50" s="997">
        <f>transport!G18</f>
        <v>20327.678605794648</v>
      </c>
      <c r="I50" s="997">
        <f>transport!H18</f>
        <v>2411.9420685382975</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22799.441476128264</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0.19631672941018949</v>
      </c>
      <c r="D52" s="717">
        <f t="shared" ref="D52:Q52" ca="1" si="6">SUM(D48:D51)</f>
        <v>0</v>
      </c>
      <c r="E52" s="717">
        <f t="shared" si="6"/>
        <v>0.75169030763066025</v>
      </c>
      <c r="F52" s="717">
        <f t="shared" si="6"/>
        <v>58.872794758276157</v>
      </c>
      <c r="G52" s="717">
        <f t="shared" si="6"/>
        <v>0</v>
      </c>
      <c r="H52" s="717">
        <f t="shared" si="6"/>
        <v>20541.357832081158</v>
      </c>
      <c r="I52" s="717">
        <f t="shared" si="6"/>
        <v>2411.9420685382975</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23013.120702414773</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612.76300101131994</v>
      </c>
      <c r="D54" s="997">
        <f ca="1">+landbouw!C12</f>
        <v>0</v>
      </c>
      <c r="E54" s="997">
        <f>+landbouw!D12</f>
        <v>332.59214623296469</v>
      </c>
      <c r="F54" s="997">
        <f>+landbouw!E12</f>
        <v>11.10773327128836</v>
      </c>
      <c r="G54" s="997">
        <f>+landbouw!F12</f>
        <v>4525.7472599100502</v>
      </c>
      <c r="H54" s="997">
        <f>+landbouw!G12</f>
        <v>0</v>
      </c>
      <c r="I54" s="997">
        <f>+landbouw!H12</f>
        <v>0</v>
      </c>
      <c r="J54" s="997">
        <f>+landbouw!I12</f>
        <v>0</v>
      </c>
      <c r="K54" s="997">
        <f>+landbouw!J12</f>
        <v>227.46146476591409</v>
      </c>
      <c r="L54" s="997">
        <f>+landbouw!K12</f>
        <v>0</v>
      </c>
      <c r="M54" s="997">
        <f>+landbouw!L12</f>
        <v>0</v>
      </c>
      <c r="N54" s="997">
        <f>+landbouw!M12</f>
        <v>0</v>
      </c>
      <c r="O54" s="997">
        <f>+landbouw!N12</f>
        <v>0</v>
      </c>
      <c r="P54" s="997">
        <f>+landbouw!O12</f>
        <v>0</v>
      </c>
      <c r="Q54" s="998">
        <f>+landbouw!P12</f>
        <v>0</v>
      </c>
      <c r="R54" s="716">
        <f ca="1">SUM(C54:Q54)</f>
        <v>5709.6716051915364</v>
      </c>
    </row>
    <row r="55" spans="1:18" ht="15" thickBot="1">
      <c r="A55" s="815" t="s">
        <v>896</v>
      </c>
      <c r="B55" s="825"/>
      <c r="C55" s="997">
        <f ca="1">C25*'EF ele_warmte'!B12</f>
        <v>92.61841551488979</v>
      </c>
      <c r="D55" s="997"/>
      <c r="E55" s="997">
        <f>E25*EF_CO2_aardgas</f>
        <v>492.79151898537629</v>
      </c>
      <c r="F55" s="997"/>
      <c r="G55" s="997"/>
      <c r="H55" s="997"/>
      <c r="I55" s="997"/>
      <c r="J55" s="997"/>
      <c r="K55" s="997"/>
      <c r="L55" s="997"/>
      <c r="M55" s="997"/>
      <c r="N55" s="997"/>
      <c r="O55" s="997"/>
      <c r="P55" s="997"/>
      <c r="Q55" s="998"/>
      <c r="R55" s="716">
        <f ca="1">SUM(C55:Q55)</f>
        <v>585.4099345002661</v>
      </c>
    </row>
    <row r="56" spans="1:18" ht="15.75" thickBot="1">
      <c r="A56" s="813" t="s">
        <v>897</v>
      </c>
      <c r="B56" s="826"/>
      <c r="C56" s="717">
        <f ca="1">SUM(C54:C55)</f>
        <v>705.3814165262097</v>
      </c>
      <c r="D56" s="717">
        <f t="shared" ref="D56:Q56" ca="1" si="7">SUM(D54:D55)</f>
        <v>0</v>
      </c>
      <c r="E56" s="717">
        <f t="shared" si="7"/>
        <v>825.38366521834098</v>
      </c>
      <c r="F56" s="717">
        <f t="shared" si="7"/>
        <v>11.10773327128836</v>
      </c>
      <c r="G56" s="717">
        <f t="shared" si="7"/>
        <v>4525.7472599100502</v>
      </c>
      <c r="H56" s="717">
        <f t="shared" si="7"/>
        <v>0</v>
      </c>
      <c r="I56" s="717">
        <f t="shared" si="7"/>
        <v>0</v>
      </c>
      <c r="J56" s="717">
        <f t="shared" si="7"/>
        <v>0</v>
      </c>
      <c r="K56" s="717">
        <f t="shared" si="7"/>
        <v>227.46146476591409</v>
      </c>
      <c r="L56" s="717">
        <f t="shared" si="7"/>
        <v>0</v>
      </c>
      <c r="M56" s="717">
        <f t="shared" si="7"/>
        <v>0</v>
      </c>
      <c r="N56" s="717">
        <f t="shared" si="7"/>
        <v>0</v>
      </c>
      <c r="O56" s="717">
        <f t="shared" si="7"/>
        <v>0</v>
      </c>
      <c r="P56" s="717">
        <f t="shared" si="7"/>
        <v>0</v>
      </c>
      <c r="Q56" s="718">
        <f t="shared" si="7"/>
        <v>0</v>
      </c>
      <c r="R56" s="719">
        <f ca="1">SUM(R54:R55)</f>
        <v>6295.0815396918024</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10177.811382857959</v>
      </c>
      <c r="D61" s="725">
        <f t="shared" ref="D61:Q61" ca="1" si="8">D46+D52+D56</f>
        <v>0</v>
      </c>
      <c r="E61" s="725">
        <f t="shared" ca="1" si="8"/>
        <v>18244.65347667065</v>
      </c>
      <c r="F61" s="725">
        <f t="shared" si="8"/>
        <v>1221.5816956041497</v>
      </c>
      <c r="G61" s="725">
        <f t="shared" ca="1" si="8"/>
        <v>11581.975464257986</v>
      </c>
      <c r="H61" s="725">
        <f t="shared" si="8"/>
        <v>20541.357832081158</v>
      </c>
      <c r="I61" s="725">
        <f t="shared" si="8"/>
        <v>2411.9420685382975</v>
      </c>
      <c r="J61" s="725">
        <f t="shared" si="8"/>
        <v>0</v>
      </c>
      <c r="K61" s="725">
        <f t="shared" si="8"/>
        <v>265.2350453618086</v>
      </c>
      <c r="L61" s="725">
        <f t="shared" si="8"/>
        <v>0</v>
      </c>
      <c r="M61" s="725">
        <f t="shared" ca="1" si="8"/>
        <v>0</v>
      </c>
      <c r="N61" s="725">
        <f t="shared" si="8"/>
        <v>0</v>
      </c>
      <c r="O61" s="725">
        <f t="shared" ca="1" si="8"/>
        <v>0</v>
      </c>
      <c r="P61" s="725">
        <f t="shared" si="8"/>
        <v>0</v>
      </c>
      <c r="Q61" s="725">
        <f t="shared" si="8"/>
        <v>0</v>
      </c>
      <c r="R61" s="725">
        <f ca="1">R46+R52+R56</f>
        <v>64444.556965372009</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0.11797085883865212</v>
      </c>
      <c r="D63" s="769">
        <f t="shared" ca="1" si="9"/>
        <v>0</v>
      </c>
      <c r="E63" s="999">
        <f t="shared" ca="1" si="9"/>
        <v>0.20200000000000004</v>
      </c>
      <c r="F63" s="769">
        <f t="shared" si="9"/>
        <v>0.22700000000000001</v>
      </c>
      <c r="G63" s="769">
        <f t="shared" ca="1" si="9"/>
        <v>0.26700000000000007</v>
      </c>
      <c r="H63" s="769">
        <f t="shared" si="9"/>
        <v>0.26700000000000002</v>
      </c>
      <c r="I63" s="769">
        <f t="shared" si="9"/>
        <v>0.24900000000000003</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22845.452955909452</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6520.2968372645837</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9963</v>
      </c>
      <c r="C76" s="735">
        <f>'lokale energieproductie'!B8*IFERROR(SUM(D76:H76)/SUM(D76:O76),0)</f>
        <v>0</v>
      </c>
      <c r="D76" s="1009">
        <f>'lokale energieproductie'!C8</f>
        <v>0</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11721.176470588234</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891.75</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2547.8571428571431</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40220.499793174036</v>
      </c>
      <c r="C78" s="740">
        <f>SUM(C72:C77)</f>
        <v>0</v>
      </c>
      <c r="D78" s="741">
        <f t="shared" ref="D78:H78" si="10">SUM(D76:D77)</f>
        <v>0</v>
      </c>
      <c r="E78" s="741">
        <f t="shared" si="10"/>
        <v>0</v>
      </c>
      <c r="F78" s="741">
        <f t="shared" si="10"/>
        <v>0</v>
      </c>
      <c r="G78" s="741">
        <f t="shared" si="10"/>
        <v>0</v>
      </c>
      <c r="H78" s="741">
        <f t="shared" si="10"/>
        <v>0</v>
      </c>
      <c r="I78" s="741">
        <f>SUM(I76:I77)</f>
        <v>0</v>
      </c>
      <c r="J78" s="741">
        <f>SUM(J76:J77)</f>
        <v>14269.033613445377</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14232.857142857143</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16744.537815126048</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14232.857142857143</v>
      </c>
      <c r="C90" s="740">
        <f>SUM(C87:C89)</f>
        <v>0</v>
      </c>
      <c r="D90" s="740">
        <f t="shared" ref="D90:H90" si="12">SUM(D87:D89)</f>
        <v>0</v>
      </c>
      <c r="E90" s="740">
        <f t="shared" si="12"/>
        <v>0</v>
      </c>
      <c r="F90" s="740">
        <f t="shared" si="12"/>
        <v>0</v>
      </c>
      <c r="G90" s="740">
        <f t="shared" si="12"/>
        <v>0</v>
      </c>
      <c r="H90" s="740">
        <f t="shared" si="12"/>
        <v>0</v>
      </c>
      <c r="I90" s="740">
        <f>SUM(I87:I89)</f>
        <v>0</v>
      </c>
      <c r="J90" s="740">
        <f>SUM(J87:J89)</f>
        <v>16744.537815126048</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28" sqref="M28"/>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22845.452955909452</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6520.2968372645837</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9963</v>
      </c>
      <c r="C8" s="554">
        <f>B48</f>
        <v>0</v>
      </c>
      <c r="D8" s="980"/>
      <c r="E8" s="980">
        <f>E48</f>
        <v>0</v>
      </c>
      <c r="F8" s="981"/>
      <c r="G8" s="555"/>
      <c r="H8" s="980">
        <f>I48</f>
        <v>0</v>
      </c>
      <c r="I8" s="980">
        <f>G48+F48</f>
        <v>0</v>
      </c>
      <c r="J8" s="980">
        <f>H48+D48+C48</f>
        <v>11721.176470588234</v>
      </c>
      <c r="K8" s="980"/>
      <c r="L8" s="980"/>
      <c r="M8" s="980"/>
      <c r="N8" s="556"/>
      <c r="O8" s="557">
        <f>C8*$C$12+D8*$D$12+E8*$E$12+F8*$F$12+G8*$G$12+H8*$H$12+I8*$I$12+J8*$J$12</f>
        <v>0</v>
      </c>
      <c r="P8" s="1256"/>
      <c r="Q8" s="1257"/>
      <c r="S8" s="1017"/>
      <c r="T8" s="1231"/>
      <c r="U8" s="1231"/>
    </row>
    <row r="9" spans="1:21" s="542" customFormat="1" ht="17.45" customHeight="1" thickBot="1">
      <c r="A9" s="558" t="s">
        <v>247</v>
      </c>
      <c r="B9" s="982">
        <f>N36+'Eigen informatie GS &amp; warmtenet'!B12</f>
        <v>891.75</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2547.8571428571431</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40220.499793174036</v>
      </c>
      <c r="C10" s="566">
        <f t="shared" ref="C10:L10" si="0">SUM(C8:C9)</f>
        <v>0</v>
      </c>
      <c r="D10" s="566">
        <f t="shared" si="0"/>
        <v>0</v>
      </c>
      <c r="E10" s="566">
        <f t="shared" si="0"/>
        <v>0</v>
      </c>
      <c r="F10" s="566">
        <f t="shared" si="0"/>
        <v>0</v>
      </c>
      <c r="G10" s="566">
        <f t="shared" si="0"/>
        <v>0</v>
      </c>
      <c r="H10" s="566">
        <f t="shared" si="0"/>
        <v>0</v>
      </c>
      <c r="I10" s="566">
        <f t="shared" si="0"/>
        <v>0</v>
      </c>
      <c r="J10" s="566">
        <f t="shared" si="0"/>
        <v>14269.033613445377</v>
      </c>
      <c r="K10" s="566">
        <f t="shared" si="0"/>
        <v>0</v>
      </c>
      <c r="L10" s="566">
        <f t="shared" si="0"/>
        <v>0</v>
      </c>
      <c r="M10" s="984"/>
      <c r="N10" s="984"/>
      <c r="O10" s="567">
        <f>SUM(O4:O9)</f>
        <v>0</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14232.857142857143</v>
      </c>
      <c r="C17" s="578">
        <f>B49</f>
        <v>0</v>
      </c>
      <c r="D17" s="579"/>
      <c r="E17" s="579">
        <f>E49</f>
        <v>0</v>
      </c>
      <c r="F17" s="580"/>
      <c r="G17" s="581"/>
      <c r="H17" s="578">
        <f>I49</f>
        <v>0</v>
      </c>
      <c r="I17" s="579">
        <f>G49+F49</f>
        <v>0</v>
      </c>
      <c r="J17" s="579">
        <f>H49+D49+C49</f>
        <v>16744.537815126048</v>
      </c>
      <c r="K17" s="579"/>
      <c r="L17" s="579"/>
      <c r="M17" s="579"/>
      <c r="N17" s="987"/>
      <c r="O17" s="582">
        <f>C17*$C$22+E17*$E$22+H17*$H$22+I17*$I$22+J17*$J$22+D17*$D$22+F17*$F$22+G17*$G$22+K17*$K$22+L17*$L$22</f>
        <v>0</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14232.857142857143</v>
      </c>
      <c r="C20" s="565">
        <f>SUM(C17:C19)</f>
        <v>0</v>
      </c>
      <c r="D20" s="565">
        <f t="shared" ref="D20:L20" si="1">SUM(D17:D19)</f>
        <v>0</v>
      </c>
      <c r="E20" s="565">
        <f t="shared" si="1"/>
        <v>0</v>
      </c>
      <c r="F20" s="565">
        <f t="shared" si="1"/>
        <v>0</v>
      </c>
      <c r="G20" s="565">
        <f t="shared" si="1"/>
        <v>0</v>
      </c>
      <c r="H20" s="565">
        <f t="shared" si="1"/>
        <v>0</v>
      </c>
      <c r="I20" s="565">
        <f t="shared" si="1"/>
        <v>0</v>
      </c>
      <c r="J20" s="565">
        <f t="shared" si="1"/>
        <v>16744.537815126048</v>
      </c>
      <c r="K20" s="565">
        <f t="shared" si="1"/>
        <v>0</v>
      </c>
      <c r="L20" s="565">
        <f t="shared" si="1"/>
        <v>0</v>
      </c>
      <c r="M20" s="565"/>
      <c r="N20" s="565"/>
      <c r="O20" s="586">
        <f>SUM(O17:O19)</f>
        <v>0</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25.5">
      <c r="A28" s="590"/>
      <c r="B28" s="785">
        <v>13001</v>
      </c>
      <c r="C28" s="785">
        <v>2370</v>
      </c>
      <c r="D28" s="638" t="s">
        <v>954</v>
      </c>
      <c r="E28" s="637" t="s">
        <v>955</v>
      </c>
      <c r="F28" s="637" t="s">
        <v>956</v>
      </c>
      <c r="G28" s="637" t="s">
        <v>957</v>
      </c>
      <c r="H28" s="637" t="s">
        <v>958</v>
      </c>
      <c r="I28" s="637" t="s">
        <v>955</v>
      </c>
      <c r="J28" s="784">
        <v>40813</v>
      </c>
      <c r="K28" s="784">
        <v>40150</v>
      </c>
      <c r="L28" s="637" t="s">
        <v>959</v>
      </c>
      <c r="M28" s="637">
        <v>2214</v>
      </c>
      <c r="N28" s="637">
        <v>9963</v>
      </c>
      <c r="O28" s="637">
        <v>14232.857142857143</v>
      </c>
      <c r="P28" s="637">
        <v>0</v>
      </c>
      <c r="Q28" s="637">
        <v>28465.714285714286</v>
      </c>
      <c r="R28" s="637">
        <v>0</v>
      </c>
      <c r="S28" s="637">
        <v>0</v>
      </c>
      <c r="T28" s="637">
        <v>0</v>
      </c>
      <c r="U28" s="637">
        <v>0</v>
      </c>
      <c r="V28" s="637">
        <v>0</v>
      </c>
      <c r="W28" s="637"/>
      <c r="X28" s="637">
        <v>10</v>
      </c>
      <c r="Y28" s="637" t="s">
        <v>111</v>
      </c>
      <c r="Z28" s="639" t="s">
        <v>111</v>
      </c>
    </row>
    <row r="29" spans="1:26" s="573" customFormat="1">
      <c r="A29" s="593" t="s">
        <v>279</v>
      </c>
      <c r="B29" s="594"/>
      <c r="C29" s="594"/>
      <c r="D29" s="594"/>
      <c r="E29" s="594"/>
      <c r="F29" s="594"/>
      <c r="G29" s="594"/>
      <c r="H29" s="594"/>
      <c r="I29" s="594"/>
      <c r="J29" s="594"/>
      <c r="K29" s="594"/>
      <c r="L29" s="595"/>
      <c r="M29" s="595">
        <f>SUM(M28:M28)</f>
        <v>2214</v>
      </c>
      <c r="N29" s="595">
        <f>SUM(N28:N28)</f>
        <v>9963</v>
      </c>
      <c r="O29" s="595">
        <f>SUM(O28:O28)</f>
        <v>14232.857142857143</v>
      </c>
      <c r="P29" s="595">
        <f>SUM(P28:P28)</f>
        <v>0</v>
      </c>
      <c r="Q29" s="595">
        <f>SUM(Q28:Q28)</f>
        <v>28465.714285714286</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2214</v>
      </c>
      <c r="N32" s="600">
        <f>SUMIF($Z$28:$Z$28,"landbouw",N28:N28)</f>
        <v>9963</v>
      </c>
      <c r="O32" s="600">
        <f>SUMIF($Z$28:$Z$28,"landbouw",O28:O28)</f>
        <v>14232.857142857143</v>
      </c>
      <c r="P32" s="600">
        <f>SUMIF($Z$28:$Z$28,"landbouw",P28:P28)</f>
        <v>0</v>
      </c>
      <c r="Q32" s="600">
        <f>SUMIF($Z$28:$Z$28,"landbouw",Q28:Q28)</f>
        <v>28465.714285714286</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38.25">
      <c r="A35" s="592"/>
      <c r="B35" s="785">
        <v>13001</v>
      </c>
      <c r="C35" s="785">
        <v>2370</v>
      </c>
      <c r="D35" s="640" t="s">
        <v>960</v>
      </c>
      <c r="E35" s="640" t="s">
        <v>961</v>
      </c>
      <c r="F35" s="640" t="s">
        <v>962</v>
      </c>
      <c r="G35" s="640" t="s">
        <v>963</v>
      </c>
      <c r="H35" s="640" t="s">
        <v>964</v>
      </c>
      <c r="I35" s="640" t="s">
        <v>961</v>
      </c>
      <c r="J35" s="784">
        <v>41256</v>
      </c>
      <c r="K35" s="784">
        <v>41256</v>
      </c>
      <c r="L35" s="640" t="s">
        <v>965</v>
      </c>
      <c r="M35" s="640">
        <v>2378</v>
      </c>
      <c r="N35" s="640">
        <v>891.75</v>
      </c>
      <c r="O35" s="640">
        <v>0</v>
      </c>
      <c r="P35" s="640">
        <v>0</v>
      </c>
      <c r="Q35" s="640">
        <v>2547.8571428571431</v>
      </c>
      <c r="R35" s="640">
        <v>0</v>
      </c>
      <c r="S35" s="640">
        <v>0</v>
      </c>
      <c r="T35" s="640">
        <v>0</v>
      </c>
      <c r="U35" s="640">
        <v>0</v>
      </c>
      <c r="V35" s="640">
        <v>0</v>
      </c>
      <c r="W35" s="640"/>
      <c r="X35" s="640">
        <v>10</v>
      </c>
      <c r="Y35" s="640" t="s">
        <v>111</v>
      </c>
      <c r="Z35" s="641" t="s">
        <v>111</v>
      </c>
    </row>
    <row r="36" spans="1:27" s="573" customFormat="1">
      <c r="A36" s="593" t="s">
        <v>279</v>
      </c>
      <c r="B36" s="594"/>
      <c r="C36" s="594"/>
      <c r="D36" s="594"/>
      <c r="E36" s="594"/>
      <c r="F36" s="594"/>
      <c r="G36" s="594"/>
      <c r="H36" s="594"/>
      <c r="I36" s="594"/>
      <c r="J36" s="594"/>
      <c r="K36" s="594"/>
      <c r="L36" s="595"/>
      <c r="M36" s="595">
        <f>SUM(M35:M35)</f>
        <v>2378</v>
      </c>
      <c r="N36" s="595">
        <f>SUM(N35:N35)</f>
        <v>891.75</v>
      </c>
      <c r="O36" s="595">
        <f>SUM(O35:O35)</f>
        <v>0</v>
      </c>
      <c r="P36" s="595">
        <f>SUM(P35:P35)</f>
        <v>0</v>
      </c>
      <c r="Q36" s="595">
        <f>SUM(Q35:Q35)</f>
        <v>2547.8571428571431</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2378</v>
      </c>
      <c r="N39" s="600">
        <f>SUMIF($Z$35:$Z$37,"landbouw",N35:N37)</f>
        <v>891.75</v>
      </c>
      <c r="O39" s="600">
        <f>SUMIF($Z$35:$Z$37,"landbouw",O35:O37)</f>
        <v>0</v>
      </c>
      <c r="P39" s="600">
        <f>SUMIF($Z$35:$Z$37,"landbouw",P35:P37)</f>
        <v>0</v>
      </c>
      <c r="Q39" s="600">
        <f>SUMIF($Z$35:$Z$37,"landbouw",Q35:Q37)</f>
        <v>2547.8571428571431</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0.58823529411764697</v>
      </c>
      <c r="C45" s="620">
        <f>IF(ISERROR(N29/(O29+N29)),0,N29/(N29+O29))</f>
        <v>0.41176470588235292</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11721.176470588234</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16744.537815126048</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22265.608686445692</v>
      </c>
      <c r="C4" s="457">
        <f>huishoudens!C8</f>
        <v>0</v>
      </c>
      <c r="D4" s="457">
        <f>huishoudens!D8</f>
        <v>64860.423783341255</v>
      </c>
      <c r="E4" s="457">
        <f>huishoudens!E8</f>
        <v>4536.9253614459758</v>
      </c>
      <c r="F4" s="457">
        <f>huishoudens!F8</f>
        <v>11388.250215770409</v>
      </c>
      <c r="G4" s="457">
        <f>huishoudens!G8</f>
        <v>0</v>
      </c>
      <c r="H4" s="457">
        <f>huishoudens!H8</f>
        <v>0</v>
      </c>
      <c r="I4" s="457">
        <f>huishoudens!I8</f>
        <v>0</v>
      </c>
      <c r="J4" s="457">
        <f>huishoudens!J8</f>
        <v>0</v>
      </c>
      <c r="K4" s="457">
        <f>huishoudens!K8</f>
        <v>0</v>
      </c>
      <c r="L4" s="457">
        <f>huishoudens!L8</f>
        <v>0</v>
      </c>
      <c r="M4" s="457">
        <f>huishoudens!M8</f>
        <v>0</v>
      </c>
      <c r="N4" s="457">
        <f>huishoudens!N8</f>
        <v>26291.063525542791</v>
      </c>
      <c r="O4" s="457">
        <f>huishoudens!O8</f>
        <v>142.26333333333332</v>
      </c>
      <c r="P4" s="458">
        <f>huishoudens!P8</f>
        <v>457.6</v>
      </c>
      <c r="Q4" s="459">
        <f>SUM(B4:P4)</f>
        <v>129942.13490587947</v>
      </c>
    </row>
    <row r="5" spans="1:17">
      <c r="A5" s="456" t="s">
        <v>155</v>
      </c>
      <c r="B5" s="457">
        <f ca="1">tertiair!B16</f>
        <v>38775.552270153086</v>
      </c>
      <c r="C5" s="457">
        <f ca="1">tertiair!C16</f>
        <v>0</v>
      </c>
      <c r="D5" s="457">
        <f ca="1">tertiair!D16</f>
        <v>13570.941426150323</v>
      </c>
      <c r="E5" s="457">
        <f>tertiair!E16</f>
        <v>356.13898563796863</v>
      </c>
      <c r="F5" s="457">
        <f ca="1">tertiair!F16</f>
        <v>8054.9717941520094</v>
      </c>
      <c r="G5" s="457">
        <f>tertiair!G16</f>
        <v>0</v>
      </c>
      <c r="H5" s="457">
        <f>tertiair!H16</f>
        <v>0</v>
      </c>
      <c r="I5" s="457">
        <f>tertiair!I16</f>
        <v>0</v>
      </c>
      <c r="J5" s="457">
        <f>tertiair!J16</f>
        <v>0</v>
      </c>
      <c r="K5" s="457">
        <f>tertiair!K16</f>
        <v>0</v>
      </c>
      <c r="L5" s="457">
        <f ca="1">tertiair!L16</f>
        <v>0</v>
      </c>
      <c r="M5" s="457">
        <f>tertiair!M16</f>
        <v>0</v>
      </c>
      <c r="N5" s="457">
        <f ca="1">tertiair!N16</f>
        <v>5233.6807078263228</v>
      </c>
      <c r="O5" s="457">
        <f>tertiair!O16</f>
        <v>3.1266666666666669</v>
      </c>
      <c r="P5" s="458">
        <f>tertiair!P16</f>
        <v>38.133333333333333</v>
      </c>
      <c r="Q5" s="456">
        <f t="shared" ref="Q5:Q14" ca="1" si="0">SUM(B5:P5)</f>
        <v>66032.545183919705</v>
      </c>
    </row>
    <row r="6" spans="1:17">
      <c r="A6" s="456" t="s">
        <v>193</v>
      </c>
      <c r="B6" s="457">
        <f>'openbare verlichting'!B8</f>
        <v>792.37199999999996</v>
      </c>
      <c r="C6" s="457"/>
      <c r="D6" s="457"/>
      <c r="E6" s="457"/>
      <c r="F6" s="457"/>
      <c r="G6" s="457"/>
      <c r="H6" s="457"/>
      <c r="I6" s="457"/>
      <c r="J6" s="457"/>
      <c r="K6" s="457"/>
      <c r="L6" s="457"/>
      <c r="M6" s="457"/>
      <c r="N6" s="457"/>
      <c r="O6" s="457"/>
      <c r="P6" s="458"/>
      <c r="Q6" s="456">
        <f t="shared" si="0"/>
        <v>792.37199999999996</v>
      </c>
    </row>
    <row r="7" spans="1:17">
      <c r="A7" s="456" t="s">
        <v>111</v>
      </c>
      <c r="B7" s="457">
        <f>landbouw!B8</f>
        <v>5194.1895400574431</v>
      </c>
      <c r="C7" s="457">
        <f>landbouw!C8</f>
        <v>14232.857142857143</v>
      </c>
      <c r="D7" s="457">
        <f>landbouw!D8</f>
        <v>1646.4957734305181</v>
      </c>
      <c r="E7" s="457">
        <f>landbouw!E8</f>
        <v>48.932745688494975</v>
      </c>
      <c r="F7" s="457">
        <f>landbouw!F8</f>
        <v>16950.36426932603</v>
      </c>
      <c r="G7" s="457">
        <f>landbouw!G8</f>
        <v>0</v>
      </c>
      <c r="H7" s="457">
        <f>landbouw!H8</f>
        <v>0</v>
      </c>
      <c r="I7" s="457">
        <f>landbouw!I8</f>
        <v>0</v>
      </c>
      <c r="J7" s="457">
        <f>landbouw!J8</f>
        <v>642.54651063817539</v>
      </c>
      <c r="K7" s="457">
        <f>landbouw!K8</f>
        <v>0</v>
      </c>
      <c r="L7" s="457">
        <f>landbouw!L8</f>
        <v>0</v>
      </c>
      <c r="M7" s="457">
        <f>landbouw!M8</f>
        <v>0</v>
      </c>
      <c r="N7" s="457">
        <f>landbouw!N8</f>
        <v>0</v>
      </c>
      <c r="O7" s="457">
        <f>landbouw!O8</f>
        <v>0</v>
      </c>
      <c r="P7" s="458">
        <f>landbouw!P8</f>
        <v>0</v>
      </c>
      <c r="Q7" s="456">
        <f t="shared" si="0"/>
        <v>38715.38598199781</v>
      </c>
    </row>
    <row r="8" spans="1:17">
      <c r="A8" s="456" t="s">
        <v>682</v>
      </c>
      <c r="B8" s="457">
        <f>industrie!B18</f>
        <v>18459.462642911454</v>
      </c>
      <c r="C8" s="457">
        <f>industrie!C18</f>
        <v>0</v>
      </c>
      <c r="D8" s="457">
        <f>industrie!D18</f>
        <v>7798.9225189474109</v>
      </c>
      <c r="E8" s="457">
        <f>industrie!E18</f>
        <v>180.06854972039599</v>
      </c>
      <c r="F8" s="457">
        <f>industrie!F18</f>
        <v>6984.5989801447558</v>
      </c>
      <c r="G8" s="457">
        <f>industrie!G18</f>
        <v>0</v>
      </c>
      <c r="H8" s="457">
        <f>industrie!H18</f>
        <v>0</v>
      </c>
      <c r="I8" s="457">
        <f>industrie!I18</f>
        <v>0</v>
      </c>
      <c r="J8" s="457">
        <f>industrie!J18</f>
        <v>106.70502993190547</v>
      </c>
      <c r="K8" s="457">
        <f>industrie!K18</f>
        <v>0</v>
      </c>
      <c r="L8" s="457">
        <f>industrie!L18</f>
        <v>0</v>
      </c>
      <c r="M8" s="457">
        <f>industrie!M18</f>
        <v>0</v>
      </c>
      <c r="N8" s="457">
        <f>industrie!N18</f>
        <v>1167.6036780513607</v>
      </c>
      <c r="O8" s="457">
        <f>industrie!O18</f>
        <v>0</v>
      </c>
      <c r="P8" s="458">
        <f>industrie!P18</f>
        <v>0</v>
      </c>
      <c r="Q8" s="456">
        <f t="shared" si="0"/>
        <v>34697.36139970729</v>
      </c>
    </row>
    <row r="9" spans="1:17" s="462" customFormat="1">
      <c r="A9" s="460" t="s">
        <v>578</v>
      </c>
      <c r="B9" s="461">
        <f>transport!B14</f>
        <v>1.6641120641385723</v>
      </c>
      <c r="C9" s="461">
        <f>transport!C14</f>
        <v>0</v>
      </c>
      <c r="D9" s="461">
        <f>transport!D14</f>
        <v>3.7212391466864365</v>
      </c>
      <c r="E9" s="461">
        <f>transport!E14</f>
        <v>259.35151875892581</v>
      </c>
      <c r="F9" s="461">
        <f>transport!F14</f>
        <v>0</v>
      </c>
      <c r="G9" s="461">
        <f>transport!G14</f>
        <v>76133.627737058603</v>
      </c>
      <c r="H9" s="461">
        <f>transport!H14</f>
        <v>9686.5143314791057</v>
      </c>
      <c r="I9" s="461">
        <f>transport!I14</f>
        <v>0</v>
      </c>
      <c r="J9" s="461">
        <f>transport!J14</f>
        <v>0</v>
      </c>
      <c r="K9" s="461">
        <f>transport!K14</f>
        <v>0</v>
      </c>
      <c r="L9" s="461">
        <f>transport!L14</f>
        <v>0</v>
      </c>
      <c r="M9" s="461">
        <f>transport!M14</f>
        <v>3831.3080358982224</v>
      </c>
      <c r="N9" s="461">
        <f>transport!N14</f>
        <v>0</v>
      </c>
      <c r="O9" s="461">
        <f>transport!O14</f>
        <v>0</v>
      </c>
      <c r="P9" s="461">
        <f>transport!P14</f>
        <v>0</v>
      </c>
      <c r="Q9" s="460">
        <f>SUM(B9:P9)</f>
        <v>89916.186974405689</v>
      </c>
    </row>
    <row r="10" spans="1:17">
      <c r="A10" s="456" t="s">
        <v>568</v>
      </c>
      <c r="B10" s="457">
        <f>transport!B54</f>
        <v>0</v>
      </c>
      <c r="C10" s="457">
        <f>transport!C54</f>
        <v>0</v>
      </c>
      <c r="D10" s="457">
        <f>transport!D54</f>
        <v>0</v>
      </c>
      <c r="E10" s="457">
        <f>transport!E54</f>
        <v>0</v>
      </c>
      <c r="F10" s="457">
        <f>transport!F54</f>
        <v>0</v>
      </c>
      <c r="G10" s="457">
        <f>transport!G54</f>
        <v>800.29672766482508</v>
      </c>
      <c r="H10" s="457">
        <f>transport!H54</f>
        <v>0</v>
      </c>
      <c r="I10" s="457">
        <f>transport!I54</f>
        <v>0</v>
      </c>
      <c r="J10" s="457">
        <f>transport!J54</f>
        <v>0</v>
      </c>
      <c r="K10" s="457">
        <f>transport!K54</f>
        <v>0</v>
      </c>
      <c r="L10" s="457">
        <f>transport!L54</f>
        <v>0</v>
      </c>
      <c r="M10" s="457">
        <f>transport!M54</f>
        <v>35.113953658276579</v>
      </c>
      <c r="N10" s="457">
        <f>transport!N54</f>
        <v>0</v>
      </c>
      <c r="O10" s="457">
        <f>transport!O54</f>
        <v>0</v>
      </c>
      <c r="P10" s="458">
        <f>transport!P54</f>
        <v>0</v>
      </c>
      <c r="Q10" s="456">
        <f t="shared" si="0"/>
        <v>835.4106813231017</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785.09571284518097</v>
      </c>
      <c r="C14" s="464"/>
      <c r="D14" s="464">
        <f>'SEAP template'!E25</f>
        <v>2439.5619751751301</v>
      </c>
      <c r="E14" s="464"/>
      <c r="F14" s="464"/>
      <c r="G14" s="464"/>
      <c r="H14" s="464"/>
      <c r="I14" s="464"/>
      <c r="J14" s="464"/>
      <c r="K14" s="464"/>
      <c r="L14" s="464"/>
      <c r="M14" s="464"/>
      <c r="N14" s="464"/>
      <c r="O14" s="464"/>
      <c r="P14" s="465"/>
      <c r="Q14" s="456">
        <f t="shared" si="0"/>
        <v>3224.6576880203111</v>
      </c>
    </row>
    <row r="15" spans="1:17" s="469" customFormat="1">
      <c r="A15" s="466" t="s">
        <v>572</v>
      </c>
      <c r="B15" s="467">
        <f ca="1">SUM(B4:B14)</f>
        <v>86273.944964477007</v>
      </c>
      <c r="C15" s="467">
        <f t="shared" ref="C15:Q15" ca="1" si="1">SUM(C4:C14)</f>
        <v>14232.857142857143</v>
      </c>
      <c r="D15" s="467">
        <f t="shared" ca="1" si="1"/>
        <v>90320.06671619133</v>
      </c>
      <c r="E15" s="467">
        <f t="shared" si="1"/>
        <v>5381.4171612517603</v>
      </c>
      <c r="F15" s="467">
        <f t="shared" ca="1" si="1"/>
        <v>43378.185259393205</v>
      </c>
      <c r="G15" s="467">
        <f t="shared" si="1"/>
        <v>76933.92446472343</v>
      </c>
      <c r="H15" s="467">
        <f t="shared" si="1"/>
        <v>9686.5143314791057</v>
      </c>
      <c r="I15" s="467">
        <f t="shared" si="1"/>
        <v>0</v>
      </c>
      <c r="J15" s="467">
        <f t="shared" si="1"/>
        <v>749.25154057008081</v>
      </c>
      <c r="K15" s="467">
        <f t="shared" si="1"/>
        <v>0</v>
      </c>
      <c r="L15" s="467">
        <f t="shared" ca="1" si="1"/>
        <v>0</v>
      </c>
      <c r="M15" s="467">
        <f t="shared" si="1"/>
        <v>3866.4219895564988</v>
      </c>
      <c r="N15" s="467">
        <f t="shared" ca="1" si="1"/>
        <v>32692.347911420475</v>
      </c>
      <c r="O15" s="467">
        <f t="shared" si="1"/>
        <v>145.38999999999999</v>
      </c>
      <c r="P15" s="467">
        <f t="shared" si="1"/>
        <v>495.73333333333335</v>
      </c>
      <c r="Q15" s="467">
        <f t="shared" ca="1" si="1"/>
        <v>364156.05481525336</v>
      </c>
    </row>
    <row r="17" spans="1:17">
      <c r="A17" s="470" t="s">
        <v>573</v>
      </c>
      <c r="B17" s="774">
        <f ca="1">huishoudens!B10</f>
        <v>0.1179708588386521</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2626.6929793053509</v>
      </c>
      <c r="C22" s="457">
        <f t="shared" ref="C22:C32" ca="1" si="3">C4*$C$17</f>
        <v>0</v>
      </c>
      <c r="D22" s="457">
        <f t="shared" ref="D22:D32" si="4">D4*$D$17</f>
        <v>13101.805604234934</v>
      </c>
      <c r="E22" s="457">
        <f t="shared" ref="E22:E32" si="5">E4*$E$17</f>
        <v>1029.8820570482364</v>
      </c>
      <c r="F22" s="457">
        <f t="shared" ref="F22:F32" si="6">F4*$F$17</f>
        <v>3040.6628076106995</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19799.043448199223</v>
      </c>
    </row>
    <row r="23" spans="1:17">
      <c r="A23" s="456" t="s">
        <v>155</v>
      </c>
      <c r="B23" s="457">
        <f t="shared" ca="1" si="2"/>
        <v>4574.3852032530058</v>
      </c>
      <c r="C23" s="457">
        <f t="shared" ca="1" si="3"/>
        <v>0</v>
      </c>
      <c r="D23" s="457">
        <f t="shared" ca="1" si="4"/>
        <v>2741.3301680823652</v>
      </c>
      <c r="E23" s="457">
        <f t="shared" si="5"/>
        <v>80.843549739818883</v>
      </c>
      <c r="F23" s="457">
        <f t="shared" ca="1" si="6"/>
        <v>2150.6774690385864</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9547.236390113776</v>
      </c>
    </row>
    <row r="24" spans="1:17">
      <c r="A24" s="456" t="s">
        <v>193</v>
      </c>
      <c r="B24" s="457">
        <f t="shared" ca="1" si="2"/>
        <v>93.476805359700435</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93.476805359700435</v>
      </c>
    </row>
    <row r="25" spans="1:17">
      <c r="A25" s="456" t="s">
        <v>111</v>
      </c>
      <c r="B25" s="457">
        <f t="shared" ca="1" si="2"/>
        <v>612.76300101131994</v>
      </c>
      <c r="C25" s="457">
        <f t="shared" ca="1" si="3"/>
        <v>0</v>
      </c>
      <c r="D25" s="457">
        <f t="shared" si="4"/>
        <v>332.59214623296469</v>
      </c>
      <c r="E25" s="457">
        <f t="shared" si="5"/>
        <v>11.10773327128836</v>
      </c>
      <c r="F25" s="457">
        <f t="shared" si="6"/>
        <v>4525.7472599100502</v>
      </c>
      <c r="G25" s="457">
        <f t="shared" si="7"/>
        <v>0</v>
      </c>
      <c r="H25" s="457">
        <f t="shared" si="8"/>
        <v>0</v>
      </c>
      <c r="I25" s="457">
        <f t="shared" si="9"/>
        <v>0</v>
      </c>
      <c r="J25" s="457">
        <f t="shared" si="10"/>
        <v>227.46146476591409</v>
      </c>
      <c r="K25" s="457">
        <f t="shared" si="11"/>
        <v>0</v>
      </c>
      <c r="L25" s="457">
        <f t="shared" si="12"/>
        <v>0</v>
      </c>
      <c r="M25" s="457">
        <f t="shared" si="13"/>
        <v>0</v>
      </c>
      <c r="N25" s="457">
        <f t="shared" si="14"/>
        <v>0</v>
      </c>
      <c r="O25" s="457">
        <f t="shared" si="15"/>
        <v>0</v>
      </c>
      <c r="P25" s="458">
        <f t="shared" si="16"/>
        <v>0</v>
      </c>
      <c r="Q25" s="456">
        <f t="shared" ca="1" si="17"/>
        <v>5709.6716051915364</v>
      </c>
    </row>
    <row r="26" spans="1:17">
      <c r="A26" s="456" t="s">
        <v>682</v>
      </c>
      <c r="B26" s="457">
        <f t="shared" ca="1" si="2"/>
        <v>2177.6786616842792</v>
      </c>
      <c r="C26" s="457">
        <f t="shared" ca="1" si="3"/>
        <v>0</v>
      </c>
      <c r="D26" s="457">
        <f t="shared" si="4"/>
        <v>1575.3823488273772</v>
      </c>
      <c r="E26" s="457">
        <f t="shared" si="5"/>
        <v>40.875560786529888</v>
      </c>
      <c r="F26" s="457">
        <f t="shared" si="6"/>
        <v>1864.8879276986499</v>
      </c>
      <c r="G26" s="457">
        <f t="shared" si="7"/>
        <v>0</v>
      </c>
      <c r="H26" s="457">
        <f t="shared" si="8"/>
        <v>0</v>
      </c>
      <c r="I26" s="457">
        <f t="shared" si="9"/>
        <v>0</v>
      </c>
      <c r="J26" s="457">
        <f t="shared" si="10"/>
        <v>37.773580595894536</v>
      </c>
      <c r="K26" s="457">
        <f t="shared" si="11"/>
        <v>0</v>
      </c>
      <c r="L26" s="457">
        <f t="shared" si="12"/>
        <v>0</v>
      </c>
      <c r="M26" s="457">
        <f t="shared" si="13"/>
        <v>0</v>
      </c>
      <c r="N26" s="457">
        <f t="shared" si="14"/>
        <v>0</v>
      </c>
      <c r="O26" s="457">
        <f t="shared" si="15"/>
        <v>0</v>
      </c>
      <c r="P26" s="458">
        <f t="shared" si="16"/>
        <v>0</v>
      </c>
      <c r="Q26" s="456">
        <f t="shared" ca="1" si="17"/>
        <v>5696.5980795927317</v>
      </c>
    </row>
    <row r="27" spans="1:17" s="462" customFormat="1">
      <c r="A27" s="460" t="s">
        <v>578</v>
      </c>
      <c r="B27" s="768">
        <f t="shared" ca="1" si="2"/>
        <v>0.19631672941018949</v>
      </c>
      <c r="C27" s="461">
        <f t="shared" ca="1" si="3"/>
        <v>0</v>
      </c>
      <c r="D27" s="461">
        <f t="shared" si="4"/>
        <v>0.75169030763066025</v>
      </c>
      <c r="E27" s="461">
        <f t="shared" si="5"/>
        <v>58.872794758276157</v>
      </c>
      <c r="F27" s="461">
        <f t="shared" si="6"/>
        <v>0</v>
      </c>
      <c r="G27" s="461">
        <f t="shared" si="7"/>
        <v>20327.678605794648</v>
      </c>
      <c r="H27" s="461">
        <f t="shared" si="8"/>
        <v>2411.9420685382975</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22799.441476128264</v>
      </c>
    </row>
    <row r="28" spans="1:17">
      <c r="A28" s="456" t="s">
        <v>568</v>
      </c>
      <c r="B28" s="457">
        <f t="shared" ca="1" si="2"/>
        <v>0</v>
      </c>
      <c r="C28" s="457">
        <f t="shared" ca="1" si="3"/>
        <v>0</v>
      </c>
      <c r="D28" s="457">
        <f t="shared" si="4"/>
        <v>0</v>
      </c>
      <c r="E28" s="457">
        <f t="shared" si="5"/>
        <v>0</v>
      </c>
      <c r="F28" s="457">
        <f t="shared" si="6"/>
        <v>0</v>
      </c>
      <c r="G28" s="457">
        <f t="shared" si="7"/>
        <v>213.67922628650831</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213.67922628650831</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92.61841551488979</v>
      </c>
      <c r="C32" s="457">
        <f t="shared" ca="1" si="3"/>
        <v>0</v>
      </c>
      <c r="D32" s="457">
        <f t="shared" si="4"/>
        <v>492.79151898537629</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585.4099345002661</v>
      </c>
    </row>
    <row r="33" spans="1:17" s="469" customFormat="1">
      <c r="A33" s="466" t="s">
        <v>572</v>
      </c>
      <c r="B33" s="467">
        <f ca="1">SUM(B22:B32)</f>
        <v>10177.811382857955</v>
      </c>
      <c r="C33" s="467">
        <f t="shared" ref="C33:Q33" ca="1" si="18">SUM(C22:C32)</f>
        <v>0</v>
      </c>
      <c r="D33" s="467">
        <f t="shared" ca="1" si="18"/>
        <v>18244.65347667065</v>
      </c>
      <c r="E33" s="467">
        <f t="shared" si="18"/>
        <v>1221.5816956041497</v>
      </c>
      <c r="F33" s="467">
        <f t="shared" ca="1" si="18"/>
        <v>11581.975464257985</v>
      </c>
      <c r="G33" s="467">
        <f t="shared" si="18"/>
        <v>20541.357832081158</v>
      </c>
      <c r="H33" s="467">
        <f t="shared" si="18"/>
        <v>2411.9420685382975</v>
      </c>
      <c r="I33" s="467">
        <f t="shared" si="18"/>
        <v>0</v>
      </c>
      <c r="J33" s="467">
        <f t="shared" si="18"/>
        <v>265.2350453618086</v>
      </c>
      <c r="K33" s="467">
        <f t="shared" si="18"/>
        <v>0</v>
      </c>
      <c r="L33" s="467">
        <f t="shared" ca="1" si="18"/>
        <v>0</v>
      </c>
      <c r="M33" s="467">
        <f t="shared" si="18"/>
        <v>0</v>
      </c>
      <c r="N33" s="467">
        <f t="shared" ca="1" si="18"/>
        <v>0</v>
      </c>
      <c r="O33" s="467">
        <f t="shared" si="18"/>
        <v>0</v>
      </c>
      <c r="P33" s="467">
        <f t="shared" si="18"/>
        <v>0</v>
      </c>
      <c r="Q33" s="467">
        <f t="shared" ca="1" si="18"/>
        <v>64444.556965372009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22845.452955909452</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6520.2968372645837</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9963</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11721.176470588234</v>
      </c>
      <c r="K8" s="1026">
        <f>'SEAP template'!K76</f>
        <v>0</v>
      </c>
      <c r="L8" s="1026">
        <f>'SEAP template'!L76</f>
        <v>0</v>
      </c>
      <c r="M8" s="1026">
        <f>'SEAP template'!M76</f>
        <v>0</v>
      </c>
      <c r="N8" s="1026">
        <f>'SEAP template'!N76</f>
        <v>0</v>
      </c>
      <c r="O8" s="1026">
        <f>'SEAP template'!O76</f>
        <v>0</v>
      </c>
      <c r="P8" s="1027">
        <f>'SEAP template'!Q76</f>
        <v>0</v>
      </c>
    </row>
    <row r="9" spans="1:16">
      <c r="A9" s="1029" t="s">
        <v>908</v>
      </c>
      <c r="B9" s="1026">
        <f>'SEAP template'!B77</f>
        <v>891.75</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2547.8571428571431</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40220.499793174036</v>
      </c>
      <c r="C10" s="1030">
        <f>SUM(C4:C9)</f>
        <v>0</v>
      </c>
      <c r="D10" s="1030">
        <f t="shared" ref="D10:H10" si="0">SUM(D8:D9)</f>
        <v>0</v>
      </c>
      <c r="E10" s="1030">
        <f t="shared" si="0"/>
        <v>0</v>
      </c>
      <c r="F10" s="1030">
        <f t="shared" si="0"/>
        <v>0</v>
      </c>
      <c r="G10" s="1030">
        <f t="shared" si="0"/>
        <v>0</v>
      </c>
      <c r="H10" s="1030">
        <f t="shared" si="0"/>
        <v>0</v>
      </c>
      <c r="I10" s="1030">
        <f>SUM(I8:I9)</f>
        <v>0</v>
      </c>
      <c r="J10" s="1030">
        <f>SUM(J8:J9)</f>
        <v>14269.033613445377</v>
      </c>
      <c r="K10" s="1030">
        <f t="shared" ref="K10:L10" si="1">SUM(K8:K9)</f>
        <v>0</v>
      </c>
      <c r="L10" s="1030">
        <f t="shared" si="1"/>
        <v>0</v>
      </c>
      <c r="M10" s="1030">
        <f>SUM(M8:M9)</f>
        <v>0</v>
      </c>
      <c r="N10" s="1030">
        <f>SUM(N8:N9)</f>
        <v>0</v>
      </c>
      <c r="O10" s="1030">
        <f>SUM(O8:O9)</f>
        <v>0</v>
      </c>
      <c r="P10" s="1030">
        <f>SUM(P8:P9)</f>
        <v>0</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0.1179708588386521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14232.857142857143</v>
      </c>
      <c r="C17" s="1033">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16744.537815126048</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14232.857142857143</v>
      </c>
      <c r="C20" s="1030">
        <f>SUM(C17:C19)</f>
        <v>0</v>
      </c>
      <c r="D20" s="1030">
        <f t="shared" ref="D20:H20" si="2">SUM(D17:D19)</f>
        <v>0</v>
      </c>
      <c r="E20" s="1030">
        <f t="shared" si="2"/>
        <v>0</v>
      </c>
      <c r="F20" s="1030">
        <f t="shared" si="2"/>
        <v>0</v>
      </c>
      <c r="G20" s="1030">
        <f t="shared" si="2"/>
        <v>0</v>
      </c>
      <c r="H20" s="1030">
        <f t="shared" si="2"/>
        <v>0</v>
      </c>
      <c r="I20" s="1030">
        <f>SUM(I17:I19)</f>
        <v>0</v>
      </c>
      <c r="J20" s="1030">
        <f>SUM(J17:J19)</f>
        <v>16744.537815126048</v>
      </c>
      <c r="K20" s="1030">
        <f t="shared" ref="K20:L20" si="3">SUM(K17:K19)</f>
        <v>0</v>
      </c>
      <c r="L20" s="1030">
        <f t="shared" si="3"/>
        <v>0</v>
      </c>
      <c r="M20" s="1030">
        <f>SUM(M17:M19)</f>
        <v>0</v>
      </c>
      <c r="N20" s="1030">
        <f>SUM(N17:N19)</f>
        <v>0</v>
      </c>
      <c r="O20" s="1030">
        <f>SUM(O17:O19)</f>
        <v>0</v>
      </c>
      <c r="P20" s="1030">
        <f>SUM(P17:P19)</f>
        <v>0</v>
      </c>
    </row>
    <row r="22" spans="1:16">
      <c r="A22" s="470" t="s">
        <v>916</v>
      </c>
      <c r="B22" s="774" t="s">
        <v>910</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0.1179708588386521</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2020-06-20T16:26:03Z</dcterms:modified>
</cp:coreProperties>
</file>