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2" i="18" s="1"/>
  <c r="N36" i="18"/>
  <c r="C52" i="18" s="1"/>
  <c r="M36"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56" i="18"/>
  <c r="H17" i="18" s="1"/>
  <c r="H20" i="18" s="1"/>
  <c r="E56" i="18"/>
  <c r="E17" i="18" s="1"/>
  <c r="E20" i="18" s="1"/>
  <c r="G56" i="18"/>
  <c r="C56" i="18"/>
  <c r="H56" i="18"/>
  <c r="D56" i="18"/>
  <c r="F56" i="18"/>
  <c r="B56" i="18"/>
  <c r="C17" i="18" s="1"/>
  <c r="I55" i="18"/>
  <c r="H8" i="18" s="1"/>
  <c r="H10" i="18" s="1"/>
  <c r="E55" i="18"/>
  <c r="E8" i="18" s="1"/>
  <c r="E10" i="18" s="1"/>
  <c r="G55" i="18"/>
  <c r="C55" i="18"/>
  <c r="H55" i="18"/>
  <c r="D55" i="18"/>
  <c r="F55" i="18"/>
  <c r="B55"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O4" i="48"/>
  <c r="O22" i="48" s="1"/>
  <c r="P11" i="14"/>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2" i="17" s="1"/>
  <c r="F54" i="14" s="1"/>
  <c r="F56" i="14" s="1"/>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7" i="48" l="1"/>
  <c r="E25" i="48" s="1"/>
  <c r="F24" i="14"/>
  <c r="F26" i="14" s="1"/>
  <c r="D16" i="14"/>
  <c r="O8" i="48"/>
  <c r="O26" i="48" s="1"/>
  <c r="P13" i="14"/>
  <c r="Q6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5" i="48"/>
  <c r="E23" i="48" s="1"/>
  <c r="F10" i="14"/>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6" i="14" l="1"/>
  <c r="F27" i="14" s="1"/>
  <c r="F46" i="14"/>
  <c r="F61" i="14" s="1"/>
  <c r="F63" i="14" s="1"/>
  <c r="J8" i="48"/>
  <c r="K13" i="14"/>
  <c r="K16" i="14" s="1"/>
  <c r="K27" i="14" s="1"/>
  <c r="Q5" i="48"/>
  <c r="F13" i="14"/>
  <c r="E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<sst xmlns="http://schemas.openxmlformats.org/spreadsheetml/2006/main" count="2570" uniqueCount="983">
  <si>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</si>
  <si>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</si>
  <si>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</si>
  <si>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</si>
  <si>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</si>
  <si>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</si>
  <si>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</si>
  <si>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</si>
  <si>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</si>
  <si>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</si>
  <si>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</si>
  <si>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</si>
  <si>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</si>
  <si>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</si>
  <si>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</si>
  <si>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</si>
  <si>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</si>
  <si>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</si>
  <si>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</si>
  <si>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</si>
  <si>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</si>
  <si>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</si>
  <si>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</si>
  <si>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</si>
  <si>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</si>
  <si>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</si>
  <si>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</si>
  <si>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</si>
  <si>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</si>
  <si>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</si>
  <si>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</si>
  <si>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</si>
  <si>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</si>
  <si>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</si>
  <si>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</si>
  <si>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</si>
  <si>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</si>
  <si>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</si>
  <si>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</si>
  <si>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</si>
  <si>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</si>
  <si>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</si>
  <si>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</si>
  <si>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</si>
  <si>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</si>
  <si>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</si>
  <si>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</si>
  <si>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</si>
  <si>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</si>
  <si>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</si>
  <si>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</si>
  <si>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</si>
  <si>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</si>
  <si>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</si>
  <si>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</si>
  <si>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</si>
  <si>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</si>
  <si>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</si>
  <si>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</si>
  <si>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</si>
  <si>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</si>
  <si>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</si>
  <si>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</si>
  <si>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</si>
  <si>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</si>
  <si>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</si>
  <si>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</si>
  <si>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</si>
  <si>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</si>
  <si>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</si>
  <si>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</si>
  <si>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</si>
  <si>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</si>
  <si>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</si>
  <si>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</si>
  <si>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</si>
  <si>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</si>
  <si>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</si>
  <si>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</si>
  <si>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</si>
  <si>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</si>
  <si>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</si>
  <si>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</si>
  <si>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</si>
  <si>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</si>
  <si>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</si>
  <si>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</si>
  <si>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</si>
  <si>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</si>
  <si>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</si>
  <si>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</si>
  <si>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</si>
  <si>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</si>
  <si>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</si>
  <si>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</si>
  <si>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</si>
  <si>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</si>
  <si>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</si>
  <si>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</si>
  <si>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</si>
  <si>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</si>
  <si>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</si>
  <si>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</si>
  <si>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</si>
  <si>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</si>
  <si>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</si>
  <si>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</si>
  <si>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</si>
  <si>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</si>
  <si>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</si>
  <si>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</si>
  <si>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</si>
  <si>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</si>
  <si>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</si>
  <si>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</si>
  <si>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</si>
  <si>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</si>
  <si>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</si>
  <si>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</si>
  <si>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</si>
  <si>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</si>
  <si>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</si>
  <si>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</si>
  <si>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</si>
  <si>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</si>
  <si>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</si>
  <si>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</si>
  <si>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</si>
  <si>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</si>
  <si>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</si>
  <si>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</si>
  <si>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</si>
  <si>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</si>
  <si>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</si>
  <si>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</si>
  <si>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</si>
  <si>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</si>
  <si>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</si>
  <si>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</si>
  <si>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</si>
  <si>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</si>
  <si>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</si>
  <si>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</si>
  <si>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</si>
  <si>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</si>
  <si>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</si>
  <si>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</si>
  <si>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</si>
  <si>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</si>
  <si>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</si>
  <si>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</si>
  <si>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</si>
  <si>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</si>
  <si>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</si>
  <si>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</si>
  <si>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</si>
  <si>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</si>
  <si>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</si>
  <si>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</si>
  <si>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</si>
  <si>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</si>
  <si>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</si>
  <si>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</si>
  <si>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</si>
  <si>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</si>
  <si>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</si>
  <si>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</si>
  <si>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</si>
  <si>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</si>
  <si>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</si>
  <si>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</si>
  <si>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</si>
  <si>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</si>
  <si>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</si>
  <si>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</si>
  <si>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</si>
  <si>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</si>
  <si>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</si>
  <si>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</si>
  <si>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</si>
  <si>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</si>
  <si>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</si>
  <si>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</si>
  <si>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</si>
  <si>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</si>
  <si>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</si>
  <si>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</si>
  <si>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</si>
  <si>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</si>
  <si>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</si>
  <si>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</si>
  <si>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</si>
  <si>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</si>
  <si>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</si>
  <si>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</si>
  <si>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</si>
  <si>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</si>
  <si>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</si>
  <si>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</si>
  <si>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</si>
  <si>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</si>
  <si>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</si>
  <si>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</si>
  <si>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</si>
  <si>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</si>
  <si>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</si>
  <si>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</si>
  <si>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</si>
  <si>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</si>
  <si>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</si>
  <si>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</si>
  <si>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</si>
  <si>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</si>
  <si>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</si>
  <si>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</si>
  <si>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</si>
  <si>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</si>
  <si>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</si>
  <si>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</si>
  <si>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</si>
  <si>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</si>
  <si>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</si>
  <si>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</si>
  <si>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</si>
  <si>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</si>
  <si>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</si>
  <si>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</si>
  <si>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</si>
  <si>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</si>
  <si>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</si>
  <si>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</si>
  <si>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</si>
  <si>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</si>
  <si>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</si>
  <si>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</si>
  <si>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</si>
  <si>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</si>
  <si>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</si>
  <si>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</si>
  <si>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</si>
  <si>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</si>
  <si>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</si>
  <si>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</si>
  <si>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</si>
  <si>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</si>
  <si>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</si>
  <si>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</si>
  <si>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</si>
  <si>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</si>
  <si>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</si>
  <si>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</si>
  <si>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</si>
  <si>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</si>
  <si>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</si>
  <si>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</si>
  <si>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</si>
  <si>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</si>
  <si>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</si>
  <si>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</si>
  <si>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</si>
  <si>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</si>
  <si>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</si>
  <si>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</si>
  <si>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</si>
  <si>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</si>
  <si>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</si>
  <si>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</si>
  <si>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</si>
  <si>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</si>
  <si>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</si>
  <si>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</si>
  <si>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</si>
  <si>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</si>
  <si>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</si>
  <si>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</si>
  <si>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</si>
  <si>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</si>
  <si>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</si>
  <si>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</si>
  <si>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</si>
  <si>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</si>
  <si>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</si>
  <si>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</si>
  <si>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</si>
  <si>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</si>
  <si>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</si>
  <si>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</si>
  <si>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</si>
  <si>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</si>
  <si>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</si>
  <si>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</si>
  <si>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</si>
  <si>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</si>
  <si>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</si>
  <si>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</si>
  <si>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</si>
  <si>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</si>
  <si>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</si>
  <si>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</si>
  <si>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</si>
  <si>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</si>
  <si>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</si>
  <si>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</si>
  <si>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</si>
  <si>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</si>
  <si>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</si>
  <si>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</si>
  <si>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</si>
  <si>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</si>
  <si>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</si>
  <si>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</si>
  <si>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</si>
  <si>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</si>
  <si>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</si>
  <si>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</si>
  <si>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</si>
  <si>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</si>
  <si>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</si>
  <si>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</si>
  <si>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</si>
  <si>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</si>
  <si>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</si>
  <si>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</si>
  <si>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</si>
  <si>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</si>
  <si>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</si>
  <si>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</si>
  <si>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</si>
  <si>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</si>
  <si>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</si>
  <si>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</si>
  <si>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</si>
  <si>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</si>
  <si>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</si>
  <si>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</si>
  <si>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</si>
  <si>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</si>
  <si>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</si>
  <si>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</si>
  <si>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</si>
  <si>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</si>
  <si>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</si>
  <si>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</si>
  <si>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</si>
  <si>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</si>
  <si>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</si>
  <si>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</si>
  <si>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</si>
  <si>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</si>
  <si>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</si>
  <si>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</si>
  <si>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</si>
  <si>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</si>
  <si>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</si>
  <si>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</si>
  <si>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</si>
  <si>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</si>
  <si>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</si>
  <si>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</si>
  <si>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</si>
  <si>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</si>
  <si>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</si>
  <si>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</si>
  <si>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</si>
  <si>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</si>
  <si>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</si>
  <si>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</si>
  <si>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</si>
  <si>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</si>
  <si>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</si>
  <si>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</si>
  <si>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</si>
  <si>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</si>
  <si>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</si>
  <si>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</si>
  <si>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</si>
  <si>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</si>
  <si>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</si>
  <si>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</si>
  <si>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</si>
  <si>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</si>
  <si>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</si>
  <si>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</si>
  <si>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</si>
  <si>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</si>
  <si>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</si>
  <si>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</si>
  <si>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</si>
  <si>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</si>
  <si>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</si>
  <si>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</si>
  <si>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</si>
  <si>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</si>
  <si>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</si>
  <si>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</si>
  <si>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</si>
  <si>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</si>
  <si>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</si>
  <si>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</si>
  <si>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</si>
  <si>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</si>
  <si>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</si>
  <si>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</si>
  <si>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</si>
  <si>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</si>
  <si>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</si>
  <si>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</si>
  <si>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</si>
  <si>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</si>
  <si>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</si>
  <si>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</si>
  <si>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</si>
  <si>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</si>
  <si>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</si>
  <si>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</si>
  <si>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</si>
  <si>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</si>
  <si>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</si>
  <si>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</si>
  <si>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</si>
  <si>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</si>
  <si>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</si>
  <si>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</si>
  <si>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</si>
  <si>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</si>
  <si>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</si>
  <si>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</si>
  <si>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</si>
  <si>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</si>
  <si>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</si>
  <si>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</si>
  <si>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</si>
  <si>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</si>
  <si>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</si>
  <si>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</si>
  <si>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</si>
  <si>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</si>
  <si>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</si>
  <si>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</si>
  <si>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</si>
  <si>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</si>
  <si>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</si>
  <si>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</si>
  <si>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</si>
  <si>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</si>
  <si>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</si>
  <si>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</si>
  <si>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</si>
  <si>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</si>
  <si>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</si>
  <si>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</si>
  <si>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</si>
  <si>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</si>
  <si>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</si>
  <si>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</si>
  <si>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</si>
  <si>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</si>
  <si>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</si>
  <si>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</si>
  <si>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</si>
  <si>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</si>
  <si>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</si>
  <si>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</si>
  <si>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</si>
  <si>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</si>
  <si>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</si>
  <si>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</si>
  <si>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</si>
  <si>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</si>
  <si>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</si>
  <si>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</si>
  <si>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</si>
  <si>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</si>
  <si>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</si>
  <si>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</si>
  <si>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</si>
  <si>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</si>
  <si>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</si>
  <si>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</si>
  <si>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</si>
  <si>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</si>
  <si>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</si>
  <si>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</si>
  <si>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</si>
  <si>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</si>
  <si>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</si>
  <si>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</si>
  <si>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</si>
  <si>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</si>
  <si>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</si>
  <si>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</si>
  <si>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</si>
  <si>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</si>
  <si>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</si>
  <si>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</si>
  <si>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</si>
  <si>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</si>
  <si>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</si>
  <si>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</si>
  <si>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</si>
  <si>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</si>
  <si>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</si>
  <si>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</si>
  <si>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</si>
  <si>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</si>
  <si>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</si>
  <si>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</si>
  <si>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</si>
  <si>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</si>
  <si>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</si>
  <si>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</si>
  <si>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</si>
  <si>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</si>
  <si>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</si>
  <si>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</si>
  <si>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</si>
  <si>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</si>
  <si>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</si>
  <si>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</si>
  <si>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</si>
  <si>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</si>
  <si>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</si>
  <si>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</si>
  <si>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</si>
  <si>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</si>
  <si>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</si>
  <si>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</si>
  <si>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</si>
  <si>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</si>
  <si>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</si>
  <si>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</si>
  <si>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</si>
  <si>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</si>
  <si>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</si>
  <si>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</si>
  <si>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</si>
  <si>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</si>
  <si>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</si>
  <si>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</si>
  <si>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</si>
  <si>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</si>
  <si>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</si>
  <si>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</si>
  <si>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</si>
  <si>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</si>
  <si>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</si>
  <si>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</si>
  <si>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</si>
  <si>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</si>
  <si>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</si>
  <si>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</si>
  <si>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</si>
  <si>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</si>
  <si>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</si>
  <si>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</si>
  <si>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</si>
  <si>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</si>
  <si>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</si>
  <si>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</si>
  <si>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</si>
  <si>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</si>
  <si>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</si>
  <si>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</si>
  <si>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</si>
  <si>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</si>
  <si>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</si>
  <si>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</si>
  <si>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</si>
  <si>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</si>
  <si>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</si>
  <si>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</si>
  <si>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</si>
  <si>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</si>
  <si>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</si>
  <si>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</si>
  <si>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</si>
  <si>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</si>
  <si>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</si>
  <si>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</si>
  <si>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</si>
  <si>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</si>
  <si>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</si>
  <si>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</si>
  <si>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</si>
  <si>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</si>
  <si>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</si>
  <si>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</si>
  <si>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</si>
  <si>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</si>
  <si>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</si>
  <si>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</si>
  <si>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</si>
  <si>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</si>
  <si>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</si>
  <si>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</si>
  <si>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</si>
  <si>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</si>
  <si>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</si>
  <si>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</si>
  <si>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</si>
  <si>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</si>
  <si>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</si>
  <si>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</si>
  <si>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</si>
  <si>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</si>
  <si>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</si>
  <si>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</si>
  <si>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</si>
  <si>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</si>
  <si>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</si>
  <si>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</si>
  <si>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</si>
  <si>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</si>
  <si>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</si>
  <si>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</si>
  <si>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</si>
  <si>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</si>
  <si>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</si>
  <si>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</si>
  <si>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</si>
  <si>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</si>
  <si>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</si>
  <si>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</si>
  <si>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</si>
  <si>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</si>
  <si>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</si>
  <si>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</si>
  <si>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</si>
  <si>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</si>
  <si>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</si>
  <si>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</si>
  <si>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</si>
  <si>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</si>
  <si>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</si>
  <si>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</si>
  <si>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</si>
  <si>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</si>
  <si>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</si>
  <si>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</si>
  <si>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</si>
  <si>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</si>
  <si>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</si>
  <si>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</si>
  <si>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</si>
  <si>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</si>
  <si>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</si>
  <si>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</si>
  <si>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</si>
  <si>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</si>
  <si>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</si>
  <si>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</si>
  <si>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</si>
  <si>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</si>
  <si>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</si>
  <si>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</si>
  <si>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</si>
  <si>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</si>
  <si>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</si>
  <si>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</si>
  <si>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</si>
  <si>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</si>
  <si>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</si>
  <si>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</si>
  <si>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</si>
  <si>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</si>
  <si>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</si>
  <si>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</si>
  <si>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</si>
  <si>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</si>
  <si>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</si>
  <si>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</si>
  <si>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</si>
  <si>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</si>
  <si>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</si>
  <si>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</si>
  <si>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</si>
  <si>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</si>
  <si>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</si>
  <si>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</si>
  <si>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</si>
  <si>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</si>
  <si>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</si>
  <si>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</si>
  <si>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</si>
  <si>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</si>
  <si>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</si>
  <si>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</si>
  <si>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</si>
  <si>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</si>
  <si>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</si>
  <si>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</si>
  <si>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</si>
  <si>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</si>
  <si>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</si>
  <si>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</si>
  <si>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</si>
  <si>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</si>
  <si>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</si>
  <si>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</si>
  <si>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</si>
  <si>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</si>
  <si>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</si>
  <si>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</si>
  <si>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</si>
  <si>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</si>
  <si>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</si>
  <si>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</si>
  <si>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</si>
  <si>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</si>
  <si>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</si>
  <si>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</si>
  <si>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</si>
  <si>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</si>
  <si>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</si>
  <si>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</si>
  <si>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</si>
  <si>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</si>
  <si>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</si>
  <si>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</si>
  <si>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</si>
  <si>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</si>
  <si>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</si>
  <si>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</si>
  <si>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</si>
  <si>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</si>
  <si>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</si>
  <si>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</si>
  <si>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</si>
  <si>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</si>
  <si>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</si>
  <si>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</si>
  <si>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</si>
  <si>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</si>
  <si>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</si>
  <si>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</si>
  <si>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</si>
  <si>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</si>
  <si>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</si>
  <si>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</si>
  <si>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</si>
  <si>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</si>
  <si>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</si>
  <si>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</si>
  <si>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</si>
  <si>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</si>
  <si>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</si>
  <si>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</si>
  <si>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</si>
  <si>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</si>
  <si>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</si>
  <si>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</si>
  <si>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</si>
  <si>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</si>
  <si>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</si>
  <si>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</si>
  <si>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</si>
  <si>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</si>
  <si>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</si>
  <si>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</si>
  <si>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</si>
  <si>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</si>
  <si>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</si>
  <si>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</si>
  <si>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</si>
  <si>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</si>
  <si>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</si>
  <si>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</si>
  <si>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</si>
  <si>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</si>
  <si>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</si>
  <si>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</si>
  <si>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</si>
  <si>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</si>
  <si>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</si>
  <si>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</si>
  <si>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</si>
  <si>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</si>
  <si>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</si>
  <si>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</si>
  <si>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</si>
  <si>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</si>
  <si>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</si>
  <si>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</si>
  <si>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</si>
  <si>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</si>
  <si>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</si>
  <si>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</si>
  <si>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</si>
  <si>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</si>
  <si>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</si>
  <si>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</si>
  <si>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</si>
  <si>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</si>
  <si>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</si>
  <si>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</si>
  <si>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</si>
  <si>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</si>
  <si>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</si>
  <si>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</si>
  <si>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</si>
  <si>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</si>
  <si>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</si>
  <si>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</si>
  <si>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</si>
  <si>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</si>
  <si>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</si>
  <si>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</si>
  <si>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</si>
  <si>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</si>
  <si>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</si>
  <si>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</si>
  <si>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</si>
  <si>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</si>
  <si>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</si>
  <si>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</si>
  <si>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</si>
  <si>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</si>
  <si>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</si>
  <si>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</si>
  <si>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</si>
  <si>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</si>
  <si>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</si>
  <si>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</si>
  <si>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</si>
  <si>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</si>
  <si>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</si>
  <si>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</si>
  <si>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</si>
  <si>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</si>
  <si>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</si>
  <si>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</si>
  <si>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</si>
  <si>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</si>
  <si>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</si>
  <si>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</si>
  <si>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</si>
  <si>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</si>
  <si>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</si>
  <si>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</si>
  <si>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</si>
  <si>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</si>
  <si>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</si>
  <si>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</si>
  <si>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</si>
  <si>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</si>
  <si>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</si>
  <si>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</si>
  <si>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</si>
  <si>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</si>
  <si>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</si>
  <si>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</si>
  <si>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</si>
  <si>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</si>
  <si>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</si>
  <si>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</si>
  <si>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</si>
  <si>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</si>
  <si>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</si>
  <si>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</si>
  <si>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</si>
  <si>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</si>
  <si>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</si>
  <si>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</si>
  <si>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</si>
  <si>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</si>
  <si>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</si>
  <si>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</si>
  <si>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</si>
  <si>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</si>
  <si>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</si>
  <si>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</si>
  <si>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</si>
  <si>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</si>
  <si>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</si>
  <si>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</si>
  <si>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</si>
  <si>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</si>
  <si>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</si>
  <si>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</si>
  <si>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</si>
  <si>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</si>
  <si>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</si>
  <si>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</si>
  <si>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</si>
  <si>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</si>
  <si>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</si>
  <si>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</si>
  <si>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</si>
  <si>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</si>
  <si>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</si>
  <si>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</si>
  <si>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</si>
  <si>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</si>
  <si>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</si>
  <si>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</si>
  <si>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</si>
  <si>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</si>
  <si>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</si>
  <si>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</si>
  <si>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</si>
  <si>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</si>
  <si>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</si>
  <si>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</si>
  <si>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</si>
  <si>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</si>
  <si>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</si>
  <si>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</si>
  <si>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</si>
  <si>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</si>
  <si>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</si>
  <si>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</si>
  <si>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</si>
  <si>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</si>
  <si>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</si>
  <si>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</si>
  <si>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</si>
  <si>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</si>
  <si>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</si>
  <si>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</si>
  <si>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</si>
  <si>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</si>
  <si>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</si>
  <si>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</si>
  <si>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</si>
  <si>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</si>
  <si>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</si>
  <si>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</si>
  <si>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</si>
  <si>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</si>
  <si>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</si>
  <si>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</si>
  <si>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</si>
  <si>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</si>
  <si>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</si>
  <si>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</si>
  <si>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</si>
  <si>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</si>
  <si>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</si>
  <si>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</si>
  <si>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</si>
  <si>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</si>
  <si>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</si>
  <si>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</si>
  <si>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</si>
  <si>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</si>
  <si>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</si>
  <si>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</si>
  <si>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</si>
  <si>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11004</t>
  </si>
  <si>
    <t>BOECHOUT</t>
  </si>
  <si>
    <t>Paarden&amp;pony's 200 - 600 kg</t>
  </si>
  <si>
    <t>Paarden&amp;pony's &lt; 200 kg</t>
  </si>
  <si>
    <t>Fluvius</t>
  </si>
  <si>
    <t>referentietaak LNE (2017); Jaarverslag De Lijn</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</si>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</sst>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11004</v>
      </c>
      <c r="B6" s="394"/>
      <c r="C6" s="395"/>
    </row>
    <row r="7" spans="1:7" s="392" customFormat="1" ht="15.75" customHeight="1">
      <c r="A7" s="396" t="str">
        <f>txtMunicipality</f>
        <v>BOECHOUT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0.23272140149600223</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0.23272140149600223</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4977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919</v>
      </c>
      <c r="C14" s="332"/>
      <c r="D14" s="332"/>
      <c r="E14" s="332"/>
      <c r="F14" s="332"/>
    </row>
    <row r="15" spans="1:6">
      <c r="A15" s="1299" t="s">
        <v>183</v>
      </c>
      <c r="B15" s="1300">
        <v>2</v>
      </c>
      <c r="C15" s="332"/>
      <c r="D15" s="332"/>
      <c r="E15" s="332"/>
      <c r="F15" s="332"/>
    </row>
    <row r="16" spans="1:6">
      <c r="A16" s="1299" t="s">
        <v>6</v>
      </c>
      <c r="B16" s="1300">
        <v>29</v>
      </c>
      <c r="C16" s="332"/>
      <c r="D16" s="332"/>
      <c r="E16" s="332"/>
      <c r="F16" s="332"/>
    </row>
    <row r="17" spans="1:6">
      <c r="A17" s="1299" t="s">
        <v>7</v>
      </c>
      <c r="B17" s="1300">
        <v>112</v>
      </c>
      <c r="C17" s="332"/>
      <c r="D17" s="332"/>
      <c r="E17" s="332"/>
      <c r="F17" s="332"/>
    </row>
    <row r="18" spans="1:6">
      <c r="A18" s="1299" t="s">
        <v>8</v>
      </c>
      <c r="B18" s="1300">
        <v>104</v>
      </c>
      <c r="C18" s="332"/>
      <c r="D18" s="332"/>
      <c r="E18" s="332"/>
      <c r="F18" s="332"/>
    </row>
    <row r="19" spans="1:6">
      <c r="A19" s="1299" t="s">
        <v>9</v>
      </c>
      <c r="B19" s="1300">
        <v>84</v>
      </c>
      <c r="C19" s="332"/>
      <c r="D19" s="332"/>
      <c r="E19" s="332"/>
      <c r="F19" s="332"/>
    </row>
    <row r="20" spans="1:6">
      <c r="A20" s="1299" t="s">
        <v>10</v>
      </c>
      <c r="B20" s="1300">
        <v>97</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1</v>
      </c>
      <c r="C24" s="332"/>
      <c r="D24" s="332"/>
      <c r="E24" s="332"/>
      <c r="F24" s="332"/>
    </row>
    <row r="25" spans="1:6">
      <c r="A25" s="1299" t="s">
        <v>15</v>
      </c>
      <c r="B25" s="1300">
        <v>0</v>
      </c>
      <c r="C25" s="332"/>
      <c r="D25" s="332"/>
      <c r="E25" s="332"/>
      <c r="F25" s="332"/>
    </row>
    <row r="26" spans="1:6">
      <c r="A26" s="1299" t="s">
        <v>16</v>
      </c>
      <c r="B26" s="1300">
        <v>27</v>
      </c>
      <c r="C26" s="332"/>
      <c r="D26" s="332"/>
      <c r="E26" s="332"/>
      <c r="F26" s="332"/>
    </row>
    <row r="27" spans="1:6">
      <c r="A27" s="1299" t="s">
        <v>17</v>
      </c>
      <c r="B27" s="1300">
        <v>0</v>
      </c>
      <c r="C27" s="332"/>
      <c r="D27" s="332"/>
      <c r="E27" s="332"/>
      <c r="F27" s="332"/>
    </row>
    <row r="28" spans="1:6" s="44" customFormat="1">
      <c r="A28" s="1301" t="s">
        <v>18</v>
      </c>
      <c r="B28" s="1302">
        <v>3411</v>
      </c>
      <c r="C28" s="338"/>
      <c r="D28" s="338"/>
      <c r="E28" s="338"/>
      <c r="F28" s="338"/>
    </row>
    <row r="29" spans="1:6">
      <c r="A29" s="1301" t="s">
        <v>950</v>
      </c>
      <c r="B29" s="1302">
        <v>77</v>
      </c>
      <c r="C29" s="338"/>
      <c r="D29" s="338"/>
      <c r="E29" s="338"/>
      <c r="F29" s="338"/>
    </row>
    <row r="30" spans="1:6">
      <c r="A30" s="1294" t="s">
        <v>951</v>
      </c>
      <c r="B30" s="1303">
        <v>12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16655829</v>
      </c>
      <c r="E38" s="1300">
        <v>4</v>
      </c>
      <c r="F38" s="1300">
        <v>312539</v>
      </c>
    </row>
    <row r="39" spans="1:6">
      <c r="A39" s="1299" t="s">
        <v>29</v>
      </c>
      <c r="B39" s="1299" t="s">
        <v>30</v>
      </c>
      <c r="C39" s="1300">
        <v>3994</v>
      </c>
      <c r="D39" s="1300">
        <v>70811475</v>
      </c>
      <c r="E39" s="1300">
        <v>5113</v>
      </c>
      <c r="F39" s="1300">
        <v>21001372</v>
      </c>
    </row>
    <row r="40" spans="1:6">
      <c r="A40" s="1299" t="s">
        <v>29</v>
      </c>
      <c r="B40" s="1299" t="s">
        <v>28</v>
      </c>
      <c r="C40" s="1300">
        <v>0</v>
      </c>
      <c r="D40" s="1300">
        <v>0</v>
      </c>
      <c r="E40" s="1300">
        <v>0</v>
      </c>
      <c r="F40" s="1300">
        <v>0</v>
      </c>
    </row>
    <row r="41" spans="1:6">
      <c r="A41" s="1299" t="s">
        <v>31</v>
      </c>
      <c r="B41" s="1299" t="s">
        <v>32</v>
      </c>
      <c r="C41" s="1300">
        <v>21</v>
      </c>
      <c r="D41" s="1300">
        <v>637834</v>
      </c>
      <c r="E41" s="1300">
        <v>54</v>
      </c>
      <c r="F41" s="1300">
        <v>2197343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5</v>
      </c>
      <c r="F44" s="1300">
        <v>50014</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7</v>
      </c>
      <c r="D47" s="1300">
        <v>1327528</v>
      </c>
      <c r="E47" s="1300">
        <v>6</v>
      </c>
      <c r="F47" s="1300">
        <v>5851286</v>
      </c>
    </row>
    <row r="48" spans="1:6">
      <c r="A48" s="1299" t="s">
        <v>31</v>
      </c>
      <c r="B48" s="1299" t="s">
        <v>28</v>
      </c>
      <c r="C48" s="1300">
        <v>4</v>
      </c>
      <c r="D48" s="1300">
        <v>4360773</v>
      </c>
      <c r="E48" s="1300">
        <v>3</v>
      </c>
      <c r="F48" s="1300">
        <v>26020</v>
      </c>
    </row>
    <row r="49" spans="1:6">
      <c r="A49" s="1299" t="s">
        <v>31</v>
      </c>
      <c r="B49" s="1299" t="s">
        <v>39</v>
      </c>
      <c r="C49" s="1300">
        <v>0</v>
      </c>
      <c r="D49" s="1300">
        <v>0</v>
      </c>
      <c r="E49" s="1300">
        <v>0</v>
      </c>
      <c r="F49" s="1300">
        <v>0</v>
      </c>
    </row>
    <row r="50" spans="1:6">
      <c r="A50" s="1299" t="s">
        <v>31</v>
      </c>
      <c r="B50" s="1299" t="s">
        <v>40</v>
      </c>
      <c r="C50" s="1300">
        <v>0</v>
      </c>
      <c r="D50" s="1300">
        <v>0</v>
      </c>
      <c r="E50" s="1300">
        <v>5</v>
      </c>
      <c r="F50" s="1300">
        <v>276616</v>
      </c>
    </row>
    <row r="51" spans="1:6">
      <c r="A51" s="1299" t="s">
        <v>41</v>
      </c>
      <c r="B51" s="1299" t="s">
        <v>42</v>
      </c>
      <c r="C51" s="1300">
        <v>21</v>
      </c>
      <c r="D51" s="1300">
        <v>254743842</v>
      </c>
      <c r="E51" s="1300">
        <v>71</v>
      </c>
      <c r="F51" s="1300">
        <v>1896167</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26</v>
      </c>
      <c r="F54" s="1300">
        <v>719260</v>
      </c>
    </row>
    <row r="55" spans="1:6">
      <c r="A55" s="1299" t="s">
        <v>45</v>
      </c>
      <c r="B55" s="1299" t="s">
        <v>28</v>
      </c>
      <c r="C55" s="1300">
        <v>0</v>
      </c>
      <c r="D55" s="1300">
        <v>0</v>
      </c>
      <c r="E55" s="1300">
        <v>0</v>
      </c>
      <c r="F55" s="1300">
        <v>0</v>
      </c>
    </row>
    <row r="56" spans="1:6">
      <c r="A56" s="1299" t="s">
        <v>47</v>
      </c>
      <c r="B56" s="1299" t="s">
        <v>28</v>
      </c>
      <c r="C56" s="1300">
        <v>58</v>
      </c>
      <c r="D56" s="1300">
        <v>3060307</v>
      </c>
      <c r="E56" s="1300">
        <v>93</v>
      </c>
      <c r="F56" s="1300">
        <v>684037</v>
      </c>
    </row>
    <row r="57" spans="1:6">
      <c r="A57" s="1299" t="s">
        <v>48</v>
      </c>
      <c r="B57" s="1299" t="s">
        <v>49</v>
      </c>
      <c r="C57" s="1300">
        <v>22</v>
      </c>
      <c r="D57" s="1300">
        <v>1293824</v>
      </c>
      <c r="E57" s="1300">
        <v>44</v>
      </c>
      <c r="F57" s="1300">
        <v>589676</v>
      </c>
    </row>
    <row r="58" spans="1:6">
      <c r="A58" s="1299" t="s">
        <v>48</v>
      </c>
      <c r="B58" s="1299" t="s">
        <v>50</v>
      </c>
      <c r="C58" s="1300">
        <v>18</v>
      </c>
      <c r="D58" s="1300">
        <v>7843691</v>
      </c>
      <c r="E58" s="1300">
        <v>24</v>
      </c>
      <c r="F58" s="1300">
        <v>1512469</v>
      </c>
    </row>
    <row r="59" spans="1:6">
      <c r="A59" s="1299" t="s">
        <v>48</v>
      </c>
      <c r="B59" s="1299" t="s">
        <v>51</v>
      </c>
      <c r="C59" s="1300">
        <v>58</v>
      </c>
      <c r="D59" s="1300">
        <v>2986029</v>
      </c>
      <c r="E59" s="1300">
        <v>113</v>
      </c>
      <c r="F59" s="1300">
        <v>3165527</v>
      </c>
    </row>
    <row r="60" spans="1:6">
      <c r="A60" s="1299" t="s">
        <v>48</v>
      </c>
      <c r="B60" s="1299" t="s">
        <v>52</v>
      </c>
      <c r="C60" s="1300">
        <v>30</v>
      </c>
      <c r="D60" s="1300">
        <v>2580614</v>
      </c>
      <c r="E60" s="1300">
        <v>40</v>
      </c>
      <c r="F60" s="1300">
        <v>2534294</v>
      </c>
    </row>
    <row r="61" spans="1:6">
      <c r="A61" s="1299" t="s">
        <v>48</v>
      </c>
      <c r="B61" s="1299" t="s">
        <v>53</v>
      </c>
      <c r="C61" s="1300">
        <v>120</v>
      </c>
      <c r="D61" s="1300">
        <v>6078508</v>
      </c>
      <c r="E61" s="1300">
        <v>310</v>
      </c>
      <c r="F61" s="1300">
        <v>6089555</v>
      </c>
    </row>
    <row r="62" spans="1:6">
      <c r="A62" s="1299" t="s">
        <v>48</v>
      </c>
      <c r="B62" s="1299" t="s">
        <v>54</v>
      </c>
      <c r="C62" s="1300">
        <v>6</v>
      </c>
      <c r="D62" s="1300">
        <v>927379</v>
      </c>
      <c r="E62" s="1300">
        <v>8</v>
      </c>
      <c r="F62" s="1300">
        <v>296915</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2</v>
      </c>
      <c r="D65" s="1300">
        <v>65343</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134331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57811159</v>
      </c>
      <c r="E73" s="455"/>
      <c r="F73" s="332"/>
    </row>
    <row r="74" spans="1:6">
      <c r="A74" s="1299" t="s">
        <v>63</v>
      </c>
      <c r="B74" s="1299" t="s">
        <v>768</v>
      </c>
      <c r="C74" s="1313" t="s">
        <v>762</v>
      </c>
      <c r="D74" s="1314">
        <v>5079223.5587050719</v>
      </c>
      <c r="E74" s="455"/>
      <c r="F74" s="332"/>
    </row>
    <row r="75" spans="1:6">
      <c r="A75" s="1299" t="s">
        <v>64</v>
      </c>
      <c r="B75" s="1299" t="s">
        <v>767</v>
      </c>
      <c r="C75" s="1313" t="s">
        <v>763</v>
      </c>
      <c r="D75" s="1314">
        <v>7186209</v>
      </c>
      <c r="E75" s="455"/>
      <c r="F75" s="332"/>
    </row>
    <row r="76" spans="1:6">
      <c r="A76" s="1299" t="s">
        <v>64</v>
      </c>
      <c r="B76" s="1299" t="s">
        <v>768</v>
      </c>
      <c r="C76" s="1313" t="s">
        <v>764</v>
      </c>
      <c r="D76" s="1314">
        <v>396459.55870507198</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406246.88258985605</v>
      </c>
      <c r="C83" s="455"/>
      <c r="D83" s="332"/>
      <c r="E83" s="332"/>
      <c r="F83" s="332"/>
    </row>
    <row r="84" spans="1:6">
      <c r="A84" s="1294" t="s">
        <v>336</v>
      </c>
      <c r="B84" s="1315">
        <v>190241.55059848912</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1554.9630532180713</v>
      </c>
      <c r="C91" s="332"/>
      <c r="D91" s="332"/>
      <c r="E91" s="332"/>
      <c r="F91" s="332"/>
    </row>
    <row r="92" spans="1:6">
      <c r="A92" s="1294" t="s">
        <v>68</v>
      </c>
      <c r="B92" s="1295">
        <v>310.30729222445734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2831</v>
      </c>
      <c r="C97" s="332"/>
      <c r="D97" s="332"/>
      <c r="E97" s="332"/>
      <c r="F97" s="332"/>
    </row>
    <row r="98" spans="1:6">
      <c r="A98" s="1299" t="s">
        <v>71</v>
      </c>
      <c r="B98" s="1300">
        <v>2</v>
      </c>
      <c r="C98" s="332"/>
      <c r="D98" s="332"/>
      <c r="E98" s="332"/>
      <c r="F98" s="332"/>
    </row>
    <row r="99" spans="1:6">
      <c r="A99" s="1299" t="s">
        <v>72</v>
      </c>
      <c r="B99" s="1300">
        <v>22</v>
      </c>
      <c r="C99" s="332"/>
      <c r="D99" s="332"/>
      <c r="E99" s="332"/>
      <c r="F99" s="332"/>
    </row>
    <row r="100" spans="1:6">
      <c r="A100" s="1299" t="s">
        <v>73</v>
      </c>
      <c r="B100" s="1300">
        <v>329</v>
      </c>
      <c r="C100" s="332"/>
      <c r="D100" s="332"/>
      <c r="E100" s="332"/>
      <c r="F100" s="332"/>
    </row>
    <row r="101" spans="1:6">
      <c r="A101" s="1299" t="s">
        <v>74</v>
      </c>
      <c r="B101" s="1300">
        <v>48</v>
      </c>
      <c r="C101" s="332"/>
      <c r="D101" s="332"/>
      <c r="E101" s="332"/>
      <c r="F101" s="332"/>
    </row>
    <row r="102" spans="1:6">
      <c r="A102" s="1299" t="s">
        <v>75</v>
      </c>
      <c r="B102" s="1300">
        <v>62</v>
      </c>
      <c r="C102" s="332"/>
      <c r="D102" s="332"/>
      <c r="E102" s="332"/>
      <c r="F102" s="332"/>
    </row>
    <row r="103" spans="1:6">
      <c r="A103" s="1299" t="s">
        <v>76</v>
      </c>
      <c r="B103" s="1300">
        <v>79</v>
      </c>
      <c r="C103" s="332"/>
      <c r="D103" s="332"/>
      <c r="E103" s="332"/>
      <c r="F103" s="332"/>
    </row>
    <row r="104" spans="1:6">
      <c r="A104" s="1299" t="s">
        <v>77</v>
      </c>
      <c r="B104" s="1300">
        <v>886</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6</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28</v>
      </c>
      <c r="C129" s="332"/>
      <c r="D129" s="332"/>
      <c r="E129" s="332"/>
      <c r="F129" s="332"/>
    </row>
    <row r="130" spans="1:6">
      <c r="A130" s="1299" t="s">
        <v>294</v>
      </c>
      <c r="B130" s="1300">
        <v>2</v>
      </c>
      <c r="C130" s="332"/>
      <c r="D130" s="332"/>
      <c r="E130" s="332"/>
      <c r="F130" s="332"/>
    </row>
    <row r="131" spans="1:6">
      <c r="A131" s="1299" t="s">
        <v>295</v>
      </c>
      <c r="B131" s="1300">
        <v>0</v>
      </c>
      <c r="C131" s="332"/>
      <c r="D131" s="332"/>
      <c r="E131" s="332"/>
      <c r="F131" s="332"/>
    </row>
    <row r="132" spans="1:6">
      <c r="A132" s="1294" t="s">
        <v>296</v>
      </c>
      <c r="B132" s="1295">
        <v>7</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67752.062786402734</v>
      </c>
      <c r="C3" s="44" t="s">
        <v>169</v>
      </c>
      <c r="D3" s="44"/>
      <c r="E3" s="157"/>
      <c r="F3" s="44"/>
      <c r="G3" s="44"/>
      <c r="H3" s="44"/>
      <c r="I3" s="44"/>
      <c r="J3" s="44"/>
      <c r="K3" s="97"/>
    </row>
    <row r="4" spans="1:11">
      <c r="A4" s="362" t="s">
        <v>170</v>
      </c>
      <c r="B4" s="50">
        <f>IF(ISERROR('SEAP template'!B78+'SEAP template'!C78),0,'SEAP template'!B78+'SEAP template'!C78)</f>
        <v>89993.270345442535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20943.360000000004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0.23272140149600223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29919.08571428572</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125897.14285714287</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0.23764705882352943</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719.26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719.26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0.23272140149600223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167.38719524001456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21001.371999999999</v>
      </c>
      <c r="C5" s="18">
        <f>IF(ISERROR('Eigen informatie GS &amp; warmtenet'!B57),0,'Eigen informatie GS &amp; warmtenet'!B57)</f>
        <v>0</v>
      </c>
      <c r="D5" s="31">
        <f>(SUM(HH_hh_gas_kWh,HH_rest_gas_kWh)/1000)*0.902</f>
        <v>63871.950450000004</v>
      </c>
      <c r="E5" s="18">
        <f>B46*B57</f>
        <v>1135.4496899427754</v>
      </c>
      <c r="F5" s="18">
        <f>B51*B62</f>
        <v>0</v>
      </c>
      <c r="G5" s="19"/>
      <c r="H5" s="18"/>
      <c r="I5" s="18"/>
      <c r="J5" s="18">
        <f>B50*B61+C50*C61</f>
        <v>0</v>
      </c>
      <c r="K5" s="18"/>
      <c r="L5" s="18"/>
      <c r="M5" s="18"/>
      <c r="N5" s="18">
        <f>B48*B59+C48*C59</f>
        <v>8419.2990211954802</v>
      </c>
      <c r="O5" s="18">
        <f>B69*B70*B71</f>
        <v>53.153333333333336</v>
      </c>
      <c r="P5" s="18">
        <f>B77*B78*B79/1000-B77*B78*B79/1000/B80</f>
        <v>190.66666666666669</v>
      </c>
    </row>
    <row r="6" spans="1:16">
      <c r="A6" s="17" t="s">
        <v>638</v>
      </c>
      <c r="B6" s="776">
        <f>kWh_PV_kleiner_dan_10kW</f>
        <v>1554.9630532180713</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22556.33505321807</v>
      </c>
      <c r="C8" s="22">
        <f>C5</f>
        <v>0</v>
      </c>
      <c r="D8" s="22">
        <f>D5</f>
        <v>63871.950450000004</v>
      </c>
      <c r="E8" s="22">
        <f>E5</f>
        <v>1135.4496899427754</v>
      </c>
      <c r="F8" s="22">
        <f>F5</f>
        <v>0</v>
      </c>
      <c r="G8" s="22"/>
      <c r="H8" s="22"/>
      <c r="I8" s="22"/>
      <c r="J8" s="22">
        <f>J5</f>
        <v>0</v>
      </c>
      <c r="K8" s="22"/>
      <c r="L8" s="22">
        <f>L5</f>
        <v>0</v>
      </c>
      <c r="M8" s="22">
        <f>M5</f>
        <v>0</v>
      </c>
      <c r="N8" s="22">
        <f>N5</f>
        <v>8419.2990211954802</v>
      </c>
      <c r="O8" s="22">
        <f>O5</f>
        <v>53.153333333333336</v>
      </c>
      <c r="P8" s="22">
        <f>P5</f>
        <v>190.66666666666669</v>
      </c>
    </row>
    <row r="9" spans="1:16">
      <c r="B9" s="20"/>
      <c r="C9" s="20"/>
      <c r="D9" s="262"/>
      <c r="E9" s="20"/>
      <c r="F9" s="20"/>
      <c r="G9" s="20"/>
      <c r="H9" s="20"/>
      <c r="I9" s="20"/>
      <c r="J9" s="20"/>
      <c r="K9" s="20"/>
      <c r="L9" s="20"/>
      <c r="M9" s="20"/>
      <c r="N9" s="20"/>
      <c r="O9" s="20"/>
      <c r="P9" s="20"/>
    </row>
    <row r="10" spans="1:16">
      <c r="A10" s="25" t="s">
        <v>213</v>
      </c>
      <c r="B10" s="26">
        <f ca="1">'EF ele_warmte'!B12</f>
        <v>0.23272140149600223</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5249.3419061983113</v>
      </c>
      <c r="C12" s="24">
        <f ca="1">C10*C8</f>
        <v>0</v>
      </c>
      <c r="D12" s="24">
        <f>D8*D10</f>
        <v>12902.133990900002</v>
      </c>
      <c r="E12" s="24">
        <f>E10*E8</f>
        <v>257.74707961701</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2831</v>
      </c>
      <c r="C18" s="169" t="s">
        <v>110</v>
      </c>
      <c r="D18" s="231"/>
      <c r="E18" s="16"/>
    </row>
    <row r="19" spans="1:7">
      <c r="A19" s="174" t="s">
        <v>71</v>
      </c>
      <c r="B19" s="38">
        <f>aantalw2001_ander</f>
        <v>2</v>
      </c>
      <c r="C19" s="169" t="s">
        <v>110</v>
      </c>
      <c r="D19" s="232"/>
      <c r="E19" s="16"/>
    </row>
    <row r="20" spans="1:7">
      <c r="A20" s="174" t="s">
        <v>72</v>
      </c>
      <c r="B20" s="38">
        <f>aantalw2001_propaan</f>
        <v>22</v>
      </c>
      <c r="C20" s="170">
        <f>IF(ISERROR(B20/SUM($B$20,$B$21,$B$22)*100),0,B20/SUM($B$20,$B$21,$B$22)*100)</f>
        <v>5.5137844611528823</v>
      </c>
      <c r="D20" s="232"/>
      <c r="E20" s="16"/>
    </row>
    <row r="21" spans="1:7">
      <c r="A21" s="174" t="s">
        <v>73</v>
      </c>
      <c r="B21" s="38">
        <f>aantalw2001_elektriciteit</f>
        <v>329</v>
      </c>
      <c r="C21" s="170">
        <f>IF(ISERROR(B21/SUM($B$20,$B$21,$B$22)*100),0,B21/SUM($B$20,$B$21,$B$22)*100)</f>
        <v>82.456140350877192</v>
      </c>
      <c r="D21" s="232"/>
      <c r="E21" s="16"/>
    </row>
    <row r="22" spans="1:7">
      <c r="A22" s="174" t="s">
        <v>74</v>
      </c>
      <c r="B22" s="38">
        <f>aantalw2001_hout</f>
        <v>48</v>
      </c>
      <c r="C22" s="170">
        <f>IF(ISERROR(B22/SUM($B$20,$B$21,$B$22)*100),0,B22/SUM($B$20,$B$21,$B$22)*100)</f>
        <v>12.030075187969924</v>
      </c>
      <c r="D22" s="232"/>
      <c r="E22" s="16"/>
    </row>
    <row r="23" spans="1:7">
      <c r="A23" s="174" t="s">
        <v>75</v>
      </c>
      <c r="B23" s="38">
        <f>aantalw2001_niet_gespec</f>
        <v>62</v>
      </c>
      <c r="C23" s="169" t="s">
        <v>110</v>
      </c>
      <c r="D23" s="231"/>
      <c r="E23" s="16"/>
    </row>
    <row r="24" spans="1:7">
      <c r="A24" s="174" t="s">
        <v>76</v>
      </c>
      <c r="B24" s="38">
        <f>aantalw2001_steenkool</f>
        <v>79</v>
      </c>
      <c r="C24" s="169" t="s">
        <v>110</v>
      </c>
      <c r="D24" s="232"/>
      <c r="E24" s="16"/>
    </row>
    <row r="25" spans="1:7">
      <c r="A25" s="174" t="s">
        <v>77</v>
      </c>
      <c r="B25" s="38">
        <f>aantalw2001_stookolie</f>
        <v>886</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4977</v>
      </c>
      <c r="C28" s="37"/>
      <c r="D28" s="231"/>
    </row>
    <row r="29" spans="1:7" s="16" customFormat="1">
      <c r="A29" s="233" t="s">
        <v>664</v>
      </c>
      <c r="B29" s="38">
        <f>SUM(HH_hh_gas_aantal,HH_rest_gas_aantal)</f>
        <v>3994</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3994</v>
      </c>
      <c r="C32" s="170">
        <f>IF(ISERROR(B32/SUM($B$32,$B$34,$B$35,$B$36,$B$38,$B$39)*100),0,B32/SUM($B$32,$B$34,$B$35,$B$36,$B$38,$B$39)*100)</f>
        <v>80.410710690557679</v>
      </c>
      <c r="D32" s="236"/>
      <c r="G32" s="16"/>
    </row>
    <row r="33" spans="1:7">
      <c r="A33" s="174" t="s">
        <v>71</v>
      </c>
      <c r="B33" s="35" t="s">
        <v>110</v>
      </c>
      <c r="C33" s="170"/>
      <c r="D33" s="236"/>
      <c r="G33" s="16"/>
    </row>
    <row r="34" spans="1:7">
      <c r="A34" s="174" t="s">
        <v>72</v>
      </c>
      <c r="B34" s="34">
        <f>IF((($B$28-$B$32-$B$39-$B$77-$B$38)*C20/100)&lt;0,0,($B$28-$B$32-$B$39-$B$77-$B$38)*C20/100)</f>
        <v>53.649122807017548</v>
      </c>
      <c r="C34" s="170">
        <f>IF(ISERROR(B34/SUM($B$32,$B$34,$B$35,$B$36,$B$38,$B$39)*100),0,B34/SUM($B$32,$B$34,$B$35,$B$36,$B$38,$B$39)*100)</f>
        <v>1.0801111899943134</v>
      </c>
      <c r="D34" s="236"/>
      <c r="G34" s="16"/>
    </row>
    <row r="35" spans="1:7">
      <c r="A35" s="174" t="s">
        <v>73</v>
      </c>
      <c r="B35" s="34">
        <f>IF((($B$28-$B$32-$B$39-$B$77-$B$38)*C21/100)&lt;0,0,($B$28-$B$32-$B$39-$B$77-$B$38)*C21/100)</f>
        <v>802.29824561403507</v>
      </c>
      <c r="C35" s="170">
        <f>IF(ISERROR(B35/SUM($B$32,$B$34,$B$35,$B$36,$B$38,$B$39)*100),0,B35/SUM($B$32,$B$34,$B$35,$B$36,$B$38,$B$39)*100)</f>
        <v>16.152571886733142</v>
      </c>
      <c r="D35" s="236"/>
      <c r="G35" s="16"/>
    </row>
    <row r="36" spans="1:7">
      <c r="A36" s="174" t="s">
        <v>74</v>
      </c>
      <c r="B36" s="34">
        <f>IF((($B$28-$B$32-$B$39-$B$77-$B$38)*C22/100)&lt;0,0,($B$28-$B$32-$B$39-$B$77-$B$38)*C22/100)</f>
        <v>117.05263157894737</v>
      </c>
      <c r="C36" s="170">
        <f>IF(ISERROR(B36/SUM($B$32,$B$34,$B$35,$B$36,$B$38,$B$39)*100),0,B36/SUM($B$32,$B$34,$B$35,$B$36,$B$38,$B$39)*100)</f>
        <v>2.3566062327148654</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3994</v>
      </c>
      <c r="C44" s="35" t="s">
        <v>110</v>
      </c>
      <c r="D44" s="177"/>
    </row>
    <row r="45" spans="1:7">
      <c r="A45" s="174" t="s">
        <v>71</v>
      </c>
      <c r="B45" s="34" t="str">
        <f t="shared" si="0"/>
        <v>-</v>
      </c>
      <c r="C45" s="35" t="s">
        <v>110</v>
      </c>
      <c r="D45" s="177"/>
    </row>
    <row r="46" spans="1:7">
      <c r="A46" s="174" t="s">
        <v>72</v>
      </c>
      <c r="B46" s="34">
        <f t="shared" si="0"/>
        <v>53.649122807017548</v>
      </c>
      <c r="C46" s="35" t="s">
        <v>110</v>
      </c>
      <c r="D46" s="177"/>
    </row>
    <row r="47" spans="1:7">
      <c r="A47" s="174" t="s">
        <v>73</v>
      </c>
      <c r="B47" s="34">
        <f t="shared" si="0"/>
        <v>802.29824561403507</v>
      </c>
      <c r="C47" s="35" t="s">
        <v>110</v>
      </c>
      <c r="D47" s="177"/>
    </row>
    <row r="48" spans="1:7">
      <c r="A48" s="174" t="s">
        <v>74</v>
      </c>
      <c r="B48" s="34">
        <f t="shared" si="0"/>
        <v>117.05263157894737</v>
      </c>
      <c r="C48" s="34">
        <f>B48*10</f>
        <v>1170.5263157894738</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34</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14188.436000000002</v>
      </c>
      <c r="C5" s="18">
        <f>IF(ISERROR('Eigen informatie GS &amp; warmtenet'!B58),0,'Eigen informatie GS &amp; warmtenet'!B58)</f>
        <v>0</v>
      </c>
      <c r="D5" s="31">
        <f>SUM(D6:D12)</f>
        <v>19582.460589999995</v>
      </c>
      <c r="E5" s="18">
        <f>SUM(E6:E12)</f>
        <v>165.05848477931164</v>
      </c>
      <c r="F5" s="18">
        <f>SUM(F6:F12)</f>
        <v>2753.6605619237707</v>
      </c>
      <c r="G5" s="19"/>
      <c r="H5" s="18"/>
      <c r="I5" s="18"/>
      <c r="J5" s="18">
        <f>SUM(J6:J12)</f>
        <v>0</v>
      </c>
      <c r="K5" s="18"/>
      <c r="L5" s="18"/>
      <c r="M5" s="18"/>
      <c r="N5" s="18">
        <f>SUM(N6:N12)</f>
        <v>371.40277532764838</v>
      </c>
      <c r="O5" s="18">
        <f>B38*B39*B40</f>
        <v>3.1266666666666669</v>
      </c>
      <c r="P5" s="18">
        <f>B46*B47*B48/1000-B46*B47*B48/1000/B49</f>
        <v>0</v>
      </c>
      <c r="R5" s="33"/>
    </row>
    <row r="6" spans="1:18">
      <c r="A6" s="33" t="s">
        <v>53</v>
      </c>
      <c r="B6" s="38">
        <f>B26</f>
        <v>6089.5550000000003</v>
      </c>
      <c r="C6" s="34"/>
      <c r="D6" s="38">
        <f>IF(ISERROR(TER_kantoor_gas_kWh/1000),0,TER_kantoor_gas_kWh/1000)*0.902</f>
        <v>5482.8142159999998</v>
      </c>
      <c r="E6" s="34">
        <f>$C$26*'E Balans VL '!I12/100/3.6*1000000</f>
        <v>9.9941939607295343</v>
      </c>
      <c r="F6" s="34">
        <f>$C$26*('E Balans VL '!L12+'E Balans VL '!N12)/100/3.6*1000000</f>
        <v>717.81525505157526</v>
      </c>
      <c r="G6" s="35"/>
      <c r="H6" s="34"/>
      <c r="I6" s="34"/>
      <c r="J6" s="34">
        <f>$C$26*('E Balans VL '!D12+'E Balans VL '!E12)/100/3.6*1000000</f>
        <v>0</v>
      </c>
      <c r="K6" s="34"/>
      <c r="L6" s="34"/>
      <c r="M6" s="34"/>
      <c r="N6" s="34">
        <f>$C$26*'E Balans VL '!Y12/100/3.6*1000000</f>
        <v>1.230365751346314</v>
      </c>
      <c r="O6" s="34"/>
      <c r="P6" s="34"/>
      <c r="R6" s="33"/>
    </row>
    <row r="7" spans="1:18">
      <c r="A7" s="33" t="s">
        <v>52</v>
      </c>
      <c r="B7" s="38">
        <f t="shared" ref="B7:B12" si="0">B27</f>
        <v>2534.2939999999999</v>
      </c>
      <c r="C7" s="34"/>
      <c r="D7" s="38">
        <f>IF(ISERROR(TER_horeca_gas_kWh/1000),0,TER_horeca_gas_kWh/1000)*0.902</f>
        <v>2327.7138279999999</v>
      </c>
      <c r="E7" s="34">
        <f>$C$27*'E Balans VL '!I9/100/3.6*1000000</f>
        <v>131.51152005618579</v>
      </c>
      <c r="F7" s="34">
        <f>$C$27*('E Balans VL '!L9+'E Balans VL '!N9)/100/3.6*1000000</f>
        <v>578.32772969284031</v>
      </c>
      <c r="G7" s="35"/>
      <c r="H7" s="34"/>
      <c r="I7" s="34"/>
      <c r="J7" s="34">
        <f>$C$27*('E Balans VL '!D9+'E Balans VL '!E9)/100/3.6*1000000</f>
        <v>0</v>
      </c>
      <c r="K7" s="34"/>
      <c r="L7" s="34"/>
      <c r="M7" s="34"/>
      <c r="N7" s="34">
        <f>$C$27*'E Balans VL '!Y9/100/3.6*1000000</f>
        <v>0.26762028500910606</v>
      </c>
      <c r="O7" s="34"/>
      <c r="P7" s="34"/>
      <c r="R7" s="33"/>
    </row>
    <row r="8" spans="1:18">
      <c r="A8" s="6" t="s">
        <v>51</v>
      </c>
      <c r="B8" s="38">
        <f t="shared" si="0"/>
        <v>3165.527</v>
      </c>
      <c r="C8" s="34"/>
      <c r="D8" s="38">
        <f>IF(ISERROR(TER_handel_gas_kWh/1000),0,TER_handel_gas_kWh/1000)*0.902</f>
        <v>2693.398158</v>
      </c>
      <c r="E8" s="34">
        <f>$C$28*'E Balans VL '!I13/100/3.6*1000000</f>
        <v>17.046751886567144</v>
      </c>
      <c r="F8" s="34">
        <f>$C$28*('E Balans VL '!L13+'E Balans VL '!N13)/100/3.6*1000000</f>
        <v>645.54502628977048</v>
      </c>
      <c r="G8" s="35"/>
      <c r="H8" s="34"/>
      <c r="I8" s="34"/>
      <c r="J8" s="34">
        <f>$C$28*('E Balans VL '!D13+'E Balans VL '!E13)/100/3.6*1000000</f>
        <v>0</v>
      </c>
      <c r="K8" s="34"/>
      <c r="L8" s="34"/>
      <c r="M8" s="34"/>
      <c r="N8" s="34">
        <f>$C$28*'E Balans VL '!Y13/100/3.6*1000000</f>
        <v>15.74049410408553</v>
      </c>
      <c r="O8" s="34"/>
      <c r="P8" s="34"/>
      <c r="R8" s="33"/>
    </row>
    <row r="9" spans="1:18">
      <c r="A9" s="33" t="s">
        <v>50</v>
      </c>
      <c r="B9" s="38">
        <f t="shared" si="0"/>
        <v>1512.4690000000001</v>
      </c>
      <c r="C9" s="34"/>
      <c r="D9" s="38">
        <f>IF(ISERROR(TER_gezond_gas_kWh/1000),0,TER_gezond_gas_kWh/1000)*0.902</f>
        <v>7075.009282</v>
      </c>
      <c r="E9" s="34">
        <f>$C$29*'E Balans VL '!I10/100/3.6*1000000</f>
        <v>1.4988739787262855</v>
      </c>
      <c r="F9" s="34">
        <f>$C$29*('E Balans VL '!L10+'E Balans VL '!N10)/100/3.6*1000000</f>
        <v>524.78314775357876</v>
      </c>
      <c r="G9" s="35"/>
      <c r="H9" s="34"/>
      <c r="I9" s="34"/>
      <c r="J9" s="34">
        <f>$C$29*('E Balans VL '!D10+'E Balans VL '!E10)/100/3.6*1000000</f>
        <v>0</v>
      </c>
      <c r="K9" s="34"/>
      <c r="L9" s="34"/>
      <c r="M9" s="34"/>
      <c r="N9" s="34">
        <f>$C$29*'E Balans VL '!Y10/100/3.6*1000000</f>
        <v>13.032814348438704</v>
      </c>
      <c r="O9" s="34"/>
      <c r="P9" s="34"/>
      <c r="R9" s="33"/>
    </row>
    <row r="10" spans="1:18">
      <c r="A10" s="33" t="s">
        <v>49</v>
      </c>
      <c r="B10" s="38">
        <f t="shared" si="0"/>
        <v>589.67600000000004</v>
      </c>
      <c r="C10" s="34"/>
      <c r="D10" s="38">
        <f>IF(ISERROR(TER_ander_gas_kWh/1000),0,TER_ander_gas_kWh/1000)*0.902</f>
        <v>1167.0292480000001</v>
      </c>
      <c r="E10" s="34">
        <f>$C$30*'E Balans VL '!I14/100/3.6*1000000</f>
        <v>4.8241390191905378</v>
      </c>
      <c r="F10" s="34">
        <f>$C$30*('E Balans VL '!L14+'E Balans VL '!N14)/100/3.6*1000000</f>
        <v>172.3972556957664</v>
      </c>
      <c r="G10" s="35"/>
      <c r="H10" s="34"/>
      <c r="I10" s="34"/>
      <c r="J10" s="34">
        <f>$C$30*('E Balans VL '!D14+'E Balans VL '!E14)/100/3.6*1000000</f>
        <v>0</v>
      </c>
      <c r="K10" s="34"/>
      <c r="L10" s="34"/>
      <c r="M10" s="34"/>
      <c r="N10" s="34">
        <f>$C$30*'E Balans VL '!Y14/100/3.6*1000000</f>
        <v>340.16567997129465</v>
      </c>
      <c r="O10" s="34"/>
      <c r="P10" s="34"/>
      <c r="R10" s="33"/>
    </row>
    <row r="11" spans="1:18">
      <c r="A11" s="33" t="s">
        <v>54</v>
      </c>
      <c r="B11" s="38">
        <f t="shared" si="0"/>
        <v>296.91500000000002</v>
      </c>
      <c r="C11" s="34"/>
      <c r="D11" s="38">
        <f>IF(ISERROR(TER_onderwijs_gas_kWh/1000),0,TER_onderwijs_gas_kWh/1000)*0.902</f>
        <v>836.495858</v>
      </c>
      <c r="E11" s="34">
        <f>$C$31*'E Balans VL '!I11/100/3.6*1000000</f>
        <v>0.18300587791233866</v>
      </c>
      <c r="F11" s="34">
        <f>$C$31*('E Balans VL '!L11+'E Balans VL '!N11)/100/3.6*1000000</f>
        <v>114.79214744023956</v>
      </c>
      <c r="G11" s="35"/>
      <c r="H11" s="34"/>
      <c r="I11" s="34"/>
      <c r="J11" s="34">
        <f>$C$31*('E Balans VL '!D11+'E Balans VL '!E11)/100/3.6*1000000</f>
        <v>0</v>
      </c>
      <c r="K11" s="34"/>
      <c r="L11" s="34"/>
      <c r="M11" s="34"/>
      <c r="N11" s="34">
        <f>$C$31*'E Balans VL '!Y11/100/3.6*1000000</f>
        <v>0.96580086747403926</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energieproductie'!N45+'lokale energieproductie'!N38</f>
        <v>18634.5</v>
      </c>
      <c r="C13" s="250">
        <f ca="1">'lokale energieproductie'!O45+'lokale energieproductie'!O38</f>
        <v>26620.714285714286</v>
      </c>
      <c r="D13" s="310">
        <f ca="1">('lokale energieproductie'!P38+'lokale energieproductie'!P45)*(-1)</f>
        <v>-53241.428571428572</v>
      </c>
      <c r="E13" s="251"/>
      <c r="F13" s="310">
        <f ca="1">('lokale energieproductie'!S38+'lokale energieproductie'!S45)*(-1)</f>
        <v>0</v>
      </c>
      <c r="G13" s="252"/>
      <c r="H13" s="251"/>
      <c r="I13" s="251"/>
      <c r="J13" s="251"/>
      <c r="K13" s="251"/>
      <c r="L13" s="310">
        <f ca="1">('lokale energieproductie'!U38+'lokale energieproductie'!T38+'lokale energieproductie'!U45+'lokale energieproductie'!T45)*(-1)</f>
        <v>0</v>
      </c>
      <c r="M13" s="251"/>
      <c r="N13" s="310">
        <f ca="1">('lokale energieproductie'!Q38+'lokale energieproductie'!R38+'lokale energieproductie'!V38+'lokale energieproductie'!Q45+'lokale energieproductie'!R45+'lokale energieproductie'!V45)*(-1)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32822.936000000002</v>
      </c>
      <c r="C16" s="22">
        <f t="shared" ca="1" si="1"/>
        <v>26620.714285714286</v>
      </c>
      <c r="D16" s="22">
        <f t="shared" ca="1" si="1"/>
        <v>0</v>
      </c>
      <c r="E16" s="22">
        <f t="shared" si="1"/>
        <v>165.05848477931164</v>
      </c>
      <c r="F16" s="22">
        <f t="shared" ca="1" si="1"/>
        <v>2753.6605619237707</v>
      </c>
      <c r="G16" s="22">
        <f t="shared" si="1"/>
        <v>0</v>
      </c>
      <c r="H16" s="22">
        <f t="shared" si="1"/>
        <v>0</v>
      </c>
      <c r="I16" s="22">
        <f t="shared" si="1"/>
        <v>0</v>
      </c>
      <c r="J16" s="22">
        <f t="shared" si="1"/>
        <v>0</v>
      </c>
      <c r="K16" s="22">
        <f t="shared" si="1"/>
        <v>0</v>
      </c>
      <c r="L16" s="22">
        <f t="shared" ca="1" si="1"/>
        <v>0</v>
      </c>
      <c r="M16" s="22">
        <f t="shared" si="1"/>
        <v>0</v>
      </c>
      <c r="N16" s="22">
        <f t="shared" ca="1" si="1"/>
        <v>371.40277532764838</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0.23272140149600223</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7638.5996671335861</v>
      </c>
      <c r="C20" s="24">
        <f t="shared" ref="C20:P20" ca="1" si="2">C16*C18</f>
        <v>6326.3344537815137</v>
      </c>
      <c r="D20" s="24">
        <f t="shared" ca="1" si="2"/>
        <v>0</v>
      </c>
      <c r="E20" s="24">
        <f t="shared" si="2"/>
        <v>37.468276044903746</v>
      </c>
      <c r="F20" s="24">
        <f t="shared" ca="1" si="2"/>
        <v>735.22737003364682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6089.5550000000003</v>
      </c>
      <c r="C26" s="40">
        <f>IF(ISERROR(B26*3.6/1000000/'E Balans VL '!Z12*100),0,B26*3.6/1000000/'E Balans VL '!Z12*100)</f>
        <v>0.1293986767410672</v>
      </c>
      <c r="D26" s="240" t="s">
        <v>703</v>
      </c>
      <c r="F26" s="6"/>
    </row>
    <row r="27" spans="1:18">
      <c r="A27" s="234" t="s">
        <v>52</v>
      </c>
      <c r="B27" s="34">
        <f>IF(ISERROR(TER_horeca_ele_kWh/1000),0,TER_horeca_ele_kWh/1000)</f>
        <v>2534.2939999999999</v>
      </c>
      <c r="C27" s="40">
        <f>IF(ISERROR(B27*3.6/1000000/'E Balans VL '!Z9*100),0,B27*3.6/1000000/'E Balans VL '!Z9*100)</f>
        <v>0.19946853541051385</v>
      </c>
      <c r="D27" s="240" t="s">
        <v>703</v>
      </c>
      <c r="F27" s="6"/>
    </row>
    <row r="28" spans="1:18">
      <c r="A28" s="174" t="s">
        <v>51</v>
      </c>
      <c r="B28" s="34">
        <f>IF(ISERROR(TER_handel_ele_kWh/1000),0,TER_handel_ele_kWh/1000)</f>
        <v>3165.527</v>
      </c>
      <c r="C28" s="40">
        <f>IF(ISERROR(B28*3.6/1000000/'E Balans VL '!Z13*100),0,B28*3.6/1000000/'E Balans VL '!Z13*100)</f>
        <v>8.8668105393166913E-2</v>
      </c>
      <c r="D28" s="240" t="s">
        <v>703</v>
      </c>
      <c r="F28" s="6"/>
    </row>
    <row r="29" spans="1:18">
      <c r="A29" s="234" t="s">
        <v>50</v>
      </c>
      <c r="B29" s="34">
        <f>IF(ISERROR(TER_gezond_ele_kWh/1000),0,TER_gezond_ele_kWh/1000)</f>
        <v>1512.4690000000001</v>
      </c>
      <c r="C29" s="40">
        <f>IF(ISERROR(B29*3.6/1000000/'E Balans VL '!Z10*100),0,B29*3.6/1000000/'E Balans VL '!Z10*100)</f>
        <v>0.19349052032060185</v>
      </c>
      <c r="D29" s="240" t="s">
        <v>703</v>
      </c>
      <c r="F29" s="6"/>
    </row>
    <row r="30" spans="1:18">
      <c r="A30" s="234" t="s">
        <v>49</v>
      </c>
      <c r="B30" s="34">
        <f>IF(ISERROR(TER_ander_ele_kWh/1000),0,TER_ander_ele_kWh/1000)</f>
        <v>589.67600000000004</v>
      </c>
      <c r="C30" s="40">
        <f>IF(ISERROR(B30*3.6/1000000/'E Balans VL '!Z14*100),0,B30*3.6/1000000/'E Balans VL '!Z14*100)</f>
        <v>4.4102796103226337E-2</v>
      </c>
      <c r="D30" s="240" t="s">
        <v>703</v>
      </c>
      <c r="F30" s="6"/>
    </row>
    <row r="31" spans="1:18">
      <c r="A31" s="234" t="s">
        <v>54</v>
      </c>
      <c r="B31" s="34">
        <f>IF(ISERROR(TER_onderwijs_ele_kWh/1000),0,TER_onderwijs_ele_kWh/1000)</f>
        <v>296.91500000000002</v>
      </c>
      <c r="C31" s="40">
        <f>IF(ISERROR(B31*3.6/1000000/'E Balans VL '!Z11*100),0,B31*3.6/1000000/'E Balans VL '!Z11*100)</f>
        <v>6.269398685323202E-2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8401.2790000000005</v>
      </c>
      <c r="C5" s="18">
        <f>IF(ISERROR('Eigen informatie GS &amp; warmtenet'!B59),0,'Eigen informatie GS &amp; warmtenet'!B59)</f>
        <v>0</v>
      </c>
      <c r="D5" s="31">
        <f>SUM(D6:D15)</f>
        <v>5706.1737700000003</v>
      </c>
      <c r="E5" s="18">
        <f>SUM(E6:E15)</f>
        <v>215.41339099453137</v>
      </c>
      <c r="F5" s="18">
        <f>SUM(F6:F15)</f>
        <v>2757.0293637331129</v>
      </c>
      <c r="G5" s="19"/>
      <c r="H5" s="18"/>
      <c r="I5" s="18"/>
      <c r="J5" s="18">
        <f>SUM(J6:J15)</f>
        <v>1.1599400978130929</v>
      </c>
      <c r="K5" s="18"/>
      <c r="L5" s="18"/>
      <c r="M5" s="18"/>
      <c r="N5" s="18">
        <f>SUM(N6:N15)</f>
        <v>2324.6649699825052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50.014000000000003</v>
      </c>
      <c r="C8" s="34"/>
      <c r="D8" s="38">
        <f>IF( ISERROR(IND_metaal_Gas_kWH/1000),0,IND_metaal_Gas_kWH/1000)*0.902</f>
        <v>0</v>
      </c>
      <c r="E8" s="34">
        <f>C30*'E Balans VL '!I18/100/3.6*1000000</f>
        <v>0.45546848485930536</v>
      </c>
      <c r="F8" s="34">
        <f>C30*'E Balans VL '!L18/100/3.6*1000000+C30*'E Balans VL '!N18/100/3.6*1000000</f>
        <v>6.5964667871605096</v>
      </c>
      <c r="G8" s="35"/>
      <c r="H8" s="34"/>
      <c r="I8" s="34"/>
      <c r="J8" s="41">
        <f>C30*'E Balans VL '!D18/100/3.6*1000000+C30*'E Balans VL '!E18/100/3.6*1000000</f>
        <v>0.82015698228688549</v>
      </c>
      <c r="K8" s="34"/>
      <c r="L8" s="34"/>
      <c r="M8" s="34"/>
      <c r="N8" s="34">
        <f>C30*'E Balans VL '!Y18/100/3.6*1000000</f>
        <v>0.1718782499894653</v>
      </c>
      <c r="O8" s="34"/>
      <c r="P8" s="34"/>
      <c r="R8" s="33"/>
    </row>
    <row r="9" spans="1:18">
      <c r="A9" s="6" t="s">
        <v>32</v>
      </c>
      <c r="B9" s="38">
        <f t="shared" si="0"/>
        <v>2197.3429999999998</v>
      </c>
      <c r="C9" s="34"/>
      <c r="D9" s="38">
        <f>IF( ISERROR(IND_andere_gas_kWh/1000),0,IND_andere_gas_kWh/1000)*0.902</f>
        <v>575.32626799999991</v>
      </c>
      <c r="E9" s="34">
        <f>C31*'E Balans VL '!I19/100/3.6*1000000</f>
        <v>12.700970905751241</v>
      </c>
      <c r="F9" s="34">
        <f>C31*'E Balans VL '!L19/100/3.6*1000000+C31*'E Balans VL '!N19/100/3.6*1000000</f>
        <v>1748.0920884611926</v>
      </c>
      <c r="G9" s="35"/>
      <c r="H9" s="34"/>
      <c r="I9" s="34"/>
      <c r="J9" s="41">
        <f>C31*'E Balans VL '!D19/100/3.6*1000000+C31*'E Balans VL '!E19/100/3.6*1000000</f>
        <v>0.20784424040526611</v>
      </c>
      <c r="K9" s="34"/>
      <c r="L9" s="34"/>
      <c r="M9" s="34"/>
      <c r="N9" s="34">
        <f>C31*'E Balans VL '!Y19/100/3.6*1000000</f>
        <v>166.48198531675371</v>
      </c>
      <c r="O9" s="34"/>
      <c r="P9" s="34"/>
      <c r="R9" s="33"/>
    </row>
    <row r="10" spans="1:18">
      <c r="A10" s="6" t="s">
        <v>40</v>
      </c>
      <c r="B10" s="38">
        <f t="shared" si="0"/>
        <v>276.61599999999999</v>
      </c>
      <c r="C10" s="34"/>
      <c r="D10" s="38">
        <f>IF( ISERROR(IND_voed_gas_kWh/1000),0,IND_voed_gas_kWh/1000)*0.902</f>
        <v>0</v>
      </c>
      <c r="E10" s="34">
        <f>C32*'E Balans VL '!I20/100/3.6*1000000</f>
        <v>2.7198589493120693</v>
      </c>
      <c r="F10" s="34">
        <f>C32*'E Balans VL '!L20/100/3.6*1000000+C32*'E Balans VL '!N20/100/3.6*1000000</f>
        <v>30.72181737028102</v>
      </c>
      <c r="G10" s="35"/>
      <c r="H10" s="34"/>
      <c r="I10" s="34"/>
      <c r="J10" s="41">
        <f>C32*'E Balans VL '!D20/100/3.6*1000000+C32*'E Balans VL '!E20/100/3.6*1000000</f>
        <v>1.0902692321077964E-3</v>
      </c>
      <c r="K10" s="34"/>
      <c r="L10" s="34"/>
      <c r="M10" s="34"/>
      <c r="N10" s="34">
        <f>C32*'E Balans VL '!Y20/100/3.6*1000000</f>
        <v>4.096032290582416</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5851.2860000000001</v>
      </c>
      <c r="C13" s="34"/>
      <c r="D13" s="38">
        <f>IF( ISERROR(IND_papier_gas_kWh/1000),0,IND_papier_gas_kWh/1000)*0.902</f>
        <v>1197.4302560000001</v>
      </c>
      <c r="E13" s="34">
        <f>C35*'E Balans VL '!I23/100/3.6*1000000</f>
        <v>199.30328497620005</v>
      </c>
      <c r="F13" s="34">
        <f>C35*'E Balans VL '!L23/100/3.6*1000000+C35*'E Balans VL '!N23/100/3.6*1000000</f>
        <v>966.49512047361588</v>
      </c>
      <c r="G13" s="35"/>
      <c r="H13" s="34"/>
      <c r="I13" s="34"/>
      <c r="J13" s="41">
        <f>C35*'E Balans VL '!D23/100/3.6*1000000+C35*'E Balans VL '!E23/100/3.6*1000000</f>
        <v>0</v>
      </c>
      <c r="K13" s="34"/>
      <c r="L13" s="34"/>
      <c r="M13" s="34"/>
      <c r="N13" s="34">
        <f>C35*'E Balans VL '!Y23/100/3.6*1000000</f>
        <v>2153.1163286738742</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26.02</v>
      </c>
      <c r="C15" s="34"/>
      <c r="D15" s="38">
        <f>IF( ISERROR(IND_rest_gas_kWh/1000),0,IND_rest_gas_kWh/1000)*0.902</f>
        <v>3933.4172460000004</v>
      </c>
      <c r="E15" s="34">
        <f>C37*'E Balans VL '!I15/100/3.6*1000000</f>
        <v>0.23380767840870204</v>
      </c>
      <c r="F15" s="34">
        <f>C37*'E Balans VL '!L15/100/3.6*1000000+C37*'E Balans VL '!N15/100/3.6*1000000</f>
        <v>5.1238706408628243</v>
      </c>
      <c r="G15" s="35"/>
      <c r="H15" s="34"/>
      <c r="I15" s="34"/>
      <c r="J15" s="41">
        <f>C37*'E Balans VL '!D15/100/3.6*1000000+C37*'E Balans VL '!E15/100/3.6*1000000</f>
        <v>0.13084860588883374</v>
      </c>
      <c r="K15" s="34"/>
      <c r="L15" s="34"/>
      <c r="M15" s="34"/>
      <c r="N15" s="34">
        <f>C37*'E Balans VL '!Y15/100/3.6*1000000</f>
        <v>0.79874545130527641</v>
      </c>
      <c r="O15" s="34"/>
      <c r="P15" s="34"/>
      <c r="R15" s="33"/>
    </row>
    <row r="16" spans="1:18">
      <c r="A16" s="17" t="s">
        <v>501</v>
      </c>
      <c r="B16" s="250">
        <f>'lokale energieproductie'!N44+'lokale energieproductie'!N37</f>
        <v>0</v>
      </c>
      <c r="C16" s="250">
        <f>'lokale energieproductie'!O44+'lokale energieproductie'!O37</f>
        <v>0</v>
      </c>
      <c r="D16" s="310">
        <f>('lokale energieproductie'!P37+'lokale energieproductie'!P44)*(-1)</f>
        <v>0</v>
      </c>
      <c r="E16" s="251"/>
      <c r="F16" s="310">
        <f>('lokale energieproductie'!S37+'lokale energieproductie'!S44)*(-1)</f>
        <v>0</v>
      </c>
      <c r="G16" s="252"/>
      <c r="H16" s="251"/>
      <c r="I16" s="251"/>
      <c r="J16" s="251"/>
      <c r="K16" s="251"/>
      <c r="L16" s="310">
        <f>('lokale energieproductie'!T37+'lokale energieproductie'!U37+'lokale energieproductie'!T44+'lokale energieproductie'!U44)*(-1)</f>
        <v>0</v>
      </c>
      <c r="M16" s="251"/>
      <c r="N16" s="310">
        <f>('lokale energieproductie'!Q37+'lokale energieproductie'!R37+'lokale energieproductie'!V37+'lokale energieproductie'!Q44+'lokale energieproductie'!R44+'lokale energieproductie'!V44)*(-1)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8401.2790000000005</v>
      </c>
      <c r="C18" s="22">
        <f>C5+C16</f>
        <v>0</v>
      </c>
      <c r="D18" s="22">
        <f>MAX((D5+D16),0)</f>
        <v>5706.1737700000003</v>
      </c>
      <c r="E18" s="22">
        <f>MAX((E5+E16),0)</f>
        <v>215.41339099453137</v>
      </c>
      <c r="F18" s="22">
        <f>MAX((F5+F16),0)</f>
        <v>2757.0293637331129</v>
      </c>
      <c r="G18" s="22"/>
      <c r="H18" s="22"/>
      <c r="I18" s="22"/>
      <c r="J18" s="22">
        <f>MAX((J5+J16),0)</f>
        <v>1.1599400978130929</v>
      </c>
      <c r="K18" s="22"/>
      <c r="L18" s="22">
        <f>MAX((L5+L16),0)</f>
        <v>0</v>
      </c>
      <c r="M18" s="22"/>
      <c r="N18" s="22">
        <f>MAX((N5+N16),0)</f>
        <v>2324.6649699825052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0.23272140149600223</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1955.1574232389323</v>
      </c>
      <c r="C22" s="24">
        <f ca="1">C18*C20</f>
        <v>0</v>
      </c>
      <c r="D22" s="24">
        <f>D18*D20</f>
        <v>1152.6471015400002</v>
      </c>
      <c r="E22" s="24">
        <f>E18*E20</f>
        <v>48.898839755758623</v>
      </c>
      <c r="F22" s="24">
        <f>F18*F20</f>
        <v>736.12684011674116</v>
      </c>
      <c r="G22" s="24"/>
      <c r="H22" s="24"/>
      <c r="I22" s="24"/>
      <c r="J22" s="24">
        <f>J18*J20</f>
        <v>0.41061879462583489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50.014000000000003</v>
      </c>
      <c r="C30" s="40">
        <f>IF(ISERROR(B30*3.6/1000000/'E Balans VL '!Z18*100),0,B30*3.6/1000000/'E Balans VL '!Z18*100)</f>
        <v>2.7829446592514146E-3</v>
      </c>
      <c r="D30" s="240" t="s">
        <v>703</v>
      </c>
    </row>
    <row r="31" spans="1:18">
      <c r="A31" s="6" t="s">
        <v>32</v>
      </c>
      <c r="B31" s="38">
        <f>IF( ISERROR(IND_ander_ele_kWh/1000),0,IND_ander_ele_kWh/1000)</f>
        <v>2197.3429999999998</v>
      </c>
      <c r="C31" s="40">
        <f>IF(ISERROR(B31*3.6/1000000/'E Balans VL '!Z19*100),0,B31*3.6/1000000/'E Balans VL '!Z19*100)</f>
        <v>0.10214870518211032</v>
      </c>
      <c r="D31" s="240" t="s">
        <v>703</v>
      </c>
    </row>
    <row r="32" spans="1:18">
      <c r="A32" s="174" t="s">
        <v>40</v>
      </c>
      <c r="B32" s="38">
        <f>IF( ISERROR(IND_voed_ele_kWh/1000),0,IND_voed_ele_kWh/1000)</f>
        <v>276.61599999999999</v>
      </c>
      <c r="C32" s="40">
        <f>IF(ISERROR(B32*3.6/1000000/'E Balans VL '!Z20*100),0,B32*3.6/1000000/'E Balans VL '!Z20*100)</f>
        <v>9.7778169503289422E-3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5851.2860000000001</v>
      </c>
      <c r="C35" s="40">
        <f>IF(ISERROR(B35*3.6/1000000/'E Balans VL '!Z22*100),0,B35*3.6/1000000/'E Balans VL '!Z22*100)</f>
        <v>1.1759434853091999</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26.02</v>
      </c>
      <c r="C37" s="40">
        <f>IF(ISERROR(B37*3.6/1000000/'E Balans VL '!Z15*100),0,B37*3.6/1000000/'E Balans VL '!Z15*100)</f>
        <v>1.9648943735230297E-4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1896.1669999999999</v>
      </c>
      <c r="C5" s="18">
        <f>'Eigen informatie GS &amp; warmtenet'!B60</f>
        <v>0</v>
      </c>
      <c r="D5" s="31">
        <f>IF(ISERROR(SUM(LB_lb_gas_kWh,LB_rest_gas_kWh)/1000),0,SUM(LB_lb_gas_kWh,LB_rest_gas_kWh)/1000)*0.902</f>
        <v>229778.945484</v>
      </c>
      <c r="E5" s="18">
        <f>B17*'E Balans VL '!I25/3.6*1000000/100</f>
        <v>17.863163613565465</v>
      </c>
      <c r="F5" s="18">
        <f>B17*('E Balans VL '!L25/3.6*1000000+'E Balans VL '!N25/3.6*1000000)/100</f>
        <v>6187.8222035616518</v>
      </c>
      <c r="G5" s="19"/>
      <c r="H5" s="18"/>
      <c r="I5" s="18"/>
      <c r="J5" s="18">
        <f>('E Balans VL '!D25+'E Balans VL '!E25)/3.6*1000000*landbouw!B17/100</f>
        <v>234.56508085451634</v>
      </c>
      <c r="K5" s="18"/>
      <c r="L5" s="18">
        <f>L6*(-1)</f>
        <v>0</v>
      </c>
      <c r="M5" s="18"/>
      <c r="N5" s="18">
        <f>N6*(-1)</f>
        <v>0</v>
      </c>
      <c r="O5" s="18"/>
      <c r="P5" s="18"/>
      <c r="R5" s="33"/>
    </row>
    <row r="6" spans="1:18">
      <c r="A6" s="17" t="s">
        <v>501</v>
      </c>
      <c r="B6" s="18" t="s">
        <v>210</v>
      </c>
      <c r="C6" s="18">
        <f>'lokale energieproductie'!O46+'lokale energieproductie'!O39</f>
        <v>99276.42857142858</v>
      </c>
      <c r="D6" s="310">
        <f>('lokale energieproductie'!P39+'lokale energieproductie'!P46)*(-1)</f>
        <v>-198552.85714285719</v>
      </c>
      <c r="E6" s="251"/>
      <c r="F6" s="310">
        <f>('lokale energieproductie'!S39+'lokale energieproductie'!S46)*(-1)</f>
        <v>0</v>
      </c>
      <c r="G6" s="252"/>
      <c r="H6" s="251"/>
      <c r="I6" s="251"/>
      <c r="J6" s="251"/>
      <c r="K6" s="251"/>
      <c r="L6" s="310">
        <f>('lokale energieproductie'!T39+'lokale energieproductie'!U39+'lokale energieproductie'!T46+'lokale energieproductie'!U46)*(-1)</f>
        <v>0</v>
      </c>
      <c r="M6" s="251"/>
      <c r="N6" s="310">
        <f>('lokale energieproductie'!V39+'lokale energieproductie'!R39+'lokale energieproductie'!Q39+'lokale energieproductie'!Q46+'lokale energieproductie'!R46+'lokale energieproductie'!V46)*(-1)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1896.1669999999999</v>
      </c>
      <c r="C8" s="22">
        <f>C5+C6</f>
        <v>99276.42857142858</v>
      </c>
      <c r="D8" s="22">
        <f>MAX((D5+D6),0)</f>
        <v>31226.088341142808</v>
      </c>
      <c r="E8" s="22">
        <f>MAX((E5+E6),0)</f>
        <v>17.863163613565465</v>
      </c>
      <c r="F8" s="22">
        <f>MAX((F5+F6),0)</f>
        <v>6187.8222035616518</v>
      </c>
      <c r="G8" s="22"/>
      <c r="H8" s="22"/>
      <c r="I8" s="22"/>
      <c r="J8" s="22">
        <f>MAX((J5+J6),0)</f>
        <v>234.56508085451634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0.23272140149600223</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441.27864171047003</v>
      </c>
      <c r="C12" s="24">
        <f ca="1">C8*C10</f>
        <v>23592.751260504207</v>
      </c>
      <c r="D12" s="24">
        <f>D8*D10</f>
        <v>6307.6698449108471</v>
      </c>
      <c r="E12" s="24">
        <f>E8*E10</f>
        <v>4.0549381402793605</v>
      </c>
      <c r="F12" s="24">
        <f>F8*F10</f>
        <v>1652.1485283509612</v>
      </c>
      <c r="G12" s="24"/>
      <c r="H12" s="24"/>
      <c r="I12" s="24"/>
      <c r="J12" s="24">
        <f>J8*J10</f>
        <v>83.036038622498779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0.25671071201993212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28.101111293887058</v>
      </c>
      <c r="C26" s="250">
        <f>B26*'GWP N2O_CH4'!B5</f>
        <v>590.12333717162824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2.8913247655960803</v>
      </c>
      <c r="C27" s="250">
        <f>B27*'GWP N2O_CH4'!B5</f>
        <v>60.717820077517686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0.40311701017372603</v>
      </c>
      <c r="C28" s="250">
        <f>B28*'GWP N2O_CH4'!B4</f>
        <v>124.96627315385507</v>
      </c>
      <c r="D28" s="51"/>
    </row>
    <row r="29" spans="1:4">
      <c r="A29" s="42" t="s">
        <v>276</v>
      </c>
      <c r="B29" s="250">
        <f>B34*'ha_N2O bodem landbouw'!B4</f>
        <v>5.0686203009550894</v>
      </c>
      <c r="C29" s="250">
        <f>B29*'GWP N2O_CH4'!B4</f>
        <v>1571.2722932960778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1.3683679197382978E-3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5.210162369959119E-6</v>
      </c>
      <c r="C5" s="443" t="s">
        <v>210</v>
      </c>
      <c r="D5" s="428">
        <f>SUM(D6:D11)</f>
        <v>1.1354201858152384E-5</v>
      </c>
      <c r="E5" s="428">
        <f>SUM(E6:E11)</f>
        <v>7.2552148576115994E-4</v>
      </c>
      <c r="F5" s="441" t="s">
        <v>210</v>
      </c>
      <c r="G5" s="428">
        <f>SUM(G6:G11)</f>
        <v>0.1690562765092278</v>
      </c>
      <c r="H5" s="428">
        <f>SUM(H6:H11)</f>
        <v>2.9098475267615821E-2</v>
      </c>
      <c r="I5" s="443" t="s">
        <v>210</v>
      </c>
      <c r="J5" s="443" t="s">
        <v>210</v>
      </c>
      <c r="K5" s="443" t="s">
        <v>210</v>
      </c>
      <c r="L5" s="443" t="s">
        <v>210</v>
      </c>
      <c r="M5" s="428">
        <f>SUM(M6:M11)</f>
        <v>8.8551389897450917E-3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4.6341188028648092E-6</v>
      </c>
      <c r="C6" s="429"/>
      <c r="D6" s="429">
        <f>vkm_GW_PW*SUMIFS(TableVerdeelsleutelVkm[CNG],TableVerdeelsleutelVkm[Voertuigtype],"Lichte voertuigen")*SUMIFS(TableECFTransport[EnergieConsumptieFactor (PJ per km)],TableECFTransport[Index],CONCATENATE($A6,"_CNG_CNG"))</f>
        <v>9.3760400122094589E-6</v>
      </c>
      <c r="E6" s="431">
        <f>vkm_GW_PW*SUMIFS(TableVerdeelsleutelVkm[LPG],TableVerdeelsleutelVkm[Voertuigtype],"Lichte voertuigen")*SUMIFS(TableECFTransport[EnergieConsumptieFactor (PJ per km)],TableECFTransport[Index],CONCATENATE($A6,"_LPG_LPG"))</f>
        <v>6.0531107629284019E-4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9.6656568927858053E-2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2.4220410830335416E-2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5.4102310090510704E-3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4.9195820254983418E-2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1.3455884484667811E-6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2.189054683100143E-3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5.7604356709430996E-7</v>
      </c>
      <c r="C8" s="429"/>
      <c r="D8" s="431">
        <f>vkm_NGW_PW*SUMIFS(TableVerdeelsleutelVkm[CNG],TableVerdeelsleutelVkm[Voertuigtype],"Lichte voertuigen")*SUMIFS(TableECFTransport[EnergieConsumptieFactor (PJ per km)],TableECFTransport[Index],CONCATENATE($A8,"_CNG_CNG"))</f>
        <v>1.9781618459429255E-6</v>
      </c>
      <c r="E8" s="431">
        <f>vkm_NGW_PW*SUMIFS(TableVerdeelsleutelVkm[LPG],TableVerdeelsleutelVkm[Voertuigtype],"Lichte voertuigen")*SUMIFS(TableECFTransport[EnergieConsumptieFactor (PJ per km)],TableECFTransport[Index],CONCATENATE($A8,"_LPG_LPG"))</f>
        <v>1.2021040946831974E-4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1.8273517056564041E-2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4.8765622438497963E-3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1.0364667910126733E-3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4.9303702698222903E-3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1.5660498214114587E-7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2.1938650658120346E-4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1.4472673249886443</v>
      </c>
      <c r="C14" s="22"/>
      <c r="D14" s="22">
        <f t="shared" ref="D14:M14" si="0">((D5)*10^9/3600)+D12</f>
        <v>3.1539449605978844</v>
      </c>
      <c r="E14" s="22">
        <f t="shared" si="0"/>
        <v>201.53374604476664</v>
      </c>
      <c r="F14" s="22"/>
      <c r="G14" s="22">
        <f t="shared" si="0"/>
        <v>46960.076808118836</v>
      </c>
      <c r="H14" s="22">
        <f t="shared" si="0"/>
        <v>8082.9097965599503</v>
      </c>
      <c r="I14" s="22"/>
      <c r="J14" s="22"/>
      <c r="K14" s="22"/>
      <c r="L14" s="22"/>
      <c r="M14" s="22">
        <f t="shared" si="0"/>
        <v>2459.7608304847477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0.23272140149600223</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0.33681008021072745</v>
      </c>
      <c r="C18" s="24"/>
      <c r="D18" s="24">
        <f t="shared" ref="D18:M18" si="1">D14*D16</f>
        <v>0.63709688204077275</v>
      </c>
      <c r="E18" s="24">
        <f t="shared" si="1"/>
        <v>45.748160352162031</v>
      </c>
      <c r="F18" s="24"/>
      <c r="G18" s="24">
        <f t="shared" si="1"/>
        <v>12538.340507767731</v>
      </c>
      <c r="H18" s="24">
        <f t="shared" si="1"/>
        <v>2012.6445393434276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2.4141652770948269E-3</v>
      </c>
      <c r="C50" s="321">
        <f t="shared" ref="C50:P50" si="2">SUM(C51:C52)</f>
        <v>0</v>
      </c>
      <c r="D50" s="321">
        <f t="shared" si="2"/>
        <v>0</v>
      </c>
      <c r="E50" s="321">
        <f t="shared" si="2"/>
        <v>0</v>
      </c>
      <c r="F50" s="321">
        <f t="shared" si="2"/>
        <v>0</v>
      </c>
      <c r="G50" s="321">
        <f t="shared" si="2"/>
        <v>5.3226252038256587E-3</v>
      </c>
      <c r="H50" s="321">
        <f t="shared" si="2"/>
        <v>0</v>
      </c>
      <c r="I50" s="321">
        <f t="shared" si="2"/>
        <v>0</v>
      </c>
      <c r="J50" s="321">
        <f t="shared" si="2"/>
        <v>0</v>
      </c>
      <c r="K50" s="321">
        <f t="shared" si="2"/>
        <v>0</v>
      </c>
      <c r="L50" s="321">
        <f t="shared" si="2"/>
        <v>0</v>
      </c>
      <c r="M50" s="321">
        <f t="shared" si="2"/>
        <v>2.3353639754701666E-4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5.3226252038256587E-3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2.3353639754701666E-4</v>
      </c>
      <c r="N51" s="323"/>
      <c r="O51" s="323"/>
      <c r="P51" s="326"/>
    </row>
    <row r="52" spans="1:18">
      <c r="A52" s="4" t="s">
        <v>329</v>
      </c>
      <c r="B52" s="327">
        <f>vkm_tram*SUMIFS(TableECFTransport[EnergieConsumptieFactor (PJ per km)],TableECFTransport[Index],"Tram_gemiddeld_Electric_Electric")</f>
        <v>2.4141652770948269E-3</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670.60146585967414</v>
      </c>
      <c r="C54" s="22">
        <f t="shared" ref="C54:P54" si="3">(C50)*10^9/3600</f>
        <v>0</v>
      </c>
      <c r="D54" s="22">
        <f t="shared" si="3"/>
        <v>0</v>
      </c>
      <c r="E54" s="22">
        <f t="shared" si="3"/>
        <v>0</v>
      </c>
      <c r="F54" s="22">
        <f t="shared" si="3"/>
        <v>0</v>
      </c>
      <c r="G54" s="22">
        <f t="shared" si="3"/>
        <v>1478.507001062683</v>
      </c>
      <c r="H54" s="22">
        <f t="shared" si="3"/>
        <v>0</v>
      </c>
      <c r="I54" s="22">
        <f t="shared" si="3"/>
        <v>0</v>
      </c>
      <c r="J54" s="22">
        <f t="shared" si="3"/>
        <v>0</v>
      </c>
      <c r="K54" s="22">
        <f t="shared" si="3"/>
        <v>0</v>
      </c>
      <c r="L54" s="22">
        <f t="shared" si="3"/>
        <v>0</v>
      </c>
      <c r="M54" s="22">
        <f t="shared" si="3"/>
        <v>64.871221540837965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0.23272140149600223</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156.06331298013686</v>
      </c>
      <c r="C58" s="24">
        <f t="shared" ref="C58:P58" ca="1" si="4">C54*C56</f>
        <v>0</v>
      </c>
      <c r="D58" s="24">
        <f t="shared" si="4"/>
        <v>0</v>
      </c>
      <c r="E58" s="24">
        <f t="shared" si="4"/>
        <v>0</v>
      </c>
      <c r="F58" s="24">
        <f t="shared" si="4"/>
        <v>0</v>
      </c>
      <c r="G58" s="24">
        <f t="shared" si="4"/>
        <v>394.76136928373637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33542.196000000004</v>
      </c>
      <c r="D10" s="684">
        <f ca="1">tertiair!C16</f>
        <v>26620.714285714286</v>
      </c>
      <c r="E10" s="684">
        <f ca="1">tertiair!D16</f>
        <v>0</v>
      </c>
      <c r="F10" s="684">
        <f>tertiair!E16</f>
        <v>165.05848477931164</v>
      </c>
      <c r="G10" s="684">
        <f ca="1">tertiair!F16</f>
        <v>2753.6605619237707</v>
      </c>
      <c r="H10" s="684">
        <f>tertiair!G16</f>
        <v>0</v>
      </c>
      <c r="I10" s="684">
        <f>tertiair!H16</f>
        <v>0</v>
      </c>
      <c r="J10" s="684">
        <f>tertiair!I16</f>
        <v>0</v>
      </c>
      <c r="K10" s="684">
        <f>tertiair!J16</f>
        <v>0</v>
      </c>
      <c r="L10" s="684">
        <f>tertiair!K16</f>
        <v>0</v>
      </c>
      <c r="M10" s="684">
        <f ca="1">tertiair!L16</f>
        <v>0</v>
      </c>
      <c r="N10" s="684">
        <f>tertiair!M16</f>
        <v>0</v>
      </c>
      <c r="O10" s="684">
        <f ca="1">tertiair!N16</f>
        <v>371.40277532764838</v>
      </c>
      <c r="P10" s="684">
        <f>tertiair!O16</f>
        <v>3.1266666666666669</v>
      </c>
      <c r="Q10" s="685">
        <f>tertiair!P16</f>
        <v>0</v>
      </c>
      <c r="R10" s="687">
        <f ca="1">SUM(C10:Q10)</f>
        <v>63456.158774411684</v>
      </c>
      <c r="S10" s="68"/>
    </row>
    <row r="11" spans="1:19" s="453" customFormat="1">
      <c r="A11" s="799" t="s">
        <v>224</v>
      </c>
      <c r="B11" s="804"/>
      <c r="C11" s="684">
        <f>huishoudens!B8</f>
        <v>22556.33505321807</v>
      </c>
      <c r="D11" s="684">
        <f>huishoudens!C8</f>
        <v>0</v>
      </c>
      <c r="E11" s="684">
        <f>huishoudens!D8</f>
        <v>63871.950450000004</v>
      </c>
      <c r="F11" s="684">
        <f>huishoudens!E8</f>
        <v>1135.4496899427754</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8419.2990211954802</v>
      </c>
      <c r="P11" s="684">
        <f>huishoudens!O8</f>
        <v>53.153333333333336</v>
      </c>
      <c r="Q11" s="685">
        <f>huishoudens!P8</f>
        <v>190.66666666666669</v>
      </c>
      <c r="R11" s="687">
        <f>SUM(C11:Q11)</f>
        <v>96226.854214356325</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8401.2790000000005</v>
      </c>
      <c r="D13" s="684">
        <f>industrie!C18</f>
        <v>0</v>
      </c>
      <c r="E13" s="684">
        <f>industrie!D18</f>
        <v>5706.1737700000003</v>
      </c>
      <c r="F13" s="684">
        <f>industrie!E18</f>
        <v>215.41339099453137</v>
      </c>
      <c r="G13" s="684">
        <f>industrie!F18</f>
        <v>2757.0293637331129</v>
      </c>
      <c r="H13" s="684">
        <f>industrie!G18</f>
        <v>0</v>
      </c>
      <c r="I13" s="684">
        <f>industrie!H18</f>
        <v>0</v>
      </c>
      <c r="J13" s="684">
        <f>industrie!I18</f>
        <v>0</v>
      </c>
      <c r="K13" s="684">
        <f>industrie!J18</f>
        <v>1.1599400978130929</v>
      </c>
      <c r="L13" s="684">
        <f>industrie!K18</f>
        <v>0</v>
      </c>
      <c r="M13" s="684">
        <f>industrie!L18</f>
        <v>0</v>
      </c>
      <c r="N13" s="684">
        <f>industrie!M18</f>
        <v>0</v>
      </c>
      <c r="O13" s="684">
        <f>industrie!N18</f>
        <v>2324.6649699825052</v>
      </c>
      <c r="P13" s="684">
        <f>industrie!O18</f>
        <v>0</v>
      </c>
      <c r="Q13" s="685">
        <f>industrie!P18</f>
        <v>0</v>
      </c>
      <c r="R13" s="687">
        <f>SUM(C13:Q13)</f>
        <v>19405.720434807965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64499.810053218076</v>
      </c>
      <c r="D16" s="717">
        <f t="shared" ref="D16:R16" ca="1" si="0">SUM(D9:D15)</f>
        <v>26620.714285714286</v>
      </c>
      <c r="E16" s="717">
        <f t="shared" ca="1" si="0"/>
        <v>69578.124219999998</v>
      </c>
      <c r="F16" s="717">
        <f t="shared" si="0"/>
        <v>1515.9215657166183</v>
      </c>
      <c r="G16" s="717">
        <f t="shared" ca="1" si="0"/>
        <v>5510.6899256568831</v>
      </c>
      <c r="H16" s="717">
        <f t="shared" si="0"/>
        <v>0</v>
      </c>
      <c r="I16" s="717">
        <f t="shared" si="0"/>
        <v>0</v>
      </c>
      <c r="J16" s="717">
        <f t="shared" si="0"/>
        <v>0</v>
      </c>
      <c r="K16" s="717">
        <f t="shared" si="0"/>
        <v>1.1599400978130929</v>
      </c>
      <c r="L16" s="717">
        <f t="shared" si="0"/>
        <v>0</v>
      </c>
      <c r="M16" s="717">
        <f t="shared" ca="1" si="0"/>
        <v>0</v>
      </c>
      <c r="N16" s="717">
        <f t="shared" si="0"/>
        <v>0</v>
      </c>
      <c r="O16" s="717">
        <f t="shared" ca="1" si="0"/>
        <v>11115.366766505633</v>
      </c>
      <c r="P16" s="717">
        <f t="shared" si="0"/>
        <v>56.28</v>
      </c>
      <c r="Q16" s="717">
        <f t="shared" si="0"/>
        <v>190.66666666666669</v>
      </c>
      <c r="R16" s="717">
        <f t="shared" ca="1" si="0"/>
        <v>179088.73342357596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670.60146585967414</v>
      </c>
      <c r="D19" s="684">
        <f>transport!C54</f>
        <v>0</v>
      </c>
      <c r="E19" s="684">
        <f>transport!D54</f>
        <v>0</v>
      </c>
      <c r="F19" s="684">
        <f>transport!E54</f>
        <v>0</v>
      </c>
      <c r="G19" s="684">
        <f>transport!F54</f>
        <v>0</v>
      </c>
      <c r="H19" s="684">
        <f>transport!G54</f>
        <v>1478.507001062683</v>
      </c>
      <c r="I19" s="684">
        <f>transport!H54</f>
        <v>0</v>
      </c>
      <c r="J19" s="684">
        <f>transport!I54</f>
        <v>0</v>
      </c>
      <c r="K19" s="684">
        <f>transport!J54</f>
        <v>0</v>
      </c>
      <c r="L19" s="684">
        <f>transport!K54</f>
        <v>0</v>
      </c>
      <c r="M19" s="684">
        <f>transport!L54</f>
        <v>0</v>
      </c>
      <c r="N19" s="684">
        <f>transport!M54</f>
        <v>64.871221540837965</v>
      </c>
      <c r="O19" s="684">
        <f>transport!N54</f>
        <v>0</v>
      </c>
      <c r="P19" s="684">
        <f>transport!O54</f>
        <v>0</v>
      </c>
      <c r="Q19" s="685">
        <f>transport!P54</f>
        <v>0</v>
      </c>
      <c r="R19" s="687">
        <f>SUM(C19:Q19)</f>
        <v>2213.9796884631955</v>
      </c>
      <c r="S19" s="68"/>
    </row>
    <row r="20" spans="1:19" s="453" customFormat="1">
      <c r="A20" s="799" t="s">
        <v>306</v>
      </c>
      <c r="B20" s="804"/>
      <c r="C20" s="684">
        <f>transport!B14</f>
        <v>1.4472673249886443</v>
      </c>
      <c r="D20" s="684">
        <f>transport!C14</f>
        <v>0</v>
      </c>
      <c r="E20" s="684">
        <f>transport!D14</f>
        <v>3.1539449605978844</v>
      </c>
      <c r="F20" s="684">
        <f>transport!E14</f>
        <v>201.53374604476664</v>
      </c>
      <c r="G20" s="684">
        <f>transport!F14</f>
        <v>0</v>
      </c>
      <c r="H20" s="684">
        <f>transport!G14</f>
        <v>46960.076808118836</v>
      </c>
      <c r="I20" s="684">
        <f>transport!H14</f>
        <v>8082.9097965599503</v>
      </c>
      <c r="J20" s="684">
        <f>transport!I14</f>
        <v>0</v>
      </c>
      <c r="K20" s="684">
        <f>transport!J14</f>
        <v>0</v>
      </c>
      <c r="L20" s="684">
        <f>transport!K14</f>
        <v>0</v>
      </c>
      <c r="M20" s="684">
        <f>transport!L14</f>
        <v>0</v>
      </c>
      <c r="N20" s="684">
        <f>transport!M14</f>
        <v>2459.7608304847477</v>
      </c>
      <c r="O20" s="684">
        <f>transport!N14</f>
        <v>0</v>
      </c>
      <c r="P20" s="684">
        <f>transport!O14</f>
        <v>0</v>
      </c>
      <c r="Q20" s="685">
        <f>transport!P14</f>
        <v>0</v>
      </c>
      <c r="R20" s="687">
        <f>SUM(C20:Q20)</f>
        <v>57708.882393493885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672.04873318466275</v>
      </c>
      <c r="D22" s="802">
        <f t="shared" ref="D22:R22" si="1">SUM(D18:D21)</f>
        <v>0</v>
      </c>
      <c r="E22" s="802">
        <f t="shared" si="1"/>
        <v>3.1539449605978844</v>
      </c>
      <c r="F22" s="802">
        <f t="shared" si="1"/>
        <v>201.53374604476664</v>
      </c>
      <c r="G22" s="802">
        <f t="shared" si="1"/>
        <v>0</v>
      </c>
      <c r="H22" s="802">
        <f t="shared" si="1"/>
        <v>48438.583809181517</v>
      </c>
      <c r="I22" s="802">
        <f t="shared" si="1"/>
        <v>8082.9097965599503</v>
      </c>
      <c r="J22" s="802">
        <f t="shared" si="1"/>
        <v>0</v>
      </c>
      <c r="K22" s="802">
        <f t="shared" si="1"/>
        <v>0</v>
      </c>
      <c r="L22" s="802">
        <f t="shared" si="1"/>
        <v>0</v>
      </c>
      <c r="M22" s="802">
        <f t="shared" si="1"/>
        <v>0</v>
      </c>
      <c r="N22" s="802">
        <f t="shared" si="1"/>
        <v>2524.6320520255858</v>
      </c>
      <c r="O22" s="802">
        <f t="shared" si="1"/>
        <v>0</v>
      </c>
      <c r="P22" s="802">
        <f t="shared" si="1"/>
        <v>0</v>
      </c>
      <c r="Q22" s="802">
        <f t="shared" si="1"/>
        <v>0</v>
      </c>
      <c r="R22" s="802">
        <f t="shared" si="1"/>
        <v>59922.862081957079</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1896.1669999999999</v>
      </c>
      <c r="D24" s="684">
        <f>+landbouw!C8</f>
        <v>99276.42857142858</v>
      </c>
      <c r="E24" s="684">
        <f>+landbouw!D8</f>
        <v>31226.088341142808</v>
      </c>
      <c r="F24" s="684">
        <f>+landbouw!E8</f>
        <v>17.863163613565465</v>
      </c>
      <c r="G24" s="684">
        <f>+landbouw!F8</f>
        <v>6187.8222035616518</v>
      </c>
      <c r="H24" s="684">
        <f>+landbouw!G8</f>
        <v>0</v>
      </c>
      <c r="I24" s="684">
        <f>+landbouw!H8</f>
        <v>0</v>
      </c>
      <c r="J24" s="684">
        <f>+landbouw!I8</f>
        <v>0</v>
      </c>
      <c r="K24" s="684">
        <f>+landbouw!J8</f>
        <v>234.56508085451634</v>
      </c>
      <c r="L24" s="684">
        <f>+landbouw!K8</f>
        <v>0</v>
      </c>
      <c r="M24" s="684">
        <f>+landbouw!L8</f>
        <v>0</v>
      </c>
      <c r="N24" s="684">
        <f>+landbouw!M8</f>
        <v>0</v>
      </c>
      <c r="O24" s="684">
        <f>+landbouw!N8</f>
        <v>0</v>
      </c>
      <c r="P24" s="684">
        <f>+landbouw!O8</f>
        <v>0</v>
      </c>
      <c r="Q24" s="685">
        <f>+landbouw!P8</f>
        <v>0</v>
      </c>
      <c r="R24" s="687">
        <f>SUM(C24:Q24)</f>
        <v>138838.93436060115</v>
      </c>
      <c r="S24" s="68"/>
    </row>
    <row r="25" spans="1:19" s="453" customFormat="1" ht="15" thickBot="1">
      <c r="A25" s="821" t="s">
        <v>896</v>
      </c>
      <c r="B25" s="990"/>
      <c r="C25" s="991">
        <f>IF(Onbekend_ele_kWh="---",0,Onbekend_ele_kWh)/1000+IF(REST_rest_ele_kWh="---",0,REST_rest_ele_kWh)/1000</f>
        <v>684.03700000000003</v>
      </c>
      <c r="D25" s="991"/>
      <c r="E25" s="991">
        <f>IF(onbekend_gas_kWh="---",0,onbekend_gas_kWh)/1000+IF(REST_rest_gas_kWh="---",0,REST_rest_gas_kWh)/1000</f>
        <v>3060.3069999999998</v>
      </c>
      <c r="F25" s="991"/>
      <c r="G25" s="991"/>
      <c r="H25" s="991"/>
      <c r="I25" s="991"/>
      <c r="J25" s="991"/>
      <c r="K25" s="991"/>
      <c r="L25" s="991"/>
      <c r="M25" s="991"/>
      <c r="N25" s="991"/>
      <c r="O25" s="991"/>
      <c r="P25" s="991"/>
      <c r="Q25" s="992"/>
      <c r="R25" s="687">
        <f>SUM(C25:Q25)</f>
        <v>3744.3440000000001</v>
      </c>
      <c r="S25" s="68"/>
    </row>
    <row r="26" spans="1:19" s="453" customFormat="1" ht="15.75" thickBot="1">
      <c r="A26" s="690" t="s">
        <v>897</v>
      </c>
      <c r="B26" s="807"/>
      <c r="C26" s="802">
        <f>SUM(C24:C25)</f>
        <v>2580.2039999999997</v>
      </c>
      <c r="D26" s="802">
        <f t="shared" ref="D26:R26" si="2">SUM(D24:D25)</f>
        <v>99276.42857142858</v>
      </c>
      <c r="E26" s="802">
        <f t="shared" si="2"/>
        <v>34286.395341142808</v>
      </c>
      <c r="F26" s="802">
        <f t="shared" si="2"/>
        <v>17.863163613565465</v>
      </c>
      <c r="G26" s="802">
        <f t="shared" si="2"/>
        <v>6187.8222035616518</v>
      </c>
      <c r="H26" s="802">
        <f t="shared" si="2"/>
        <v>0</v>
      </c>
      <c r="I26" s="802">
        <f t="shared" si="2"/>
        <v>0</v>
      </c>
      <c r="J26" s="802">
        <f t="shared" si="2"/>
        <v>0</v>
      </c>
      <c r="K26" s="802">
        <f t="shared" si="2"/>
        <v>234.56508085451634</v>
      </c>
      <c r="L26" s="802">
        <f t="shared" si="2"/>
        <v>0</v>
      </c>
      <c r="M26" s="802">
        <f t="shared" si="2"/>
        <v>0</v>
      </c>
      <c r="N26" s="802">
        <f t="shared" si="2"/>
        <v>0</v>
      </c>
      <c r="O26" s="802">
        <f t="shared" si="2"/>
        <v>0</v>
      </c>
      <c r="P26" s="802">
        <f t="shared" si="2"/>
        <v>0</v>
      </c>
      <c r="Q26" s="802">
        <f t="shared" si="2"/>
        <v>0</v>
      </c>
      <c r="R26" s="802">
        <f t="shared" si="2"/>
        <v>142583.27836060117</v>
      </c>
      <c r="S26" s="68"/>
    </row>
    <row r="27" spans="1:19" s="453" customFormat="1" ht="17.25" thickTop="1" thickBot="1">
      <c r="A27" s="691" t="s">
        <v>115</v>
      </c>
      <c r="B27" s="794"/>
      <c r="C27" s="692">
        <f ca="1">C22+C16+C26</f>
        <v>67752.062786402734</v>
      </c>
      <c r="D27" s="692">
        <f t="shared" ref="D27:R27" ca="1" si="3">D22+D16+D26</f>
        <v>125897.14285714287</v>
      </c>
      <c r="E27" s="692">
        <f t="shared" ca="1" si="3"/>
        <v>103867.6735061034</v>
      </c>
      <c r="F27" s="692">
        <f t="shared" si="3"/>
        <v>1735.3184753749506</v>
      </c>
      <c r="G27" s="692">
        <f t="shared" ca="1" si="3"/>
        <v>11698.512129218536</v>
      </c>
      <c r="H27" s="692">
        <f t="shared" si="3"/>
        <v>48438.583809181517</v>
      </c>
      <c r="I27" s="692">
        <f t="shared" si="3"/>
        <v>8082.9097965599503</v>
      </c>
      <c r="J27" s="692">
        <f t="shared" si="3"/>
        <v>0</v>
      </c>
      <c r="K27" s="692">
        <f t="shared" si="3"/>
        <v>235.72502095232943</v>
      </c>
      <c r="L27" s="692">
        <f t="shared" si="3"/>
        <v>0</v>
      </c>
      <c r="M27" s="692">
        <f t="shared" ca="1" si="3"/>
        <v>0</v>
      </c>
      <c r="N27" s="692">
        <f t="shared" si="3"/>
        <v>2524.6320520255858</v>
      </c>
      <c r="O27" s="692">
        <f t="shared" ca="1" si="3"/>
        <v>11115.366766505633</v>
      </c>
      <c r="P27" s="692">
        <f t="shared" si="3"/>
        <v>56.28</v>
      </c>
      <c r="Q27" s="692">
        <f t="shared" si="3"/>
        <v>190.66666666666669</v>
      </c>
      <c r="R27" s="692">
        <f t="shared" ca="1" si="3"/>
        <v>381594.87386613421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7805.9868623736011</v>
      </c>
      <c r="D40" s="684">
        <f ca="1">tertiair!C20</f>
        <v>6326.3344537815137</v>
      </c>
      <c r="E40" s="684">
        <f ca="1">tertiair!D20</f>
        <v>0</v>
      </c>
      <c r="F40" s="684">
        <f>tertiair!E20</f>
        <v>37.468276044903746</v>
      </c>
      <c r="G40" s="684">
        <f ca="1">tertiair!F20</f>
        <v>735.22737003364682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14905.016962233663</v>
      </c>
    </row>
    <row r="41" spans="1:18">
      <c r="A41" s="812" t="s">
        <v>224</v>
      </c>
      <c r="B41" s="819"/>
      <c r="C41" s="684">
        <f ca="1">huishoudens!B12</f>
        <v>5249.3419061983113</v>
      </c>
      <c r="D41" s="684">
        <f ca="1">huishoudens!C12</f>
        <v>0</v>
      </c>
      <c r="E41" s="684">
        <f>huishoudens!D12</f>
        <v>12902.133990900002</v>
      </c>
      <c r="F41" s="684">
        <f>huishoudens!E12</f>
        <v>257.74707961701</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18409.222976715322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1955.1574232389323</v>
      </c>
      <c r="D43" s="684">
        <f ca="1">industrie!C22</f>
        <v>0</v>
      </c>
      <c r="E43" s="684">
        <f>industrie!D22</f>
        <v>1152.6471015400002</v>
      </c>
      <c r="F43" s="684">
        <f>industrie!E22</f>
        <v>48.898839755758623</v>
      </c>
      <c r="G43" s="684">
        <f>industrie!F22</f>
        <v>736.12684011674116</v>
      </c>
      <c r="H43" s="684">
        <f>industrie!G22</f>
        <v>0</v>
      </c>
      <c r="I43" s="684">
        <f>industrie!H22</f>
        <v>0</v>
      </c>
      <c r="J43" s="684">
        <f>industrie!I22</f>
        <v>0</v>
      </c>
      <c r="K43" s="684">
        <f>industrie!J22</f>
        <v>0.41061879462583489</v>
      </c>
      <c r="L43" s="684">
        <f>industrie!K22</f>
        <v>0</v>
      </c>
      <c r="M43" s="684">
        <f>industrie!L22</f>
        <v>0</v>
      </c>
      <c r="N43" s="684">
        <f>industrie!M22</f>
        <v>0</v>
      </c>
      <c r="O43" s="684">
        <f>industrie!N22</f>
        <v>0</v>
      </c>
      <c r="P43" s="684">
        <f>industrie!O22</f>
        <v>0</v>
      </c>
      <c r="Q43" s="759">
        <f>industrie!P22</f>
        <v>0</v>
      </c>
      <c r="R43" s="839">
        <f t="shared" ca="1" si="4"/>
        <v>3893.2408234460581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15010.486191810844</v>
      </c>
      <c r="D46" s="717">
        <f t="shared" ref="D46:Q46" ca="1" si="5">SUM(D39:D45)</f>
        <v>6326.3344537815137</v>
      </c>
      <c r="E46" s="717">
        <f t="shared" ca="1" si="5"/>
        <v>14054.781092440002</v>
      </c>
      <c r="F46" s="717">
        <f t="shared" si="5"/>
        <v>344.11419541767236</v>
      </c>
      <c r="G46" s="717">
        <f t="shared" ca="1" si="5"/>
        <v>1471.3542101503881</v>
      </c>
      <c r="H46" s="717">
        <f t="shared" si="5"/>
        <v>0</v>
      </c>
      <c r="I46" s="717">
        <f t="shared" si="5"/>
        <v>0</v>
      </c>
      <c r="J46" s="717">
        <f t="shared" si="5"/>
        <v>0</v>
      </c>
      <c r="K46" s="717">
        <f t="shared" si="5"/>
        <v>0.41061879462583489</v>
      </c>
      <c r="L46" s="717">
        <f t="shared" si="5"/>
        <v>0</v>
      </c>
      <c r="M46" s="717">
        <f t="shared" ca="1" si="5"/>
        <v>0</v>
      </c>
      <c r="N46" s="717">
        <f t="shared" si="5"/>
        <v>0</v>
      </c>
      <c r="O46" s="717">
        <f t="shared" ca="1" si="5"/>
        <v>0</v>
      </c>
      <c r="P46" s="717">
        <f t="shared" si="5"/>
        <v>0</v>
      </c>
      <c r="Q46" s="717">
        <f t="shared" si="5"/>
        <v>0</v>
      </c>
      <c r="R46" s="717">
        <f ca="1">SUM(R39:R45)</f>
        <v>37207.480762395047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156.06331298013686</v>
      </c>
      <c r="D49" s="684">
        <f ca="1">transport!C58</f>
        <v>0</v>
      </c>
      <c r="E49" s="684">
        <f>transport!D58</f>
        <v>0</v>
      </c>
      <c r="F49" s="684">
        <f>transport!E58</f>
        <v>0</v>
      </c>
      <c r="G49" s="684">
        <f>transport!F58</f>
        <v>0</v>
      </c>
      <c r="H49" s="684">
        <f>transport!G58</f>
        <v>394.76136928373637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550.82468226387323</v>
      </c>
    </row>
    <row r="50" spans="1:18">
      <c r="A50" s="815" t="s">
        <v>306</v>
      </c>
      <c r="B50" s="825"/>
      <c r="C50" s="997">
        <f ca="1">transport!B18</f>
        <v>0.33681008021072745</v>
      </c>
      <c r="D50" s="997">
        <f>transport!C18</f>
        <v>0</v>
      </c>
      <c r="E50" s="997">
        <f>transport!D18</f>
        <v>0.63709688204077275</v>
      </c>
      <c r="F50" s="997">
        <f>transport!E18</f>
        <v>45.748160352162031</v>
      </c>
      <c r="G50" s="997">
        <f>transport!F18</f>
        <v>0</v>
      </c>
      <c r="H50" s="997">
        <f>transport!G18</f>
        <v>12538.340507767731</v>
      </c>
      <c r="I50" s="997">
        <f>transport!H18</f>
        <v>2012.6445393434276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14597.707114425571</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156.4001230603476</v>
      </c>
      <c r="D52" s="717">
        <f t="shared" ref="D52:Q52" ca="1" si="6">SUM(D48:D51)</f>
        <v>0</v>
      </c>
      <c r="E52" s="717">
        <f t="shared" si="6"/>
        <v>0.63709688204077275</v>
      </c>
      <c r="F52" s="717">
        <f t="shared" si="6"/>
        <v>45.748160352162031</v>
      </c>
      <c r="G52" s="717">
        <f t="shared" si="6"/>
        <v>0</v>
      </c>
      <c r="H52" s="717">
        <f t="shared" si="6"/>
        <v>12933.101877051467</v>
      </c>
      <c r="I52" s="717">
        <f t="shared" si="6"/>
        <v>2012.6445393434276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15148.531796689445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441.27864171047003</v>
      </c>
      <c r="D54" s="997">
        <f ca="1">+landbouw!C12</f>
        <v>23592.751260504207</v>
      </c>
      <c r="E54" s="997">
        <f>+landbouw!D12</f>
        <v>6307.6698449108471</v>
      </c>
      <c r="F54" s="997">
        <f>+landbouw!E12</f>
        <v>4.0549381402793605</v>
      </c>
      <c r="G54" s="997">
        <f>+landbouw!F12</f>
        <v>1652.1485283509612</v>
      </c>
      <c r="H54" s="997">
        <f>+landbouw!G12</f>
        <v>0</v>
      </c>
      <c r="I54" s="997">
        <f>+landbouw!H12</f>
        <v>0</v>
      </c>
      <c r="J54" s="997">
        <f>+landbouw!I12</f>
        <v>0</v>
      </c>
      <c r="K54" s="997">
        <f>+landbouw!J12</f>
        <v>83.036038622498779</v>
      </c>
      <c r="L54" s="997">
        <f>+landbouw!K12</f>
        <v>0</v>
      </c>
      <c r="M54" s="997">
        <f>+landbouw!L12</f>
        <v>0</v>
      </c>
      <c r="N54" s="997">
        <f>+landbouw!M12</f>
        <v>0</v>
      </c>
      <c r="O54" s="997">
        <f>+landbouw!N12</f>
        <v>0</v>
      </c>
      <c r="P54" s="997">
        <f>+landbouw!O12</f>
        <v>0</v>
      </c>
      <c r="Q54" s="998">
        <f>+landbouw!P12</f>
        <v>0</v>
      </c>
      <c r="R54" s="716">
        <f ca="1">SUM(C54:Q54)</f>
        <v>32080.939252239263</v>
      </c>
    </row>
    <row r="55" spans="1:18" ht="15" thickBot="1">
      <c r="A55" s="815" t="s">
        <v>896</v>
      </c>
      <c r="B55" s="825"/>
      <c r="C55" s="997">
        <f ca="1">C25*'EF ele_warmte'!B12</f>
        <v>159.19004931512089</v>
      </c>
      <c r="D55" s="997"/>
      <c r="E55" s="997">
        <f>E25*EF_CO2_aardgas</f>
        <v>618.18201399999998</v>
      </c>
      <c r="F55" s="997"/>
      <c r="G55" s="997"/>
      <c r="H55" s="997"/>
      <c r="I55" s="997"/>
      <c r="J55" s="997"/>
      <c r="K55" s="997"/>
      <c r="L55" s="997"/>
      <c r="M55" s="997"/>
      <c r="N55" s="997"/>
      <c r="O55" s="997"/>
      <c r="P55" s="997"/>
      <c r="Q55" s="998"/>
      <c r="R55" s="716">
        <f ca="1">SUM(C55:Q55)</f>
        <v>777.37206331512084</v>
      </c>
    </row>
    <row r="56" spans="1:18" ht="15.75" thickBot="1">
      <c r="A56" s="813" t="s">
        <v>897</v>
      </c>
      <c r="B56" s="826"/>
      <c r="C56" s="717">
        <f ca="1">SUM(C54:C55)</f>
        <v>600.46869102559094</v>
      </c>
      <c r="D56" s="717">
        <f t="shared" ref="D56:Q56" ca="1" si="7">SUM(D54:D55)</f>
        <v>23592.751260504207</v>
      </c>
      <c r="E56" s="717">
        <f t="shared" si="7"/>
        <v>6925.8518589108471</v>
      </c>
      <c r="F56" s="717">
        <f t="shared" si="7"/>
        <v>4.0549381402793605</v>
      </c>
      <c r="G56" s="717">
        <f t="shared" si="7"/>
        <v>1652.1485283509612</v>
      </c>
      <c r="H56" s="717">
        <f t="shared" si="7"/>
        <v>0</v>
      </c>
      <c r="I56" s="717">
        <f t="shared" si="7"/>
        <v>0</v>
      </c>
      <c r="J56" s="717">
        <f t="shared" si="7"/>
        <v>0</v>
      </c>
      <c r="K56" s="717">
        <f t="shared" si="7"/>
        <v>83.036038622498779</v>
      </c>
      <c r="L56" s="717">
        <f t="shared" si="7"/>
        <v>0</v>
      </c>
      <c r="M56" s="717">
        <f t="shared" si="7"/>
        <v>0</v>
      </c>
      <c r="N56" s="717">
        <f t="shared" si="7"/>
        <v>0</v>
      </c>
      <c r="O56" s="717">
        <f t="shared" si="7"/>
        <v>0</v>
      </c>
      <c r="P56" s="717">
        <f t="shared" si="7"/>
        <v>0</v>
      </c>
      <c r="Q56" s="718">
        <f t="shared" si="7"/>
        <v>0</v>
      </c>
      <c r="R56" s="719">
        <f ca="1">SUM(R54:R55)</f>
        <v>32858.311315554383</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15767.355005896783</v>
      </c>
      <c r="D61" s="725">
        <f t="shared" ref="D61:Q61" ca="1" si="8">D46+D52+D56</f>
        <v>29919.08571428572</v>
      </c>
      <c r="E61" s="725">
        <f t="shared" ca="1" si="8"/>
        <v>20981.270048232891</v>
      </c>
      <c r="F61" s="725">
        <f t="shared" si="8"/>
        <v>393.91729391011376</v>
      </c>
      <c r="G61" s="725">
        <f t="shared" ca="1" si="8"/>
        <v>3123.5027385013491</v>
      </c>
      <c r="H61" s="725">
        <f t="shared" si="8"/>
        <v>12933.101877051467</v>
      </c>
      <c r="I61" s="725">
        <f t="shared" si="8"/>
        <v>2012.6445393434276</v>
      </c>
      <c r="J61" s="725">
        <f t="shared" si="8"/>
        <v>0</v>
      </c>
      <c r="K61" s="725">
        <f t="shared" si="8"/>
        <v>83.446657417124612</v>
      </c>
      <c r="L61" s="725">
        <f t="shared" si="8"/>
        <v>0</v>
      </c>
      <c r="M61" s="725">
        <f t="shared" ca="1" si="8"/>
        <v>0</v>
      </c>
      <c r="N61" s="725">
        <f t="shared" si="8"/>
        <v>0</v>
      </c>
      <c r="O61" s="725">
        <f t="shared" ca="1" si="8"/>
        <v>0</v>
      </c>
      <c r="P61" s="725">
        <f t="shared" si="8"/>
        <v>0</v>
      </c>
      <c r="Q61" s="725">
        <f t="shared" si="8"/>
        <v>0</v>
      </c>
      <c r="R61" s="725">
        <f ca="1">R46+R52+R56</f>
        <v>85214.323874638882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0.23272140149600223</v>
      </c>
      <c r="D63" s="769">
        <f t="shared" ca="1" si="9"/>
        <v>0.23764705882352943</v>
      </c>
      <c r="E63" s="999">
        <f t="shared" ca="1" si="9"/>
        <v>0.20200000000000004</v>
      </c>
      <c r="F63" s="769">
        <f t="shared" si="9"/>
        <v>0.22699999999999998</v>
      </c>
      <c r="G63" s="769">
        <f t="shared" ca="1" si="9"/>
        <v>0.26700000000000002</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1865.2703454425287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88128</v>
      </c>
      <c r="D76" s="1009">
        <f>'lokale energieproductie'!C8</f>
        <v>103680.00000000001</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20943.360000000004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1865.2703454425287</v>
      </c>
      <c r="C78" s="740">
        <f>SUM(C72:C77)</f>
        <v>88128</v>
      </c>
      <c r="D78" s="741">
        <f t="shared" ref="D78:H78" si="10">SUM(D76:D77)</f>
        <v>103680.00000000001</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20943.360000000004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125897.14285714286</v>
      </c>
      <c r="D87" s="762">
        <f>'lokale energieproductie'!C17</f>
        <v>148114.28571428574</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29919.08571428572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125897.14285714286</v>
      </c>
      <c r="D90" s="740">
        <f t="shared" ref="D90:H90" si="12">SUM(D87:D89)</f>
        <v>148114.28571428574</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29919.08571428572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B297" zoomScale="65" zoomScaleNormal="65" workbookViewId="0">
      <selection activeCell="M35" sqref="M35"/>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1865.2703454425287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N36</f>
        <v>88128</v>
      </c>
      <c r="C8" s="554">
        <f>B55</f>
        <v>103680.00000000001</v>
      </c>
      <c r="D8" s="980"/>
      <c r="E8" s="980">
        <f>E55</f>
        <v>0</v>
      </c>
      <c r="F8" s="981"/>
      <c r="G8" s="555"/>
      <c r="H8" s="980">
        <f>I55</f>
        <v>0</v>
      </c>
      <c r="I8" s="980">
        <f>G55+F55</f>
        <v>0</v>
      </c>
      <c r="J8" s="980">
        <f>H55+D55+C55</f>
        <v>0</v>
      </c>
      <c r="K8" s="980"/>
      <c r="L8" s="980"/>
      <c r="M8" s="980"/>
      <c r="N8" s="556"/>
      <c r="O8" s="557">
        <f>C8*$C$12+D8*$D$12+E8*$E$12+F8*$F$12+G8*$G$12+H8*$H$12+I8*$I$12+J8*$J$12</f>
        <v>20943.360000000004</v>
      </c>
      <c r="P8" s="1256"/>
      <c r="Q8" s="1257"/>
      <c r="S8" s="1017"/>
      <c r="T8" s="1231"/>
      <c r="U8" s="1231"/>
    </row>
    <row r="9" spans="1:21" s="542" customFormat="1" ht="17.45" customHeight="1" thickBot="1">
      <c r="A9" s="558" t="s">
        <v>247</v>
      </c>
      <c r="B9" s="982">
        <f>N43+'Eigen informatie GS &amp; warmtenet'!B12</f>
        <v>0</v>
      </c>
      <c r="C9" s="559">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89993.270345442535</v>
      </c>
      <c r="C10" s="566">
        <f t="shared" ref="C10:L10" si="0">SUM(C8:C9)</f>
        <v>103680.00000000001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20943.360000000004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O36</f>
        <v>125897.14285714286</v>
      </c>
      <c r="C17" s="578">
        <f>B56</f>
        <v>148114.28571428574</v>
      </c>
      <c r="D17" s="579"/>
      <c r="E17" s="579">
        <f>E56</f>
        <v>0</v>
      </c>
      <c r="F17" s="580"/>
      <c r="G17" s="581"/>
      <c r="H17" s="578">
        <f>I56</f>
        <v>0</v>
      </c>
      <c r="I17" s="579">
        <f>G56+F56</f>
        <v>0</v>
      </c>
      <c r="J17" s="579">
        <f>H56+D56+C56</f>
        <v>0</v>
      </c>
      <c r="K17" s="579"/>
      <c r="L17" s="579"/>
      <c r="M17" s="579"/>
      <c r="N17" s="987"/>
      <c r="O17" s="582">
        <f>C17*$C$22+E17*$E$22+H17*$H$22+I17*$I$22+J17*$J$22+D17*$D$22+F17*$F$22+G17*$G$22+K17*$K$22+L17*$L$22</f>
        <v>29919.08571428572</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125897.14285714286</v>
      </c>
      <c r="C20" s="565">
        <f>SUM(C17:C19)</f>
        <v>148114.28571428574</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29919.08571428572</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11004</v>
      </c>
      <c r="C28" s="785">
        <v>2530</v>
      </c>
      <c r="D28" s="638" t="s">
        <v>954</v>
      </c>
      <c r="E28" s="637" t="s">
        <v>955</v>
      </c>
      <c r="F28" s="637" t="s">
        <v>956</v>
      </c>
      <c r="G28" s="637" t="s">
        <v>957</v>
      </c>
      <c r="H28" s="637" t="s">
        <v>958</v>
      </c>
      <c r="I28" s="637" t="s">
        <v>955</v>
      </c>
      <c r="J28" s="784">
        <v>38777</v>
      </c>
      <c r="K28" s="784">
        <v>39134</v>
      </c>
      <c r="L28" s="637" t="s">
        <v>959</v>
      </c>
      <c r="M28" s="637">
        <v>3365</v>
      </c>
      <c r="N28" s="637">
        <v>15142.500000000002</v>
      </c>
      <c r="O28" s="637">
        <v>21632.142857142859</v>
      </c>
      <c r="P28" s="637">
        <v>43264.285714285725</v>
      </c>
      <c r="Q28" s="637">
        <v>0</v>
      </c>
      <c r="R28" s="637">
        <v>0</v>
      </c>
      <c r="S28" s="637">
        <v>0</v>
      </c>
      <c r="T28" s="637">
        <v>0</v>
      </c>
      <c r="U28" s="637">
        <v>0</v>
      </c>
      <c r="V28" s="637">
        <v>0</v>
      </c>
      <c r="W28" s="637"/>
      <c r="X28" s="637">
        <v>10</v>
      </c>
      <c r="Y28" s="637" t="s">
        <v>111</v>
      </c>
      <c r="Z28" s="639" t="s">
        <v>111</v>
      </c>
    </row>
    <row r="29" spans="1:26" s="591" customFormat="1" ht="25.5">
      <c r="A29" s="590"/>
      <c r="B29" s="785">
        <v>11004</v>
      </c>
      <c r="C29" s="785">
        <v>2531</v>
      </c>
      <c r="D29" s="638" t="s">
        <v>960</v>
      </c>
      <c r="E29" s="637" t="s">
        <v>961</v>
      </c>
      <c r="F29" s="637" t="s">
        <v>962</v>
      </c>
      <c r="G29" s="637" t="s">
        <v>957</v>
      </c>
      <c r="H29" s="637" t="s">
        <v>958</v>
      </c>
      <c r="I29" s="637" t="s">
        <v>961</v>
      </c>
      <c r="J29" s="784">
        <v>39212</v>
      </c>
      <c r="K29" s="784">
        <v>39226</v>
      </c>
      <c r="L29" s="637" t="s">
        <v>959</v>
      </c>
      <c r="M29" s="637">
        <v>1125</v>
      </c>
      <c r="N29" s="637">
        <v>5062.5</v>
      </c>
      <c r="O29" s="637">
        <v>7232.1428571428569</v>
      </c>
      <c r="P29" s="637">
        <v>14464.285714285716</v>
      </c>
      <c r="Q29" s="637">
        <v>0</v>
      </c>
      <c r="R29" s="637">
        <v>0</v>
      </c>
      <c r="S29" s="637">
        <v>0</v>
      </c>
      <c r="T29" s="637">
        <v>0</v>
      </c>
      <c r="U29" s="637">
        <v>0</v>
      </c>
      <c r="V29" s="637">
        <v>0</v>
      </c>
      <c r="W29" s="637"/>
      <c r="X29" s="637">
        <v>10</v>
      </c>
      <c r="Y29" s="637" t="s">
        <v>111</v>
      </c>
      <c r="Z29" s="639" t="s">
        <v>111</v>
      </c>
    </row>
    <row r="30" spans="1:26" s="591" customFormat="1" ht="63.75">
      <c r="A30" s="590"/>
      <c r="B30" s="785">
        <v>11004</v>
      </c>
      <c r="C30" s="785">
        <v>2531</v>
      </c>
      <c r="D30" s="638" t="s">
        <v>963</v>
      </c>
      <c r="E30" s="637" t="s">
        <v>964</v>
      </c>
      <c r="F30" s="637" t="s">
        <v>965</v>
      </c>
      <c r="G30" s="637" t="s">
        <v>957</v>
      </c>
      <c r="H30" s="637" t="s">
        <v>958</v>
      </c>
      <c r="I30" s="637" t="s">
        <v>964</v>
      </c>
      <c r="J30" s="784">
        <v>39604</v>
      </c>
      <c r="K30" s="784">
        <v>39618</v>
      </c>
      <c r="L30" s="637" t="s">
        <v>959</v>
      </c>
      <c r="M30" s="637">
        <v>4141</v>
      </c>
      <c r="N30" s="637">
        <v>18634.5</v>
      </c>
      <c r="O30" s="637">
        <v>26620.714285714286</v>
      </c>
      <c r="P30" s="637">
        <v>53241.428571428572</v>
      </c>
      <c r="Q30" s="637">
        <v>0</v>
      </c>
      <c r="R30" s="637">
        <v>0</v>
      </c>
      <c r="S30" s="637">
        <v>0</v>
      </c>
      <c r="T30" s="637">
        <v>0</v>
      </c>
      <c r="U30" s="637">
        <v>0</v>
      </c>
      <c r="V30" s="637">
        <v>0</v>
      </c>
      <c r="W30" s="637"/>
      <c r="X30" s="637">
        <v>1600</v>
      </c>
      <c r="Y30" s="637" t="s">
        <v>49</v>
      </c>
      <c r="Z30" s="639" t="s">
        <v>155</v>
      </c>
    </row>
    <row r="31" spans="1:26" s="591" customFormat="1" ht="25.5">
      <c r="A31" s="590"/>
      <c r="B31" s="785">
        <v>11004</v>
      </c>
      <c r="C31" s="785">
        <v>2530</v>
      </c>
      <c r="D31" s="638" t="s">
        <v>966</v>
      </c>
      <c r="E31" s="637" t="s">
        <v>967</v>
      </c>
      <c r="F31" s="637" t="s">
        <v>968</v>
      </c>
      <c r="G31" s="637" t="s">
        <v>957</v>
      </c>
      <c r="H31" s="637" t="s">
        <v>958</v>
      </c>
      <c r="I31" s="637" t="s">
        <v>967</v>
      </c>
      <c r="J31" s="784">
        <v>40360</v>
      </c>
      <c r="K31" s="784">
        <v>40513</v>
      </c>
      <c r="L31" s="637" t="s">
        <v>969</v>
      </c>
      <c r="M31" s="637">
        <v>173</v>
      </c>
      <c r="N31" s="637">
        <v>778.49999999999989</v>
      </c>
      <c r="O31" s="637">
        <v>1112.1428571428571</v>
      </c>
      <c r="P31" s="637">
        <v>2224.2857142857142</v>
      </c>
      <c r="Q31" s="637">
        <v>0</v>
      </c>
      <c r="R31" s="637">
        <v>0</v>
      </c>
      <c r="S31" s="637">
        <v>0</v>
      </c>
      <c r="T31" s="637">
        <v>0</v>
      </c>
      <c r="U31" s="637">
        <v>0</v>
      </c>
      <c r="V31" s="637">
        <v>0</v>
      </c>
      <c r="W31" s="637"/>
      <c r="X31" s="637">
        <v>10</v>
      </c>
      <c r="Y31" s="637" t="s">
        <v>111</v>
      </c>
      <c r="Z31" s="639" t="s">
        <v>111</v>
      </c>
    </row>
    <row r="32" spans="1:26" s="591" customFormat="1" ht="25.5">
      <c r="A32" s="590"/>
      <c r="B32" s="785">
        <v>11004</v>
      </c>
      <c r="C32" s="785">
        <v>2531</v>
      </c>
      <c r="D32" s="638" t="s">
        <v>970</v>
      </c>
      <c r="E32" s="637" t="s">
        <v>971</v>
      </c>
      <c r="F32" s="637" t="s">
        <v>972</v>
      </c>
      <c r="G32" s="637" t="s">
        <v>957</v>
      </c>
      <c r="H32" s="637" t="s">
        <v>958</v>
      </c>
      <c r="I32" s="637" t="s">
        <v>971</v>
      </c>
      <c r="J32" s="784">
        <v>40525</v>
      </c>
      <c r="K32" s="784">
        <v>40525</v>
      </c>
      <c r="L32" s="637" t="s">
        <v>959</v>
      </c>
      <c r="M32" s="637">
        <v>1415</v>
      </c>
      <c r="N32" s="637">
        <v>6367.5</v>
      </c>
      <c r="O32" s="637">
        <v>9096.4285714285725</v>
      </c>
      <c r="P32" s="637">
        <v>18192.857142857145</v>
      </c>
      <c r="Q32" s="637">
        <v>0</v>
      </c>
      <c r="R32" s="637">
        <v>0</v>
      </c>
      <c r="S32" s="637">
        <v>0</v>
      </c>
      <c r="T32" s="637">
        <v>0</v>
      </c>
      <c r="U32" s="637">
        <v>0</v>
      </c>
      <c r="V32" s="637">
        <v>0</v>
      </c>
      <c r="W32" s="637"/>
      <c r="X32" s="637">
        <v>10</v>
      </c>
      <c r="Y32" s="637" t="s">
        <v>111</v>
      </c>
      <c r="Z32" s="639" t="s">
        <v>111</v>
      </c>
    </row>
    <row r="33" spans="1:27" s="591" customFormat="1" ht="25.5">
      <c r="A33" s="590"/>
      <c r="B33" s="785">
        <v>11004</v>
      </c>
      <c r="C33" s="785">
        <v>2531</v>
      </c>
      <c r="D33" s="638" t="s">
        <v>973</v>
      </c>
      <c r="E33" s="637" t="s">
        <v>974</v>
      </c>
      <c r="F33" s="637" t="s">
        <v>975</v>
      </c>
      <c r="G33" s="637" t="s">
        <v>957</v>
      </c>
      <c r="H33" s="637" t="s">
        <v>958</v>
      </c>
      <c r="I33" s="637" t="s">
        <v>974</v>
      </c>
      <c r="J33" s="784">
        <v>40588</v>
      </c>
      <c r="K33" s="784">
        <v>40588</v>
      </c>
      <c r="L33" s="637" t="s">
        <v>959</v>
      </c>
      <c r="M33" s="637">
        <v>1415</v>
      </c>
      <c r="N33" s="637">
        <v>6367.5</v>
      </c>
      <c r="O33" s="637">
        <v>9096.4285714285725</v>
      </c>
      <c r="P33" s="637">
        <v>18192.857142857145</v>
      </c>
      <c r="Q33" s="637">
        <v>0</v>
      </c>
      <c r="R33" s="637">
        <v>0</v>
      </c>
      <c r="S33" s="637">
        <v>0</v>
      </c>
      <c r="T33" s="637">
        <v>0</v>
      </c>
      <c r="U33" s="637">
        <v>0</v>
      </c>
      <c r="V33" s="637">
        <v>0</v>
      </c>
      <c r="W33" s="637"/>
      <c r="X33" s="637">
        <v>10</v>
      </c>
      <c r="Y33" s="637" t="s">
        <v>111</v>
      </c>
      <c r="Z33" s="639" t="s">
        <v>111</v>
      </c>
    </row>
    <row r="34" spans="1:27" s="591" customFormat="1" ht="25.5">
      <c r="A34" s="590"/>
      <c r="B34" s="785">
        <v>11004</v>
      </c>
      <c r="C34" s="785">
        <v>2531</v>
      </c>
      <c r="D34" s="638" t="s">
        <v>976</v>
      </c>
      <c r="E34" s="637" t="s">
        <v>977</v>
      </c>
      <c r="F34" s="637" t="s">
        <v>978</v>
      </c>
      <c r="G34" s="637" t="s">
        <v>957</v>
      </c>
      <c r="H34" s="637" t="s">
        <v>958</v>
      </c>
      <c r="I34" s="637" t="s">
        <v>977</v>
      </c>
      <c r="J34" s="784">
        <v>40603</v>
      </c>
      <c r="K34" s="784">
        <v>39497</v>
      </c>
      <c r="L34" s="637" t="s">
        <v>959</v>
      </c>
      <c r="M34" s="637">
        <v>6390</v>
      </c>
      <c r="N34" s="637">
        <v>28755</v>
      </c>
      <c r="O34" s="637">
        <v>41078.571428571428</v>
      </c>
      <c r="P34" s="637">
        <v>82157.14285714287</v>
      </c>
      <c r="Q34" s="637">
        <v>0</v>
      </c>
      <c r="R34" s="637">
        <v>0</v>
      </c>
      <c r="S34" s="637">
        <v>0</v>
      </c>
      <c r="T34" s="637">
        <v>0</v>
      </c>
      <c r="U34" s="637">
        <v>0</v>
      </c>
      <c r="V34" s="637">
        <v>0</v>
      </c>
      <c r="W34" s="637"/>
      <c r="X34" s="637">
        <v>10</v>
      </c>
      <c r="Y34" s="637" t="s">
        <v>111</v>
      </c>
      <c r="Z34" s="639" t="s">
        <v>111</v>
      </c>
    </row>
    <row r="35" spans="1:27" s="591" customFormat="1" ht="25.5">
      <c r="A35" s="590"/>
      <c r="B35" s="785">
        <v>11004</v>
      </c>
      <c r="C35" s="785">
        <v>2530</v>
      </c>
      <c r="D35" s="638" t="s">
        <v>979</v>
      </c>
      <c r="E35" s="637" t="s">
        <v>980</v>
      </c>
      <c r="F35" s="637" t="s">
        <v>981</v>
      </c>
      <c r="G35" s="637" t="s">
        <v>957</v>
      </c>
      <c r="H35" s="637" t="s">
        <v>958</v>
      </c>
      <c r="I35" s="637" t="s">
        <v>982</v>
      </c>
      <c r="J35" s="784">
        <v>41262</v>
      </c>
      <c r="K35" s="784">
        <v>38991</v>
      </c>
      <c r="L35" s="637" t="s">
        <v>959</v>
      </c>
      <c r="M35" s="637">
        <v>1560</v>
      </c>
      <c r="N35" s="637">
        <v>7020</v>
      </c>
      <c r="O35" s="637">
        <v>10028.571428571429</v>
      </c>
      <c r="P35" s="637">
        <v>20057.142857142859</v>
      </c>
      <c r="Q35" s="637">
        <v>0</v>
      </c>
      <c r="R35" s="637">
        <v>0</v>
      </c>
      <c r="S35" s="637">
        <v>0</v>
      </c>
      <c r="T35" s="637">
        <v>0</v>
      </c>
      <c r="U35" s="637">
        <v>0</v>
      </c>
      <c r="V35" s="637">
        <v>0</v>
      </c>
      <c r="W35" s="637"/>
      <c r="X35" s="637">
        <v>10</v>
      </c>
      <c r="Y35" s="637" t="s">
        <v>111</v>
      </c>
      <c r="Z35" s="639" t="s">
        <v>111</v>
      </c>
    </row>
    <row r="36" spans="1:27" s="573" customFormat="1">
      <c r="A36" s="593" t="s">
        <v>279</v>
      </c>
      <c r="B36" s="594"/>
      <c r="C36" s="594"/>
      <c r="D36" s="594"/>
      <c r="E36" s="594"/>
      <c r="F36" s="594"/>
      <c r="G36" s="594"/>
      <c r="H36" s="594"/>
      <c r="I36" s="594"/>
      <c r="J36" s="594"/>
      <c r="K36" s="594"/>
      <c r="L36" s="595"/>
      <c r="M36" s="595">
        <f>SUM(M28:M35)</f>
        <v>19584</v>
      </c>
      <c r="N36" s="595">
        <f>SUM(N28:N35)</f>
        <v>88128</v>
      </c>
      <c r="O36" s="595">
        <f>SUM(O28:O35)</f>
        <v>125897.14285714286</v>
      </c>
      <c r="P36" s="595">
        <f>SUM(P28:P35)</f>
        <v>251794.28571428574</v>
      </c>
      <c r="Q36" s="595">
        <f>SUM(Q28:Q35)</f>
        <v>0</v>
      </c>
      <c r="R36" s="595">
        <f>SUM(R28:R35)</f>
        <v>0</v>
      </c>
      <c r="S36" s="595">
        <f>SUM(S28:S35)</f>
        <v>0</v>
      </c>
      <c r="T36" s="595">
        <f>SUM(T28:T35)</f>
        <v>0</v>
      </c>
      <c r="U36" s="595">
        <f>SUM(U28:U35)</f>
        <v>0</v>
      </c>
      <c r="V36" s="595">
        <f>SUM(V28:V35)</f>
        <v>0</v>
      </c>
      <c r="W36" s="595">
        <f>SUM(W28:W35)</f>
        <v>0</v>
      </c>
      <c r="X36" s="596"/>
      <c r="Y36" s="596"/>
      <c r="Z36" s="597"/>
    </row>
    <row r="37" spans="1:27" s="573" customFormat="1">
      <c r="A37" s="593" t="s">
        <v>286</v>
      </c>
      <c r="B37" s="594"/>
      <c r="C37" s="594"/>
      <c r="D37" s="594"/>
      <c r="E37" s="594"/>
      <c r="F37" s="594"/>
      <c r="G37" s="594"/>
      <c r="H37" s="594"/>
      <c r="I37" s="594"/>
      <c r="J37" s="594"/>
      <c r="K37" s="594"/>
      <c r="L37" s="595"/>
      <c r="M37" s="595">
        <f>SUMIF($Z$28:$Z$35,"industrie",M28:M35)</f>
        <v>0</v>
      </c>
      <c r="N37" s="595">
        <f>SUMIF($Z$28:$Z$35,"industrie",N28:N35)</f>
        <v>0</v>
      </c>
      <c r="O37" s="595">
        <f>SUMIF($Z$28:$Z$35,"industrie",O28:O35)</f>
        <v>0</v>
      </c>
      <c r="P37" s="595">
        <f>SUMIF($Z$28:$Z$35,"industrie",P28:P35)</f>
        <v>0</v>
      </c>
      <c r="Q37" s="595">
        <f>SUMIF($Z$28:$Z$35,"industrie",Q28:Q35)</f>
        <v>0</v>
      </c>
      <c r="R37" s="595">
        <f>SUMIF($Z$28:$Z$35,"industrie",R28:R35)</f>
        <v>0</v>
      </c>
      <c r="S37" s="595">
        <f>SUMIF($Z$28:$Z$35,"industrie",S28:S35)</f>
        <v>0</v>
      </c>
      <c r="T37" s="595">
        <f>SUMIF($Z$28:$Z$35,"industrie",T28:T35)</f>
        <v>0</v>
      </c>
      <c r="U37" s="595">
        <f>SUMIF($Z$28:$Z$35,"industrie",U28:U35)</f>
        <v>0</v>
      </c>
      <c r="V37" s="595">
        <f>SUMIF($Z$28:$Z$35,"industrie",V28:V35)</f>
        <v>0</v>
      </c>
      <c r="W37" s="595">
        <f>SUMIF($Z$28:$Z$35,"industrie",W28:W35)</f>
        <v>0</v>
      </c>
      <c r="X37" s="596"/>
      <c r="Y37" s="596"/>
      <c r="Z37" s="597"/>
    </row>
    <row r="38" spans="1:27" s="573" customFormat="1">
      <c r="A38" s="593" t="s">
        <v>287</v>
      </c>
      <c r="B38" s="594"/>
      <c r="C38" s="594"/>
      <c r="D38" s="594"/>
      <c r="E38" s="594"/>
      <c r="F38" s="594"/>
      <c r="G38" s="594"/>
      <c r="H38" s="594"/>
      <c r="I38" s="594"/>
      <c r="J38" s="594"/>
      <c r="K38" s="594"/>
      <c r="L38" s="595"/>
      <c r="M38" s="595">
        <f ca="1">SUMIF($Z$28:AC35,"tertiair",M28:M35)</f>
        <v>4141</v>
      </c>
      <c r="N38" s="595">
        <f ca="1">SUMIF($Z$28:AD35,"tertiair",N28:N35)</f>
        <v>18634.5</v>
      </c>
      <c r="O38" s="595">
        <f ca="1">SUMIF($Z$28:AE35,"tertiair",O28:O35)</f>
        <v>26620.714285714286</v>
      </c>
      <c r="P38" s="595">
        <f ca="1">SUMIF($Z$28:AF35,"tertiair",P28:P35)</f>
        <v>53241.428571428572</v>
      </c>
      <c r="Q38" s="595">
        <f ca="1">SUMIF($Z$28:AG35,"tertiair",Q28:Q35)</f>
        <v>0</v>
      </c>
      <c r="R38" s="595">
        <f ca="1">SUMIF($Z$28:AH35,"tertiair",R28:R35)</f>
        <v>0</v>
      </c>
      <c r="S38" s="595">
        <f ca="1">SUMIF($Z$28:AI35,"tertiair",S28:S35)</f>
        <v>0</v>
      </c>
      <c r="T38" s="595">
        <f ca="1">SUMIF($Z$28:AJ35,"tertiair",T28:T35)</f>
        <v>0</v>
      </c>
      <c r="U38" s="595">
        <f ca="1">SUMIF($Z$28:AK35,"tertiair",U28:U35)</f>
        <v>0</v>
      </c>
      <c r="V38" s="595">
        <f ca="1">SUMIF($Z$28:AL35,"tertiair",V28:V35)</f>
        <v>0</v>
      </c>
      <c r="W38" s="595">
        <f ca="1">SUMIF($Z$28:AM35,"tertiair",W28:W35)</f>
        <v>0</v>
      </c>
      <c r="X38" s="596"/>
      <c r="Y38" s="596"/>
      <c r="Z38" s="597"/>
    </row>
    <row r="39" spans="1:27" s="573" customFormat="1" ht="15.75" thickBot="1">
      <c r="A39" s="598" t="s">
        <v>288</v>
      </c>
      <c r="B39" s="599"/>
      <c r="C39" s="599"/>
      <c r="D39" s="599"/>
      <c r="E39" s="599"/>
      <c r="F39" s="599"/>
      <c r="G39" s="599"/>
      <c r="H39" s="599"/>
      <c r="I39" s="599"/>
      <c r="J39" s="599"/>
      <c r="K39" s="599"/>
      <c r="L39" s="600"/>
      <c r="M39" s="600">
        <f>SUMIF($Z$28:$Z$35,"landbouw",M28:M35)</f>
        <v>15443</v>
      </c>
      <c r="N39" s="600">
        <f>SUMIF($Z$28:$Z$35,"landbouw",N28:N35)</f>
        <v>69493.5</v>
      </c>
      <c r="O39" s="600">
        <f>SUMIF($Z$28:$Z$35,"landbouw",O28:O35)</f>
        <v>99276.42857142858</v>
      </c>
      <c r="P39" s="600">
        <f>SUMIF($Z$28:$Z$35,"landbouw",P28:P35)</f>
        <v>198552.85714285719</v>
      </c>
      <c r="Q39" s="600">
        <f>SUMIF($Z$28:$Z$35,"landbouw",Q28:Q35)</f>
        <v>0</v>
      </c>
      <c r="R39" s="600">
        <f>SUMIF($Z$28:$Z$35,"landbouw",R28:R35)</f>
        <v>0</v>
      </c>
      <c r="S39" s="600">
        <f>SUMIF($Z$28:$Z$35,"landbouw",S28:S35)</f>
        <v>0</v>
      </c>
      <c r="T39" s="600">
        <f>SUMIF($Z$28:$Z$35,"landbouw",T28:T35)</f>
        <v>0</v>
      </c>
      <c r="U39" s="600">
        <f>SUMIF($Z$28:$Z$35,"landbouw",U28:U35)</f>
        <v>0</v>
      </c>
      <c r="V39" s="600">
        <f>SUMIF($Z$28:$Z$35,"landbouw",V28:V35)</f>
        <v>0</v>
      </c>
      <c r="W39" s="600">
        <f>SUMIF($Z$28:$Z$35,"landbouw",W28:W35)</f>
        <v>0</v>
      </c>
      <c r="X39" s="601"/>
      <c r="Y39" s="601"/>
      <c r="Z39" s="602"/>
    </row>
    <row r="40" spans="1:27" s="542" customFormat="1" ht="15.75" thickBot="1">
      <c r="A40" s="603"/>
      <c r="B40" s="604"/>
      <c r="C40" s="604"/>
      <c r="D40" s="604"/>
      <c r="E40" s="604"/>
      <c r="F40" s="604"/>
      <c r="G40" s="604"/>
      <c r="H40" s="604"/>
      <c r="I40" s="604"/>
      <c r="J40" s="604"/>
      <c r="K40" s="604"/>
      <c r="L40" s="587"/>
      <c r="M40" s="587"/>
      <c r="N40" s="587"/>
      <c r="O40" s="588"/>
      <c r="P40" s="588"/>
    </row>
    <row r="41" spans="1:27" s="542" customFormat="1" ht="45">
      <c r="A41" s="605" t="s">
        <v>280</v>
      </c>
      <c r="B41" s="634" t="s">
        <v>89</v>
      </c>
      <c r="C41" s="634" t="s">
        <v>90</v>
      </c>
      <c r="D41" s="634" t="s">
        <v>91</v>
      </c>
      <c r="E41" s="634" t="s">
        <v>92</v>
      </c>
      <c r="F41" s="634" t="s">
        <v>93</v>
      </c>
      <c r="G41" s="634" t="s">
        <v>94</v>
      </c>
      <c r="H41" s="634" t="s">
        <v>95</v>
      </c>
      <c r="I41" s="634" t="s">
        <v>96</v>
      </c>
      <c r="J41" s="634" t="s">
        <v>97</v>
      </c>
      <c r="K41" s="634" t="s">
        <v>98</v>
      </c>
      <c r="L41" s="634" t="s">
        <v>99</v>
      </c>
      <c r="M41" s="635" t="s">
        <v>297</v>
      </c>
      <c r="N41" s="635" t="s">
        <v>100</v>
      </c>
      <c r="O41" s="635" t="s">
        <v>101</v>
      </c>
      <c r="P41" s="635" t="s">
        <v>551</v>
      </c>
      <c r="Q41" s="635" t="s">
        <v>102</v>
      </c>
      <c r="R41" s="635" t="s">
        <v>103</v>
      </c>
      <c r="S41" s="635" t="s">
        <v>104</v>
      </c>
      <c r="T41" s="635" t="s">
        <v>105</v>
      </c>
      <c r="U41" s="635" t="s">
        <v>106</v>
      </c>
      <c r="V41" s="635" t="s">
        <v>107</v>
      </c>
      <c r="W41" s="634" t="s">
        <v>108</v>
      </c>
      <c r="X41" s="634" t="s">
        <v>298</v>
      </c>
      <c r="Y41" s="634" t="s">
        <v>109</v>
      </c>
      <c r="Z41" s="636" t="s">
        <v>299</v>
      </c>
    </row>
    <row r="42" spans="1:27" s="606" customFormat="1" ht="12.75">
      <c r="A42" s="592"/>
      <c r="B42" s="785"/>
      <c r="C42" s="785"/>
      <c r="D42" s="640"/>
      <c r="E42" s="640"/>
      <c r="F42" s="640"/>
      <c r="G42" s="640"/>
      <c r="H42" s="640"/>
      <c r="I42" s="640"/>
      <c r="J42" s="784"/>
      <c r="K42" s="784"/>
      <c r="L42" s="640"/>
      <c r="M42" s="640"/>
      <c r="N42" s="640"/>
      <c r="O42" s="640"/>
      <c r="P42" s="640"/>
      <c r="Q42" s="640"/>
      <c r="R42" s="640"/>
      <c r="S42" s="640"/>
      <c r="T42" s="640"/>
      <c r="U42" s="640"/>
      <c r="V42" s="640"/>
      <c r="W42" s="640"/>
      <c r="X42" s="640"/>
      <c r="Y42" s="640"/>
      <c r="Z42" s="641"/>
    </row>
    <row r="43" spans="1:27" s="573" customFormat="1">
      <c r="A43" s="593" t="s">
        <v>279</v>
      </c>
      <c r="B43" s="594"/>
      <c r="C43" s="594"/>
      <c r="D43" s="594"/>
      <c r="E43" s="594"/>
      <c r="F43" s="594"/>
      <c r="G43" s="594"/>
      <c r="H43" s="594"/>
      <c r="I43" s="594"/>
      <c r="J43" s="594"/>
      <c r="K43" s="594"/>
      <c r="L43" s="595"/>
      <c r="M43" s="595">
        <f>SUM(M42:M42)</f>
        <v>0</v>
      </c>
      <c r="N43" s="595">
        <f>SUM(N42:N42)</f>
        <v>0</v>
      </c>
      <c r="O43" s="595">
        <f>SUM(O42:O42)</f>
        <v>0</v>
      </c>
      <c r="P43" s="595">
        <f>SUM(P42:P42)</f>
        <v>0</v>
      </c>
      <c r="Q43" s="595">
        <f>SUM(Q42:Q42)</f>
        <v>0</v>
      </c>
      <c r="R43" s="595">
        <f>SUM(R42:R42)</f>
        <v>0</v>
      </c>
      <c r="S43" s="595">
        <f>SUM(S42:S42)</f>
        <v>0</v>
      </c>
      <c r="T43" s="595">
        <f>SUM(T42:T42)</f>
        <v>0</v>
      </c>
      <c r="U43" s="595">
        <f>SUM(U42:U42)</f>
        <v>0</v>
      </c>
      <c r="V43" s="595">
        <f>SUM(V42:V42)</f>
        <v>0</v>
      </c>
      <c r="W43" s="595">
        <f>SUM(W42:W42)</f>
        <v>0</v>
      </c>
      <c r="X43" s="596"/>
      <c r="Y43" s="596"/>
      <c r="Z43" s="597"/>
    </row>
    <row r="44" spans="1:27" s="573" customFormat="1">
      <c r="A44" s="593" t="s">
        <v>286</v>
      </c>
      <c r="B44" s="594"/>
      <c r="C44" s="594"/>
      <c r="D44" s="594"/>
      <c r="E44" s="594"/>
      <c r="F44" s="594"/>
      <c r="G44" s="594"/>
      <c r="H44" s="594"/>
      <c r="I44" s="594"/>
      <c r="J44" s="594"/>
      <c r="K44" s="594"/>
      <c r="L44" s="595"/>
      <c r="M44" s="595">
        <f>SUMIF($Z$42:$Z$42,"industrie",M42:M42)</f>
        <v>0</v>
      </c>
      <c r="N44" s="595">
        <f>SUMIF($Z$42:$Z$42,"industrie",N42:N42)</f>
        <v>0</v>
      </c>
      <c r="O44" s="595">
        <f>SUMIF($Z$42:$Z$42,"industrie",O42:O42)</f>
        <v>0</v>
      </c>
      <c r="P44" s="595">
        <f>SUMIF($Z$42:$Z$42,"industrie",P42:P42)</f>
        <v>0</v>
      </c>
      <c r="Q44" s="595">
        <f>SUMIF($Z$42:$Z$42,"industrie",Q42:Q42)</f>
        <v>0</v>
      </c>
      <c r="R44" s="595">
        <f>SUMIF($Z$42:$Z$42,"industrie",R42:R42)</f>
        <v>0</v>
      </c>
      <c r="S44" s="595">
        <f>SUMIF($Z$42:$Z$42,"industrie",S42:S42)</f>
        <v>0</v>
      </c>
      <c r="T44" s="595">
        <f>SUMIF($Z$42:$Z$42,"industrie",T42:T42)</f>
        <v>0</v>
      </c>
      <c r="U44" s="595">
        <f>SUMIF($Z$42:$Z$42,"industrie",U42:U42)</f>
        <v>0</v>
      </c>
      <c r="V44" s="595">
        <f>SUMIF($Z$42:$Z$42,"industrie",V42:V42)</f>
        <v>0</v>
      </c>
      <c r="W44" s="595">
        <f>SUMIF($Z$42:$Z$42,"industrie",W42:W42)</f>
        <v>0</v>
      </c>
      <c r="X44" s="596"/>
      <c r="Y44" s="596"/>
      <c r="Z44" s="597"/>
    </row>
    <row r="45" spans="1:27" s="573" customFormat="1">
      <c r="A45" s="593" t="s">
        <v>287</v>
      </c>
      <c r="B45" s="594"/>
      <c r="C45" s="594"/>
      <c r="D45" s="594"/>
      <c r="E45" s="594"/>
      <c r="F45" s="594"/>
      <c r="G45" s="594"/>
      <c r="H45" s="594"/>
      <c r="I45" s="594"/>
      <c r="J45" s="594"/>
      <c r="K45" s="594"/>
      <c r="L45" s="595"/>
      <c r="M45" s="595">
        <f>SUMIF($Z$42:$Z$43,"tertiair",M42:M43)</f>
        <v>0</v>
      </c>
      <c r="N45" s="595">
        <f>SUMIF($Z$42:$Z$43,"tertiair",N42:N43)</f>
        <v>0</v>
      </c>
      <c r="O45" s="595">
        <f>SUMIF($Z$42:$Z$43,"tertiair",O42:O43)</f>
        <v>0</v>
      </c>
      <c r="P45" s="595">
        <f>SUMIF($Z$42:$Z$43,"tertiair",P42:P43)</f>
        <v>0</v>
      </c>
      <c r="Q45" s="595">
        <f>SUMIF($Z$42:$Z$43,"tertiair",Q42:Q43)</f>
        <v>0</v>
      </c>
      <c r="R45" s="595">
        <f>SUMIF($Z$42:$Z$43,"tertiair",R42:R43)</f>
        <v>0</v>
      </c>
      <c r="S45" s="595">
        <f>SUMIF($Z$42:$Z$43,"tertiair",S42:S43)</f>
        <v>0</v>
      </c>
      <c r="T45" s="595">
        <f>SUMIF($Z$42:$Z$43,"tertiair",T42:T43)</f>
        <v>0</v>
      </c>
      <c r="U45" s="595">
        <f>SUMIF($Z$42:$Z$43,"tertiair",U42:U43)</f>
        <v>0</v>
      </c>
      <c r="V45" s="595">
        <f>SUMIF($Z$42:$Z$43,"tertiair",V42:V43)</f>
        <v>0</v>
      </c>
      <c r="W45" s="595">
        <f>SUMIF($Z$42:$Z$43,"tertiair",W42:W43)</f>
        <v>0</v>
      </c>
      <c r="X45" s="596"/>
      <c r="Y45" s="596"/>
      <c r="Z45" s="597"/>
    </row>
    <row r="46" spans="1:27" s="573" customFormat="1" ht="15.75" thickBot="1">
      <c r="A46" s="598" t="s">
        <v>288</v>
      </c>
      <c r="B46" s="599"/>
      <c r="C46" s="599"/>
      <c r="D46" s="599"/>
      <c r="E46" s="599"/>
      <c r="F46" s="599"/>
      <c r="G46" s="599"/>
      <c r="H46" s="599"/>
      <c r="I46" s="599"/>
      <c r="J46" s="599"/>
      <c r="K46" s="599"/>
      <c r="L46" s="600"/>
      <c r="M46" s="600">
        <f>SUMIF($Z$42:$Z$44,"landbouw",M42:M44)</f>
        <v>0</v>
      </c>
      <c r="N46" s="600">
        <f>SUMIF($Z$42:$Z$44,"landbouw",N42:N44)</f>
        <v>0</v>
      </c>
      <c r="O46" s="600">
        <f>SUMIF($Z$42:$Z$44,"landbouw",O42:O44)</f>
        <v>0</v>
      </c>
      <c r="P46" s="600">
        <f>SUMIF($Z$42:$Z$44,"landbouw",P42:P44)</f>
        <v>0</v>
      </c>
      <c r="Q46" s="600">
        <f>SUMIF($Z$42:$Z$44,"landbouw",Q42:Q44)</f>
        <v>0</v>
      </c>
      <c r="R46" s="600">
        <f>SUMIF($Z$42:$Z$44,"landbouw",R42:R44)</f>
        <v>0</v>
      </c>
      <c r="S46" s="600">
        <f>SUMIF($Z$42:$Z$44,"landbouw",S42:S44)</f>
        <v>0</v>
      </c>
      <c r="T46" s="600">
        <f>SUMIF($Z$42:$Z$44,"landbouw",T42:T44)</f>
        <v>0</v>
      </c>
      <c r="U46" s="600">
        <f>SUMIF($Z$42:$Z$44,"landbouw",U42:U44)</f>
        <v>0</v>
      </c>
      <c r="V46" s="600">
        <f>SUMIF($Z$42:$Z$44,"landbouw",V42:V44)</f>
        <v>0</v>
      </c>
      <c r="W46" s="600">
        <f>SUMIF($Z$42:$Z$44,"landbouw",W42:W44)</f>
        <v>0</v>
      </c>
      <c r="X46" s="601"/>
      <c r="Y46" s="601"/>
      <c r="Z46" s="602"/>
    </row>
    <row r="47" spans="1:27" s="607" customFormat="1">
      <c r="A47" s="603"/>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row>
    <row r="48" spans="1:27" s="607" customFormat="1" ht="15.75" thickBot="1">
      <c r="A48" s="603"/>
      <c r="B48" s="587"/>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row>
    <row r="49" spans="1:16">
      <c r="A49" s="608" t="s">
        <v>281</v>
      </c>
      <c r="B49" s="609"/>
      <c r="C49" s="609"/>
      <c r="D49" s="609"/>
      <c r="E49" s="609"/>
      <c r="F49" s="609"/>
      <c r="G49" s="609"/>
      <c r="H49" s="609"/>
      <c r="I49" s="610"/>
      <c r="J49" s="611"/>
      <c r="K49" s="611"/>
      <c r="L49" s="612"/>
      <c r="M49" s="612"/>
      <c r="N49" s="612"/>
      <c r="O49" s="612"/>
      <c r="P49" s="612"/>
    </row>
    <row r="50" spans="1:16">
      <c r="A50" s="614"/>
      <c r="B50" s="604"/>
      <c r="C50" s="604"/>
      <c r="D50" s="604"/>
      <c r="E50" s="604"/>
      <c r="F50" s="604"/>
      <c r="G50" s="604"/>
      <c r="H50" s="604"/>
      <c r="I50" s="615"/>
      <c r="J50" s="604"/>
      <c r="K50" s="604"/>
      <c r="L50" s="612"/>
      <c r="M50" s="612"/>
      <c r="N50" s="612"/>
      <c r="O50" s="612"/>
      <c r="P50" s="612"/>
    </row>
    <row r="51" spans="1:16">
      <c r="A51" s="616"/>
      <c r="B51" s="617" t="s">
        <v>282</v>
      </c>
      <c r="C51" s="617" t="s">
        <v>283</v>
      </c>
      <c r="D51" s="617"/>
      <c r="E51" s="617"/>
      <c r="F51" s="617"/>
      <c r="G51" s="617"/>
      <c r="H51" s="617"/>
      <c r="I51" s="618"/>
      <c r="J51" s="617"/>
      <c r="K51" s="617"/>
      <c r="L51" s="617"/>
      <c r="M51" s="617"/>
      <c r="N51" s="617"/>
      <c r="O51" s="617"/>
      <c r="P51" s="612"/>
    </row>
    <row r="52" spans="1:16">
      <c r="A52" s="614" t="s">
        <v>279</v>
      </c>
      <c r="B52" s="619">
        <f>IF(ISERROR(O36/(O36+N36)),0,O36/(O36+N36))</f>
        <v>0.58823529411764708</v>
      </c>
      <c r="C52" s="620">
        <f>IF(ISERROR(N36/(O36+N36)),0,N36/(N36+O36))</f>
        <v>0.41176470588235298</v>
      </c>
      <c r="D52" s="587"/>
      <c r="E52" s="587"/>
      <c r="F52" s="587"/>
      <c r="G52" s="587"/>
      <c r="H52" s="587"/>
      <c r="I52" s="621"/>
      <c r="J52" s="587"/>
      <c r="K52" s="587"/>
      <c r="L52" s="622"/>
      <c r="M52" s="622"/>
      <c r="N52" s="622"/>
      <c r="O52" s="622"/>
      <c r="P52" s="612"/>
    </row>
    <row r="53" spans="1:16">
      <c r="A53" s="614"/>
      <c r="B53" s="623"/>
      <c r="C53" s="623"/>
      <c r="D53" s="623"/>
      <c r="E53" s="623"/>
      <c r="F53" s="623"/>
      <c r="G53" s="623"/>
      <c r="H53" s="623"/>
      <c r="I53" s="624"/>
      <c r="J53" s="623"/>
      <c r="K53" s="623"/>
      <c r="L53" s="625"/>
      <c r="M53" s="625"/>
      <c r="N53" s="625"/>
      <c r="O53" s="625"/>
      <c r="P53" s="612"/>
    </row>
    <row r="54" spans="1:16" ht="30">
      <c r="A54" s="626"/>
      <c r="B54" s="627" t="s">
        <v>551</v>
      </c>
      <c r="C54" s="627" t="s">
        <v>102</v>
      </c>
      <c r="D54" s="627" t="s">
        <v>103</v>
      </c>
      <c r="E54" s="627" t="s">
        <v>104</v>
      </c>
      <c r="F54" s="627" t="s">
        <v>105</v>
      </c>
      <c r="G54" s="627" t="s">
        <v>106</v>
      </c>
      <c r="H54" s="627" t="s">
        <v>107</v>
      </c>
      <c r="I54" s="628" t="s">
        <v>108</v>
      </c>
      <c r="J54" s="617"/>
      <c r="K54" s="617"/>
      <c r="L54" s="625"/>
      <c r="M54" s="625"/>
      <c r="N54" s="625"/>
      <c r="O54" s="612"/>
      <c r="P54" s="612"/>
    </row>
    <row r="55" spans="1:16">
      <c r="A55" s="616" t="s">
        <v>284</v>
      </c>
      <c r="B55" s="629">
        <f t="shared" ref="B55:I55" si="2">$C$52*P36</f>
        <v>103680.00000000001</v>
      </c>
      <c r="C55" s="629">
        <f t="shared" si="2"/>
        <v>0</v>
      </c>
      <c r="D55" s="629">
        <f t="shared" si="2"/>
        <v>0</v>
      </c>
      <c r="E55" s="629">
        <f t="shared" si="2"/>
        <v>0</v>
      </c>
      <c r="F55" s="629">
        <f t="shared" si="2"/>
        <v>0</v>
      </c>
      <c r="G55" s="629">
        <f t="shared" si="2"/>
        <v>0</v>
      </c>
      <c r="H55" s="629">
        <f t="shared" si="2"/>
        <v>0</v>
      </c>
      <c r="I55" s="630">
        <f t="shared" si="2"/>
        <v>0</v>
      </c>
      <c r="J55" s="587"/>
      <c r="K55" s="587"/>
      <c r="L55" s="625"/>
      <c r="M55" s="625"/>
      <c r="N55" s="625"/>
      <c r="O55" s="612"/>
      <c r="P55" s="612"/>
    </row>
    <row r="56" spans="1:16" ht="15.75" thickBot="1">
      <c r="A56" s="631" t="s">
        <v>285</v>
      </c>
      <c r="B56" s="632">
        <f t="shared" ref="B56:I56" si="3">$B$52*P36</f>
        <v>148114.28571428574</v>
      </c>
      <c r="C56" s="632">
        <f t="shared" si="3"/>
        <v>0</v>
      </c>
      <c r="D56" s="632">
        <f t="shared" si="3"/>
        <v>0</v>
      </c>
      <c r="E56" s="632">
        <f t="shared" si="3"/>
        <v>0</v>
      </c>
      <c r="F56" s="632">
        <f t="shared" si="3"/>
        <v>0</v>
      </c>
      <c r="G56" s="632">
        <f t="shared" si="3"/>
        <v>0</v>
      </c>
      <c r="H56" s="632">
        <f t="shared" si="3"/>
        <v>0</v>
      </c>
      <c r="I56" s="633">
        <f t="shared" si="3"/>
        <v>0</v>
      </c>
      <c r="J56" s="587"/>
      <c r="K56" s="587"/>
      <c r="L56" s="625"/>
      <c r="M56" s="625"/>
      <c r="N56" s="625"/>
      <c r="O56" s="612"/>
      <c r="P56" s="612"/>
    </row>
    <row r="57" spans="1:16">
      <c r="J57" s="571"/>
      <c r="K57" s="571"/>
      <c r="L57" s="571"/>
      <c r="M57" s="571"/>
      <c r="N57" s="571"/>
    </row>
    <row r="58" spans="1:16">
      <c r="J58" s="571"/>
      <c r="K58" s="571"/>
      <c r="L58" s="571"/>
      <c r="M58" s="571"/>
      <c r="N58"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22556.33505321807</v>
      </c>
      <c r="C4" s="457">
        <f>huishoudens!C8</f>
        <v>0</v>
      </c>
      <c r="D4" s="457">
        <f>huishoudens!D8</f>
        <v>63871.950450000004</v>
      </c>
      <c r="E4" s="457">
        <f>huishoudens!E8</f>
        <v>1135.4496899427754</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8419.2990211954802</v>
      </c>
      <c r="O4" s="457">
        <f>huishoudens!O8</f>
        <v>53.153333333333336</v>
      </c>
      <c r="P4" s="458">
        <f>huishoudens!P8</f>
        <v>190.66666666666669</v>
      </c>
      <c r="Q4" s="459">
        <f>SUM(B4:P4)</f>
        <v>96226.854214356325</v>
      </c>
    </row>
    <row r="5" spans="1:17">
      <c r="A5" s="456" t="s">
        <v>155</v>
      </c>
      <c r="B5" s="457">
        <f ca="1">tertiair!B16</f>
        <v>32822.936000000002</v>
      </c>
      <c r="C5" s="457">
        <f ca="1">tertiair!C16</f>
        <v>26620.714285714286</v>
      </c>
      <c r="D5" s="457">
        <f ca="1">tertiair!D16</f>
        <v>0</v>
      </c>
      <c r="E5" s="457">
        <f>tertiair!E16</f>
        <v>165.05848477931164</v>
      </c>
      <c r="F5" s="457">
        <f ca="1">tertiair!F16</f>
        <v>2753.6605619237707</v>
      </c>
      <c r="G5" s="457">
        <f>tertiair!G16</f>
        <v>0</v>
      </c>
      <c r="H5" s="457">
        <f>tertiair!H16</f>
        <v>0</v>
      </c>
      <c r="I5" s="457">
        <f>tertiair!I16</f>
        <v>0</v>
      </c>
      <c r="J5" s="457">
        <f>tertiair!J16</f>
        <v>0</v>
      </c>
      <c r="K5" s="457">
        <f>tertiair!K16</f>
        <v>0</v>
      </c>
      <c r="L5" s="457">
        <f ca="1">tertiair!L16</f>
        <v>0</v>
      </c>
      <c r="M5" s="457">
        <f>tertiair!M16</f>
        <v>0</v>
      </c>
      <c r="N5" s="457">
        <f ca="1">tertiair!N16</f>
        <v>371.40277532764838</v>
      </c>
      <c r="O5" s="457">
        <f>tertiair!O16</f>
        <v>3.1266666666666669</v>
      </c>
      <c r="P5" s="458">
        <f>tertiair!P16</f>
        <v>0</v>
      </c>
      <c r="Q5" s="456">
        <f t="shared" ref="Q5:Q14" ca="1" si="0">SUM(B5:P5)</f>
        <v>62736.898774411689</v>
      </c>
    </row>
    <row r="6" spans="1:17">
      <c r="A6" s="456" t="s">
        <v>193</v>
      </c>
      <c r="B6" s="457">
        <f>'openbare verlichting'!B8</f>
        <v>719.26</v>
      </c>
      <c r="C6" s="457"/>
      <c r="D6" s="457"/>
      <c r="E6" s="457"/>
      <c r="F6" s="457"/>
      <c r="G6" s="457"/>
      <c r="H6" s="457"/>
      <c r="I6" s="457"/>
      <c r="J6" s="457"/>
      <c r="K6" s="457"/>
      <c r="L6" s="457"/>
      <c r="M6" s="457"/>
      <c r="N6" s="457"/>
      <c r="O6" s="457"/>
      <c r="P6" s="458"/>
      <c r="Q6" s="456">
        <f t="shared" si="0"/>
        <v>719.26</v>
      </c>
    </row>
    <row r="7" spans="1:17">
      <c r="A7" s="456" t="s">
        <v>111</v>
      </c>
      <c r="B7" s="457">
        <f>landbouw!B8</f>
        <v>1896.1669999999999</v>
      </c>
      <c r="C7" s="457">
        <f>landbouw!C8</f>
        <v>99276.42857142858</v>
      </c>
      <c r="D7" s="457">
        <f>landbouw!D8</f>
        <v>31226.088341142808</v>
      </c>
      <c r="E7" s="457">
        <f>landbouw!E8</f>
        <v>17.863163613565465</v>
      </c>
      <c r="F7" s="457">
        <f>landbouw!F8</f>
        <v>6187.8222035616518</v>
      </c>
      <c r="G7" s="457">
        <f>landbouw!G8</f>
        <v>0</v>
      </c>
      <c r="H7" s="457">
        <f>landbouw!H8</f>
        <v>0</v>
      </c>
      <c r="I7" s="457">
        <f>landbouw!I8</f>
        <v>0</v>
      </c>
      <c r="J7" s="457">
        <f>landbouw!J8</f>
        <v>234.56508085451634</v>
      </c>
      <c r="K7" s="457">
        <f>landbouw!K8</f>
        <v>0</v>
      </c>
      <c r="L7" s="457">
        <f>landbouw!L8</f>
        <v>0</v>
      </c>
      <c r="M7" s="457">
        <f>landbouw!M8</f>
        <v>0</v>
      </c>
      <c r="N7" s="457">
        <f>landbouw!N8</f>
        <v>0</v>
      </c>
      <c r="O7" s="457">
        <f>landbouw!O8</f>
        <v>0</v>
      </c>
      <c r="P7" s="458">
        <f>landbouw!P8</f>
        <v>0</v>
      </c>
      <c r="Q7" s="456">
        <f t="shared" si="0"/>
        <v>138838.93436060115</v>
      </c>
    </row>
    <row r="8" spans="1:17">
      <c r="A8" s="456" t="s">
        <v>682</v>
      </c>
      <c r="B8" s="457">
        <f>industrie!B18</f>
        <v>8401.2790000000005</v>
      </c>
      <c r="C8" s="457">
        <f>industrie!C18</f>
        <v>0</v>
      </c>
      <c r="D8" s="457">
        <f>industrie!D18</f>
        <v>5706.1737700000003</v>
      </c>
      <c r="E8" s="457">
        <f>industrie!E18</f>
        <v>215.41339099453137</v>
      </c>
      <c r="F8" s="457">
        <f>industrie!F18</f>
        <v>2757.0293637331129</v>
      </c>
      <c r="G8" s="457">
        <f>industrie!G18</f>
        <v>0</v>
      </c>
      <c r="H8" s="457">
        <f>industrie!H18</f>
        <v>0</v>
      </c>
      <c r="I8" s="457">
        <f>industrie!I18</f>
        <v>0</v>
      </c>
      <c r="J8" s="457">
        <f>industrie!J18</f>
        <v>1.1599400978130929</v>
      </c>
      <c r="K8" s="457">
        <f>industrie!K18</f>
        <v>0</v>
      </c>
      <c r="L8" s="457">
        <f>industrie!L18</f>
        <v>0</v>
      </c>
      <c r="M8" s="457">
        <f>industrie!M18</f>
        <v>0</v>
      </c>
      <c r="N8" s="457">
        <f>industrie!N18</f>
        <v>2324.6649699825052</v>
      </c>
      <c r="O8" s="457">
        <f>industrie!O18</f>
        <v>0</v>
      </c>
      <c r="P8" s="458">
        <f>industrie!P18</f>
        <v>0</v>
      </c>
      <c r="Q8" s="456">
        <f t="shared" si="0"/>
        <v>19405.720434807965</v>
      </c>
    </row>
    <row r="9" spans="1:17" s="462" customFormat="1">
      <c r="A9" s="460" t="s">
        <v>578</v>
      </c>
      <c r="B9" s="461">
        <f>transport!B14</f>
        <v>1.4472673249886443</v>
      </c>
      <c r="C9" s="461">
        <f>transport!C14</f>
        <v>0</v>
      </c>
      <c r="D9" s="461">
        <f>transport!D14</f>
        <v>3.1539449605978844</v>
      </c>
      <c r="E9" s="461">
        <f>transport!E14</f>
        <v>201.53374604476664</v>
      </c>
      <c r="F9" s="461">
        <f>transport!F14</f>
        <v>0</v>
      </c>
      <c r="G9" s="461">
        <f>transport!G14</f>
        <v>46960.076808118836</v>
      </c>
      <c r="H9" s="461">
        <f>transport!H14</f>
        <v>8082.9097965599503</v>
      </c>
      <c r="I9" s="461">
        <f>transport!I14</f>
        <v>0</v>
      </c>
      <c r="J9" s="461">
        <f>transport!J14</f>
        <v>0</v>
      </c>
      <c r="K9" s="461">
        <f>transport!K14</f>
        <v>0</v>
      </c>
      <c r="L9" s="461">
        <f>transport!L14</f>
        <v>0</v>
      </c>
      <c r="M9" s="461">
        <f>transport!M14</f>
        <v>2459.7608304847477</v>
      </c>
      <c r="N9" s="461">
        <f>transport!N14</f>
        <v>0</v>
      </c>
      <c r="O9" s="461">
        <f>transport!O14</f>
        <v>0</v>
      </c>
      <c r="P9" s="461">
        <f>transport!P14</f>
        <v>0</v>
      </c>
      <c r="Q9" s="460">
        <f>SUM(B9:P9)</f>
        <v>57708.882393493885</v>
      </c>
    </row>
    <row r="10" spans="1:17">
      <c r="A10" s="456" t="s">
        <v>568</v>
      </c>
      <c r="B10" s="457">
        <f>transport!B54</f>
        <v>670.60146585967414</v>
      </c>
      <c r="C10" s="457">
        <f>transport!C54</f>
        <v>0</v>
      </c>
      <c r="D10" s="457">
        <f>transport!D54</f>
        <v>0</v>
      </c>
      <c r="E10" s="457">
        <f>transport!E54</f>
        <v>0</v>
      </c>
      <c r="F10" s="457">
        <f>transport!F54</f>
        <v>0</v>
      </c>
      <c r="G10" s="457">
        <f>transport!G54</f>
        <v>1478.507001062683</v>
      </c>
      <c r="H10" s="457">
        <f>transport!H54</f>
        <v>0</v>
      </c>
      <c r="I10" s="457">
        <f>transport!I54</f>
        <v>0</v>
      </c>
      <c r="J10" s="457">
        <f>transport!J54</f>
        <v>0</v>
      </c>
      <c r="K10" s="457">
        <f>transport!K54</f>
        <v>0</v>
      </c>
      <c r="L10" s="457">
        <f>transport!L54</f>
        <v>0</v>
      </c>
      <c r="M10" s="457">
        <f>transport!M54</f>
        <v>64.871221540837965</v>
      </c>
      <c r="N10" s="457">
        <f>transport!N54</f>
        <v>0</v>
      </c>
      <c r="O10" s="457">
        <f>transport!O54</f>
        <v>0</v>
      </c>
      <c r="P10" s="458">
        <f>transport!P54</f>
        <v>0</v>
      </c>
      <c r="Q10" s="456">
        <f t="shared" si="0"/>
        <v>2213.9796884631955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684.03700000000003</v>
      </c>
      <c r="C14" s="464"/>
      <c r="D14" s="464">
        <f>'SEAP template'!E25</f>
        <v>3060.3069999999998</v>
      </c>
      <c r="E14" s="464"/>
      <c r="F14" s="464"/>
      <c r="G14" s="464"/>
      <c r="H14" s="464"/>
      <c r="I14" s="464"/>
      <c r="J14" s="464"/>
      <c r="K14" s="464"/>
      <c r="L14" s="464"/>
      <c r="M14" s="464"/>
      <c r="N14" s="464"/>
      <c r="O14" s="464"/>
      <c r="P14" s="465"/>
      <c r="Q14" s="456">
        <f t="shared" si="0"/>
        <v>3744.3440000000001</v>
      </c>
    </row>
    <row r="15" spans="1:17" s="469" customFormat="1">
      <c r="A15" s="466" t="s">
        <v>572</v>
      </c>
      <c r="B15" s="467">
        <f ca="1">SUM(B4:B14)</f>
        <v>67752.062786402719</v>
      </c>
      <c r="C15" s="467">
        <f t="shared" ref="C15:Q15" ca="1" si="1">SUM(C4:C14)</f>
        <v>125897.14285714287</v>
      </c>
      <c r="D15" s="467">
        <f t="shared" ca="1" si="1"/>
        <v>103867.6735061034</v>
      </c>
      <c r="E15" s="467">
        <f t="shared" si="1"/>
        <v>1735.3184753749506</v>
      </c>
      <c r="F15" s="467">
        <f t="shared" ca="1" si="1"/>
        <v>11698.512129218536</v>
      </c>
      <c r="G15" s="467">
        <f t="shared" si="1"/>
        <v>48438.583809181517</v>
      </c>
      <c r="H15" s="467">
        <f t="shared" si="1"/>
        <v>8082.9097965599503</v>
      </c>
      <c r="I15" s="467">
        <f t="shared" si="1"/>
        <v>0</v>
      </c>
      <c r="J15" s="467">
        <f t="shared" si="1"/>
        <v>235.72502095232943</v>
      </c>
      <c r="K15" s="467">
        <f t="shared" si="1"/>
        <v>0</v>
      </c>
      <c r="L15" s="467">
        <f t="shared" ca="1" si="1"/>
        <v>0</v>
      </c>
      <c r="M15" s="467">
        <f t="shared" si="1"/>
        <v>2524.6320520255858</v>
      </c>
      <c r="N15" s="467">
        <f t="shared" ca="1" si="1"/>
        <v>11115.366766505633</v>
      </c>
      <c r="O15" s="467">
        <f t="shared" si="1"/>
        <v>56.28</v>
      </c>
      <c r="P15" s="467">
        <f t="shared" si="1"/>
        <v>190.66666666666669</v>
      </c>
      <c r="Q15" s="467">
        <f t="shared" ca="1" si="1"/>
        <v>381594.87386613421</v>
      </c>
    </row>
    <row r="17" spans="1:17">
      <c r="A17" s="470" t="s">
        <v>573</v>
      </c>
      <c r="B17" s="774">
        <f ca="1">huishoudens!B10</f>
        <v>0.23272140149600223</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5249.3419061983113</v>
      </c>
      <c r="C22" s="457">
        <f t="shared" ref="C22:C32" ca="1" si="3">C4*$C$17</f>
        <v>0</v>
      </c>
      <c r="D22" s="457">
        <f t="shared" ref="D22:D32" si="4">D4*$D$17</f>
        <v>12902.133990900002</v>
      </c>
      <c r="E22" s="457">
        <f t="shared" ref="E22:E32" si="5">E4*$E$17</f>
        <v>257.74707961701</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18409.222976715322</v>
      </c>
    </row>
    <row r="23" spans="1:17">
      <c r="A23" s="456" t="s">
        <v>155</v>
      </c>
      <c r="B23" s="457">
        <f t="shared" ca="1" si="2"/>
        <v>7638.5996671335861</v>
      </c>
      <c r="C23" s="457">
        <f t="shared" ca="1" si="3"/>
        <v>6326.3344537815137</v>
      </c>
      <c r="D23" s="457">
        <f t="shared" ca="1" si="4"/>
        <v>0</v>
      </c>
      <c r="E23" s="457">
        <f t="shared" si="5"/>
        <v>37.468276044903746</v>
      </c>
      <c r="F23" s="457">
        <f t="shared" ca="1" si="6"/>
        <v>735.22737003364682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14737.629766993648</v>
      </c>
    </row>
    <row r="24" spans="1:17">
      <c r="A24" s="456" t="s">
        <v>193</v>
      </c>
      <c r="B24" s="457">
        <f t="shared" ca="1" si="2"/>
        <v>167.38719524001456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167.38719524001456</v>
      </c>
    </row>
    <row r="25" spans="1:17">
      <c r="A25" s="456" t="s">
        <v>111</v>
      </c>
      <c r="B25" s="457">
        <f t="shared" ca="1" si="2"/>
        <v>441.27864171047003</v>
      </c>
      <c r="C25" s="457">
        <f t="shared" ca="1" si="3"/>
        <v>23592.751260504207</v>
      </c>
      <c r="D25" s="457">
        <f t="shared" si="4"/>
        <v>6307.6698449108471</v>
      </c>
      <c r="E25" s="457">
        <f t="shared" si="5"/>
        <v>4.0549381402793605</v>
      </c>
      <c r="F25" s="457">
        <f t="shared" si="6"/>
        <v>1652.1485283509612</v>
      </c>
      <c r="G25" s="457">
        <f t="shared" si="7"/>
        <v>0</v>
      </c>
      <c r="H25" s="457">
        <f t="shared" si="8"/>
        <v>0</v>
      </c>
      <c r="I25" s="457">
        <f t="shared" si="9"/>
        <v>0</v>
      </c>
      <c r="J25" s="457">
        <f t="shared" si="10"/>
        <v>83.036038622498779</v>
      </c>
      <c r="K25" s="457">
        <f t="shared" si="11"/>
        <v>0</v>
      </c>
      <c r="L25" s="457">
        <f t="shared" si="12"/>
        <v>0</v>
      </c>
      <c r="M25" s="457">
        <f t="shared" si="13"/>
        <v>0</v>
      </c>
      <c r="N25" s="457">
        <f t="shared" si="14"/>
        <v>0</v>
      </c>
      <c r="O25" s="457">
        <f t="shared" si="15"/>
        <v>0</v>
      </c>
      <c r="P25" s="458">
        <f t="shared" si="16"/>
        <v>0</v>
      </c>
      <c r="Q25" s="456">
        <f t="shared" ca="1" si="17"/>
        <v>32080.939252239263</v>
      </c>
    </row>
    <row r="26" spans="1:17">
      <c r="A26" s="456" t="s">
        <v>682</v>
      </c>
      <c r="B26" s="457">
        <f t="shared" ca="1" si="2"/>
        <v>1955.1574232389323</v>
      </c>
      <c r="C26" s="457">
        <f t="shared" ca="1" si="3"/>
        <v>0</v>
      </c>
      <c r="D26" s="457">
        <f t="shared" si="4"/>
        <v>1152.6471015400002</v>
      </c>
      <c r="E26" s="457">
        <f t="shared" si="5"/>
        <v>48.898839755758623</v>
      </c>
      <c r="F26" s="457">
        <f t="shared" si="6"/>
        <v>736.12684011674116</v>
      </c>
      <c r="G26" s="457">
        <f t="shared" si="7"/>
        <v>0</v>
      </c>
      <c r="H26" s="457">
        <f t="shared" si="8"/>
        <v>0</v>
      </c>
      <c r="I26" s="457">
        <f t="shared" si="9"/>
        <v>0</v>
      </c>
      <c r="J26" s="457">
        <f t="shared" si="10"/>
        <v>0.41061879462583489</v>
      </c>
      <c r="K26" s="457">
        <f t="shared" si="11"/>
        <v>0</v>
      </c>
      <c r="L26" s="457">
        <f t="shared" si="12"/>
        <v>0</v>
      </c>
      <c r="M26" s="457">
        <f t="shared" si="13"/>
        <v>0</v>
      </c>
      <c r="N26" s="457">
        <f t="shared" si="14"/>
        <v>0</v>
      </c>
      <c r="O26" s="457">
        <f t="shared" si="15"/>
        <v>0</v>
      </c>
      <c r="P26" s="458">
        <f t="shared" si="16"/>
        <v>0</v>
      </c>
      <c r="Q26" s="456">
        <f t="shared" ca="1" si="17"/>
        <v>3893.2408234460581</v>
      </c>
    </row>
    <row r="27" spans="1:17" s="462" customFormat="1">
      <c r="A27" s="460" t="s">
        <v>578</v>
      </c>
      <c r="B27" s="768">
        <f t="shared" ca="1" si="2"/>
        <v>0.33681008021072745</v>
      </c>
      <c r="C27" s="461">
        <f t="shared" ca="1" si="3"/>
        <v>0</v>
      </c>
      <c r="D27" s="461">
        <f t="shared" si="4"/>
        <v>0.63709688204077275</v>
      </c>
      <c r="E27" s="461">
        <f t="shared" si="5"/>
        <v>45.748160352162031</v>
      </c>
      <c r="F27" s="461">
        <f t="shared" si="6"/>
        <v>0</v>
      </c>
      <c r="G27" s="461">
        <f t="shared" si="7"/>
        <v>12538.340507767731</v>
      </c>
      <c r="H27" s="461">
        <f t="shared" si="8"/>
        <v>2012.6445393434276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14597.707114425571</v>
      </c>
    </row>
    <row r="28" spans="1:17">
      <c r="A28" s="456" t="s">
        <v>568</v>
      </c>
      <c r="B28" s="457">
        <f t="shared" ca="1" si="2"/>
        <v>156.06331298013686</v>
      </c>
      <c r="C28" s="457">
        <f t="shared" ca="1" si="3"/>
        <v>0</v>
      </c>
      <c r="D28" s="457">
        <f t="shared" si="4"/>
        <v>0</v>
      </c>
      <c r="E28" s="457">
        <f t="shared" si="5"/>
        <v>0</v>
      </c>
      <c r="F28" s="457">
        <f t="shared" si="6"/>
        <v>0</v>
      </c>
      <c r="G28" s="457">
        <f t="shared" si="7"/>
        <v>394.76136928373637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550.82468226387323</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159.19004931512089</v>
      </c>
      <c r="C32" s="457">
        <f t="shared" ca="1" si="3"/>
        <v>0</v>
      </c>
      <c r="D32" s="457">
        <f t="shared" si="4"/>
        <v>618.18201399999998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777.37206331512084</v>
      </c>
    </row>
    <row r="33" spans="1:17" s="469" customFormat="1">
      <c r="A33" s="466" t="s">
        <v>572</v>
      </c>
      <c r="B33" s="467">
        <f ca="1">SUM(B22:B32)</f>
        <v>15767.355005896783</v>
      </c>
      <c r="C33" s="467">
        <f t="shared" ref="C33:Q33" ca="1" si="18">SUM(C22:C32)</f>
        <v>29919.08571428572</v>
      </c>
      <c r="D33" s="467">
        <f t="shared" ca="1" si="18"/>
        <v>20981.270048232887</v>
      </c>
      <c r="E33" s="467">
        <f t="shared" si="18"/>
        <v>393.91729391011376</v>
      </c>
      <c r="F33" s="467">
        <f t="shared" ca="1" si="18"/>
        <v>3123.5027385013495</v>
      </c>
      <c r="G33" s="467">
        <f t="shared" si="18"/>
        <v>12933.101877051467</v>
      </c>
      <c r="H33" s="467">
        <f t="shared" si="18"/>
        <v>2012.6445393434276</v>
      </c>
      <c r="I33" s="467">
        <f t="shared" si="18"/>
        <v>0</v>
      </c>
      <c r="J33" s="467">
        <f t="shared" si="18"/>
        <v>83.446657417124612</v>
      </c>
      <c r="K33" s="467">
        <f t="shared" si="18"/>
        <v>0</v>
      </c>
      <c r="L33" s="467">
        <f t="shared" ca="1" si="18"/>
        <v>0</v>
      </c>
      <c r="M33" s="467">
        <f t="shared" si="18"/>
        <v>0</v>
      </c>
      <c r="N33" s="467">
        <f t="shared" ca="1" si="18"/>
        <v>0</v>
      </c>
      <c r="O33" s="467">
        <f t="shared" si="18"/>
        <v>0</v>
      </c>
      <c r="P33" s="467">
        <f t="shared" si="18"/>
        <v>0</v>
      </c>
      <c r="Q33" s="467">
        <f t="shared" ca="1" si="18"/>
        <v>85214.323874638882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1865.2703454425287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88128</v>
      </c>
      <c r="D8" s="1026">
        <f>'SEAP template'!D76</f>
        <v>103680.00000000001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20943.360000000004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1865.2703454425287</v>
      </c>
      <c r="C10" s="1030">
        <f>SUM(C4:C9)</f>
        <v>88128</v>
      </c>
      <c r="D10" s="1030">
        <f t="shared" ref="D10:H10" si="0">SUM(D8:D9)</f>
        <v>103680.00000000001</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20943.360000000004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0.23272140149600223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125897.14285714286</v>
      </c>
      <c r="D17" s="1027">
        <f>'SEAP template'!D87</f>
        <v>148114.28571428574</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29919.08571428572</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125897.14285714286</v>
      </c>
      <c r="D20" s="1030">
        <f t="shared" ref="D20:H20" si="2">SUM(D17:D19)</f>
        <v>148114.28571428574</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29919.08571428572</v>
      </c>
    </row>
    <row r="22" spans="1:16">
      <c r="A22" s="470" t="s">
        <v>916</v>
      </c>
      <c r="B22" s="774" t="s">
        <v>910</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0.23272140149600223</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2020-06-20T16:24:40Z</dcterms:modified>
</cp:coreProperties>
</file>