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D20" i="18" s="1"/>
  <c r="C18" i="18"/>
  <c r="B18" i="18"/>
  <c r="L9" i="18"/>
  <c r="K9" i="18"/>
  <c r="G9" i="18"/>
  <c r="F9" i="18"/>
  <c r="F10" i="18" s="1"/>
  <c r="D9" i="18"/>
  <c r="D10"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G10" i="18"/>
  <c r="B6" i="18"/>
  <c r="B5" i="18"/>
  <c r="B4" i="18"/>
  <c r="F20" i="18" l="1"/>
  <c r="G20" i="18"/>
  <c r="K20" i="18"/>
  <c r="B45" i="18"/>
  <c r="I49" i="18" s="1"/>
  <c r="H17" i="18" s="1"/>
  <c r="J9" i="18"/>
  <c r="O9" i="18" s="1"/>
  <c r="B17" i="18"/>
  <c r="C45" i="18"/>
  <c r="H48" i="18" s="1"/>
  <c r="O19" i="18"/>
  <c r="O18" i="18"/>
  <c r="B20" i="18"/>
  <c r="L20" i="18"/>
  <c r="B10" i="18"/>
  <c r="D49" i="18"/>
  <c r="I15" i="48"/>
  <c r="K15" i="48"/>
  <c r="I33" i="48"/>
  <c r="K33" i="48"/>
  <c r="E32" i="48"/>
  <c r="F32" i="48"/>
  <c r="G32" i="48"/>
  <c r="H32" i="48"/>
  <c r="I32" i="48"/>
  <c r="J32" i="48"/>
  <c r="K32" i="48"/>
  <c r="L32" i="48"/>
  <c r="M32" i="48"/>
  <c r="N32" i="48"/>
  <c r="O32" i="48"/>
  <c r="P32" i="48"/>
  <c r="B14"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R25" i="14" s="1"/>
  <c r="R90" i="14"/>
  <c r="R78" i="14"/>
  <c r="N56" i="14"/>
  <c r="J56" i="14"/>
  <c r="Q56" i="14"/>
  <c r="P56" i="14"/>
  <c r="I56" i="14"/>
  <c r="P52" i="14"/>
  <c r="O52" i="14"/>
  <c r="L52" i="14"/>
  <c r="K52" i="14"/>
  <c r="J52" i="14"/>
  <c r="G52" i="14"/>
  <c r="H46" i="14"/>
  <c r="R44" i="14"/>
  <c r="I46" i="14"/>
  <c r="P26" i="14"/>
  <c r="L26" i="14"/>
  <c r="H26" i="14"/>
  <c r="E25" i="14"/>
  <c r="D14" i="48" s="1"/>
  <c r="Q26" i="14"/>
  <c r="N26" i="14"/>
  <c r="J26" i="14"/>
  <c r="I26" i="14"/>
  <c r="J22" i="14"/>
  <c r="N16" i="14"/>
  <c r="J16" i="14"/>
  <c r="R12" i="14"/>
  <c r="L16" i="14"/>
  <c r="H16" i="14"/>
  <c r="D5" i="17"/>
  <c r="D32" i="48" l="1"/>
  <c r="Q14" i="48"/>
  <c r="E55" i="14"/>
  <c r="B49" i="18"/>
  <c r="C17" i="18" s="1"/>
  <c r="L20" i="55"/>
  <c r="F49" i="18"/>
  <c r="J77" i="14"/>
  <c r="J9" i="55" s="1"/>
  <c r="H49" i="18"/>
  <c r="H20" i="18"/>
  <c r="M87" i="14"/>
  <c r="M17" i="55" s="1"/>
  <c r="M20" i="55" s="1"/>
  <c r="C49" i="18"/>
  <c r="E49" i="18"/>
  <c r="E17" i="18" s="1"/>
  <c r="G49" i="18"/>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D87" i="14"/>
  <c r="D17" i="55" s="1"/>
  <c r="D20" i="55" s="1"/>
  <c r="G90" i="14"/>
  <c r="O90" i="14"/>
  <c r="Q88" i="14"/>
  <c r="P18" i="55" s="1"/>
  <c r="Q89" i="14"/>
  <c r="P19" i="55" s="1"/>
  <c r="K78" i="14"/>
  <c r="B88" i="14"/>
  <c r="B18" i="55" s="1"/>
  <c r="C89" i="14"/>
  <c r="C19" i="55" s="1"/>
  <c r="B89" i="14"/>
  <c r="B19" i="55" s="1"/>
  <c r="I17" i="18"/>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K90" i="14"/>
  <c r="D78" i="14" l="1"/>
  <c r="M90" i="14"/>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C18" i="16" s="1"/>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D4" i="48"/>
  <c r="D22" i="48" s="1"/>
  <c r="E11" i="14"/>
  <c r="P11" i="14"/>
  <c r="O4" i="48"/>
  <c r="O22" i="48" s="1"/>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J12" i="17" s="1"/>
  <c r="K54" i="14" s="1"/>
  <c r="K56" i="14" s="1"/>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E5" i="17"/>
  <c r="C8" i="17"/>
  <c r="P22" i="16" l="1"/>
  <c r="Q43" i="14" s="1"/>
  <c r="P8" i="48"/>
  <c r="P26" i="48" s="1"/>
  <c r="Q13" i="14"/>
  <c r="Q16" i="14"/>
  <c r="Q27" i="14" s="1"/>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C15" i="48" l="1"/>
  <c r="P16" i="14"/>
  <c r="P27" i="14" s="1"/>
  <c r="P15" i="48"/>
  <c r="Q63" i="14"/>
  <c r="O8" i="48"/>
  <c r="O26" i="48" s="1"/>
  <c r="P13" i="14"/>
  <c r="O23" i="48"/>
  <c r="K11" i="14"/>
  <c r="J4" i="48"/>
  <c r="J22" i="48" s="1"/>
  <c r="O11" i="14"/>
  <c r="N4" i="48"/>
  <c r="N22" i="48" s="1"/>
  <c r="E12" i="13"/>
  <c r="F41" i="14" s="1"/>
  <c r="F11" i="14"/>
  <c r="E4" i="48"/>
  <c r="R18" i="14"/>
  <c r="I63" i="14"/>
  <c r="M10" i="48"/>
  <c r="M28" i="48" s="1"/>
  <c r="N19" i="14"/>
  <c r="G31" i="48"/>
  <c r="Q13" i="48"/>
  <c r="H19" i="14"/>
  <c r="G10" i="48"/>
  <c r="B9" i="48"/>
  <c r="C20" i="14"/>
  <c r="H20" i="14"/>
  <c r="H22" i="14" s="1"/>
  <c r="H27" i="14" s="1"/>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P63"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O15" i="48" l="1"/>
  <c r="R19" i="14"/>
  <c r="R11" i="14"/>
  <c r="O33" i="48"/>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K13" i="14"/>
  <c r="K16" i="14" s="1"/>
  <c r="K27" i="14" s="1"/>
  <c r="J8" i="48"/>
  <c r="J26" i="48" s="1"/>
  <c r="F16" i="14"/>
  <c r="F27" i="14" s="1"/>
  <c r="J23" i="48"/>
  <c r="E23" i="48"/>
  <c r="F8" i="48"/>
  <c r="G13" i="14"/>
  <c r="N8" i="48"/>
  <c r="O13" i="14"/>
  <c r="N22" i="16"/>
  <c r="O43" i="14" s="1"/>
  <c r="J22" i="16"/>
  <c r="K43" i="14" s="1"/>
  <c r="K46" i="14" s="1"/>
  <c r="K61" i="14" s="1"/>
  <c r="E15" i="48" l="1"/>
  <c r="E33"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<sst xmlns="http://schemas.openxmlformats.org/spreadsheetml/2006/main" count="2513" uniqueCount="971">
  <si>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</si>
  <si>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</si>
  <si>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</si>
  <si>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</si>
  <si>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</si>
  <si>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</si>
  <si>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</si>
  <si>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</si>
  <si>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</si>
  <si>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</si>
  <si>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</si>
  <si>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</si>
  <si>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</si>
  <si>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</si>
  <si>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</si>
  <si>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</si>
  <si>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</si>
  <si>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</si>
  <si>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</si>
  <si>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</si>
  <si>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</si>
  <si>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</si>
  <si>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</si>
  <si>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</si>
  <si>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</si>
  <si>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</si>
  <si>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</si>
  <si>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</si>
  <si>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</si>
  <si>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</si>
  <si>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</si>
  <si>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</si>
  <si>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</si>
  <si>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</si>
  <si>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</si>
  <si>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</si>
  <si>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</si>
  <si>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</si>
  <si>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</si>
  <si>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</si>
  <si>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</si>
  <si>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</si>
  <si>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</si>
  <si>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</si>
  <si>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</si>
  <si>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</si>
  <si>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</si>
  <si>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</si>
  <si>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</si>
  <si>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</si>
  <si>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</si>
  <si>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</si>
  <si>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</si>
  <si>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</si>
  <si>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</si>
  <si>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</si>
  <si>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</si>
  <si>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</si>
  <si>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</si>
  <si>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</si>
  <si>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</si>
  <si>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</si>
  <si>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</si>
  <si>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</si>
  <si>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</si>
  <si>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</si>
  <si>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</si>
  <si>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</si>
  <si>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</si>
  <si>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</si>
  <si>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</si>
  <si>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</si>
  <si>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</si>
  <si>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</si>
  <si>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</si>
  <si>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</si>
  <si>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</si>
  <si>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</si>
  <si>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</si>
  <si>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</si>
  <si>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</si>
  <si>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</si>
  <si>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</si>
  <si>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</si>
  <si>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</si>
  <si>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</si>
  <si>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</si>
  <si>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</si>
  <si>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</si>
  <si>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</si>
  <si>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</si>
  <si>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</si>
  <si>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</si>
  <si>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</si>
  <si>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</si>
  <si>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</si>
  <si>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</si>
  <si>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</si>
  <si>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</si>
  <si>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</si>
  <si>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</si>
  <si>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</si>
  <si>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</si>
  <si>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</si>
  <si>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</si>
  <si>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</si>
  <si>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</si>
  <si>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</si>
  <si>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</si>
  <si>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</si>
  <si>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</si>
  <si>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</si>
  <si>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</si>
  <si>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</si>
  <si>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</si>
  <si>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</si>
  <si>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</si>
  <si>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</si>
  <si>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</si>
  <si>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</si>
  <si>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</si>
  <si>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</si>
  <si>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</si>
  <si>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</si>
  <si>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</si>
  <si>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</si>
  <si>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</si>
  <si>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</si>
  <si>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</si>
  <si>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</si>
  <si>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</si>
  <si>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</si>
  <si>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</si>
  <si>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</si>
  <si>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</si>
  <si>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</si>
  <si>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</si>
  <si>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</si>
  <si>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</si>
  <si>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</si>
  <si>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</si>
  <si>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</si>
  <si>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</si>
  <si>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</si>
  <si>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</si>
  <si>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</si>
  <si>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</si>
  <si>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</si>
  <si>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</si>
  <si>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</si>
  <si>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</si>
  <si>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</si>
  <si>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</si>
  <si>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</si>
  <si>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</si>
  <si>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</si>
  <si>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</si>
  <si>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</si>
  <si>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</si>
  <si>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</si>
  <si>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</si>
  <si>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</si>
  <si>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</si>
  <si>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</si>
  <si>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</si>
  <si>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</si>
  <si>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</si>
  <si>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</si>
  <si>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</si>
  <si>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</si>
  <si>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</si>
  <si>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</si>
  <si>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</si>
  <si>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</si>
  <si>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</si>
  <si>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</si>
  <si>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</si>
  <si>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</si>
  <si>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</si>
  <si>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</si>
  <si>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</si>
  <si>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</si>
  <si>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</si>
  <si>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</si>
  <si>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</si>
  <si>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</si>
  <si>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</si>
  <si>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</si>
  <si>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</si>
  <si>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</si>
  <si>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</si>
  <si>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</si>
  <si>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</si>
  <si>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</si>
  <si>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</si>
  <si>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</si>
  <si>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</si>
  <si>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</si>
  <si>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</si>
  <si>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</si>
  <si>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</si>
  <si>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</si>
  <si>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</si>
  <si>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</si>
  <si>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</si>
  <si>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</si>
  <si>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</si>
  <si>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</si>
  <si>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</si>
  <si>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</si>
  <si>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</si>
  <si>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</si>
  <si>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</si>
  <si>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</si>
  <si>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</si>
  <si>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</si>
  <si>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</si>
  <si>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</si>
  <si>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</si>
  <si>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</si>
  <si>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</si>
  <si>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</si>
  <si>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</si>
  <si>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</si>
  <si>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</si>
  <si>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</si>
  <si>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</si>
  <si>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</si>
  <si>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</si>
  <si>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</si>
  <si>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</si>
  <si>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</si>
  <si>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</si>
  <si>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</si>
  <si>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</si>
  <si>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</si>
  <si>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</si>
  <si>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</si>
  <si>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</si>
  <si>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</si>
  <si>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</si>
  <si>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</si>
  <si>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</si>
  <si>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</si>
  <si>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</si>
  <si>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</si>
  <si>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</si>
  <si>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</si>
  <si>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</si>
  <si>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</si>
  <si>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</si>
  <si>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</si>
  <si>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</si>
  <si>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</si>
  <si>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</si>
  <si>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</si>
  <si>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</si>
  <si>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</si>
  <si>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</si>
  <si>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</si>
  <si>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</si>
  <si>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</si>
  <si>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</si>
  <si>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</si>
  <si>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</si>
  <si>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</si>
  <si>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</si>
  <si>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</si>
  <si>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</si>
  <si>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</si>
  <si>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</si>
  <si>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</si>
  <si>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</si>
  <si>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</si>
  <si>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</si>
  <si>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</si>
  <si>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</si>
  <si>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</si>
  <si>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</si>
  <si>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</si>
  <si>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</si>
  <si>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</si>
  <si>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</si>
  <si>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</si>
  <si>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</si>
  <si>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</si>
  <si>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</si>
  <si>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</si>
  <si>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</si>
  <si>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</si>
  <si>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</si>
  <si>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</si>
  <si>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</si>
  <si>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</si>
  <si>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</si>
  <si>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</si>
  <si>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</si>
  <si>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</si>
  <si>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</si>
  <si>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</si>
  <si>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</si>
  <si>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</si>
  <si>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</si>
  <si>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</si>
  <si>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</si>
  <si>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</si>
  <si>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</si>
  <si>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</si>
  <si>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</si>
  <si>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</si>
  <si>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</si>
  <si>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</si>
  <si>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</si>
  <si>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</si>
  <si>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</si>
  <si>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</si>
  <si>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</si>
  <si>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</si>
  <si>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</si>
  <si>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</si>
  <si>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</si>
  <si>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</si>
  <si>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</si>
  <si>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</si>
  <si>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</si>
  <si>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</si>
  <si>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</si>
  <si>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</si>
  <si>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</si>
  <si>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</si>
  <si>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</si>
  <si>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</si>
  <si>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</si>
  <si>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</si>
  <si>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</si>
  <si>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</si>
  <si>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</si>
  <si>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</si>
  <si>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</si>
  <si>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</si>
  <si>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</si>
  <si>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</si>
  <si>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</si>
  <si>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</si>
  <si>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</si>
  <si>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</si>
  <si>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</si>
  <si>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</si>
  <si>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</si>
  <si>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</si>
  <si>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</si>
  <si>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</si>
  <si>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</si>
  <si>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</si>
  <si>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</si>
  <si>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</si>
  <si>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</si>
  <si>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</si>
  <si>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</si>
  <si>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</si>
  <si>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</si>
  <si>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</si>
  <si>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</si>
  <si>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</si>
  <si>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</si>
  <si>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</si>
  <si>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</si>
  <si>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</si>
  <si>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</si>
  <si>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</si>
  <si>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</si>
  <si>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</si>
  <si>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</si>
  <si>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</si>
  <si>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</si>
  <si>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</si>
  <si>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</si>
  <si>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</si>
  <si>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</si>
  <si>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</si>
  <si>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</si>
  <si>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</si>
  <si>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</si>
  <si>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</si>
  <si>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</si>
  <si>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</si>
  <si>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</si>
  <si>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</si>
  <si>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</si>
  <si>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</si>
  <si>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</si>
  <si>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</si>
  <si>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</si>
  <si>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</si>
  <si>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</si>
  <si>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</si>
  <si>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</si>
  <si>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</si>
  <si>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</si>
  <si>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</si>
  <si>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</si>
  <si>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</si>
  <si>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</si>
  <si>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</si>
  <si>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</si>
  <si>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</si>
  <si>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</si>
  <si>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</si>
  <si>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</si>
  <si>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</si>
  <si>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</si>
  <si>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</si>
  <si>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</si>
  <si>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</si>
  <si>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</si>
  <si>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</si>
  <si>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</si>
  <si>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</si>
  <si>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</si>
  <si>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</si>
  <si>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</si>
  <si>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</si>
  <si>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</si>
  <si>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</si>
  <si>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</si>
  <si>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</si>
  <si>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</si>
  <si>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</si>
  <si>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</si>
  <si>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</si>
  <si>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</si>
  <si>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</si>
  <si>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</si>
  <si>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</si>
  <si>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</si>
  <si>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</si>
  <si>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</si>
  <si>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</si>
  <si>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</si>
  <si>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</si>
  <si>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</si>
  <si>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</si>
  <si>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</si>
  <si>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</si>
  <si>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</si>
  <si>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</si>
  <si>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</si>
  <si>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</si>
  <si>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</si>
  <si>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</si>
  <si>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</si>
  <si>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</si>
  <si>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</si>
  <si>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</si>
  <si>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</si>
  <si>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</si>
  <si>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</si>
  <si>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</si>
  <si>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</si>
  <si>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</si>
  <si>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</si>
  <si>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</si>
  <si>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</si>
  <si>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</si>
  <si>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</si>
  <si>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</si>
  <si>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</si>
  <si>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</si>
  <si>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</si>
  <si>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</si>
  <si>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</si>
  <si>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</si>
  <si>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</si>
  <si>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</si>
  <si>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</si>
  <si>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</si>
  <si>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</si>
  <si>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</si>
  <si>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</si>
  <si>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</si>
  <si>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</si>
  <si>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</si>
  <si>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</si>
  <si>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</si>
  <si>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</si>
  <si>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</si>
  <si>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</si>
  <si>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</si>
  <si>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</si>
  <si>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</si>
  <si>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</si>
  <si>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</si>
  <si>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</si>
  <si>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</si>
  <si>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</si>
  <si>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</si>
  <si>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</si>
  <si>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</si>
  <si>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</si>
  <si>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</si>
  <si>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</si>
  <si>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</si>
  <si>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</si>
  <si>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</si>
  <si>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</si>
  <si>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</si>
  <si>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</si>
  <si>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</si>
  <si>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</si>
  <si>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</si>
  <si>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</si>
  <si>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</si>
  <si>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</si>
  <si>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</si>
  <si>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</si>
  <si>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</si>
  <si>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</si>
  <si>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</si>
  <si>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</si>
  <si>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</si>
  <si>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</si>
  <si>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</si>
  <si>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</si>
  <si>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</si>
  <si>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</si>
  <si>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</si>
  <si>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</si>
  <si>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</si>
  <si>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</si>
  <si>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</si>
  <si>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</si>
  <si>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</si>
  <si>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</si>
  <si>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</si>
  <si>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</si>
  <si>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</si>
  <si>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</si>
  <si>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</si>
  <si>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</si>
  <si>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</si>
  <si>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</si>
  <si>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</si>
  <si>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</si>
  <si>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</si>
  <si>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</si>
  <si>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</si>
  <si>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</si>
  <si>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</si>
  <si>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</si>
  <si>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</si>
  <si>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</si>
  <si>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</si>
  <si>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</si>
  <si>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</si>
  <si>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</si>
  <si>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</si>
  <si>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</si>
  <si>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</si>
  <si>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</si>
  <si>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</si>
  <si>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</si>
  <si>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</si>
  <si>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</si>
  <si>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</si>
  <si>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</si>
  <si>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</si>
  <si>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</si>
  <si>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</si>
  <si>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</si>
  <si>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</si>
  <si>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</si>
  <si>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</si>
  <si>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</si>
  <si>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</si>
  <si>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</si>
  <si>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</si>
  <si>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</si>
  <si>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</si>
  <si>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</si>
  <si>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</si>
  <si>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</si>
  <si>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</si>
  <si>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</si>
  <si>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</si>
  <si>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</si>
  <si>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</si>
  <si>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</si>
  <si>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</si>
  <si>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</si>
  <si>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</si>
  <si>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</si>
  <si>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</si>
  <si>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</si>
  <si>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</si>
  <si>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</si>
  <si>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</si>
  <si>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</si>
  <si>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</si>
  <si>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</si>
  <si>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</si>
  <si>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</si>
  <si>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</si>
  <si>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</si>
  <si>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</si>
  <si>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</si>
  <si>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</si>
  <si>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</si>
  <si>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</si>
  <si>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</si>
  <si>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</si>
  <si>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</si>
  <si>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</si>
  <si>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</si>
  <si>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</si>
  <si>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</si>
  <si>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</si>
  <si>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</si>
  <si>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</si>
  <si>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</si>
  <si>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</si>
  <si>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</si>
  <si>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</si>
  <si>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</si>
  <si>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</si>
  <si>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</si>
  <si>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</si>
  <si>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</si>
  <si>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</si>
  <si>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</si>
  <si>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</si>
  <si>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</si>
  <si>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</si>
  <si>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</si>
  <si>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</si>
  <si>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</si>
  <si>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</si>
  <si>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</si>
  <si>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</si>
  <si>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</si>
  <si>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</si>
  <si>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</si>
  <si>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</si>
  <si>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</si>
  <si>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</si>
  <si>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</si>
  <si>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</si>
  <si>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</si>
  <si>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</si>
  <si>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</si>
  <si>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</si>
  <si>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</si>
  <si>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</si>
  <si>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</si>
  <si>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</si>
  <si>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</si>
  <si>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</si>
  <si>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</si>
  <si>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</si>
  <si>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</si>
  <si>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</si>
  <si>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</si>
  <si>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</si>
  <si>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</si>
  <si>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</si>
  <si>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</si>
  <si>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</si>
  <si>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</si>
  <si>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</si>
  <si>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</si>
  <si>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</si>
  <si>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</si>
  <si>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</si>
  <si>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</si>
  <si>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</si>
  <si>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</si>
  <si>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</si>
  <si>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</si>
  <si>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</si>
  <si>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</si>
  <si>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</si>
  <si>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</si>
  <si>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</si>
  <si>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</si>
  <si>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</si>
  <si>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</si>
  <si>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</si>
  <si>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</si>
  <si>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</si>
  <si>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</si>
  <si>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</si>
  <si>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</si>
  <si>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</si>
  <si>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</si>
  <si>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</si>
  <si>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</si>
  <si>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</si>
  <si>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</si>
  <si>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</si>
  <si>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</si>
  <si>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</si>
  <si>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</si>
  <si>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</si>
  <si>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</si>
  <si>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</si>
  <si>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</si>
  <si>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</si>
  <si>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</si>
  <si>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</si>
  <si>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</si>
  <si>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</si>
  <si>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</si>
  <si>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</si>
  <si>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</si>
  <si>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</si>
  <si>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</si>
  <si>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</si>
  <si>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</si>
  <si>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</si>
  <si>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</si>
  <si>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</si>
  <si>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</si>
  <si>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</si>
  <si>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</si>
  <si>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</si>
  <si>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</si>
  <si>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</si>
  <si>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</si>
  <si>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</si>
  <si>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</si>
  <si>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</si>
  <si>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</si>
  <si>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</si>
  <si>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</si>
  <si>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</si>
  <si>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</si>
  <si>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</si>
  <si>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</si>
  <si>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</si>
  <si>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</si>
  <si>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</si>
  <si>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</si>
  <si>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</si>
  <si>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</si>
  <si>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</si>
  <si>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</si>
  <si>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</si>
  <si>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</si>
  <si>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</si>
  <si>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</si>
  <si>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</si>
  <si>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</si>
  <si>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</si>
  <si>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</si>
  <si>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</si>
  <si>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</si>
  <si>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</si>
  <si>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</si>
  <si>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</si>
  <si>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</si>
  <si>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</si>
  <si>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</si>
  <si>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</si>
  <si>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</si>
  <si>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</si>
  <si>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</si>
  <si>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</si>
  <si>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</si>
  <si>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</si>
  <si>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</si>
  <si>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</si>
  <si>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</si>
  <si>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</si>
  <si>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</si>
  <si>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</si>
  <si>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</si>
  <si>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</si>
  <si>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</si>
  <si>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</si>
  <si>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</si>
  <si>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</si>
  <si>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</si>
  <si>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</si>
  <si>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</si>
  <si>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</si>
  <si>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</si>
  <si>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</si>
  <si>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</si>
  <si>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</si>
  <si>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</si>
  <si>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</si>
  <si>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</si>
  <si>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</si>
  <si>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</si>
  <si>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</si>
  <si>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</si>
  <si>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</si>
  <si>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</si>
  <si>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</si>
  <si>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</si>
  <si>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</si>
  <si>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</si>
  <si>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</si>
  <si>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</si>
  <si>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</si>
  <si>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</si>
  <si>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</si>
  <si>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</si>
  <si>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</si>
  <si>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</si>
  <si>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</si>
  <si>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</si>
  <si>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</si>
  <si>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</si>
  <si>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</si>
  <si>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</si>
  <si>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</si>
  <si>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</si>
  <si>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</si>
  <si>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</si>
  <si>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</si>
  <si>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</si>
  <si>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</si>
  <si>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</si>
  <si>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</si>
  <si>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</si>
  <si>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</si>
  <si>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</si>
  <si>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</si>
  <si>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</si>
  <si>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</si>
  <si>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</si>
  <si>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</si>
  <si>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</si>
  <si>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</si>
  <si>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</si>
  <si>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</si>
  <si>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</si>
  <si>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</si>
  <si>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</si>
  <si>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</si>
  <si>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</si>
  <si>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</si>
  <si>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</si>
  <si>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</si>
  <si>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</si>
  <si>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</si>
  <si>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</si>
  <si>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</si>
  <si>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</si>
  <si>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</si>
  <si>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</si>
  <si>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</si>
  <si>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</si>
  <si>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</si>
  <si>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</si>
  <si>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</si>
  <si>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</si>
  <si>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</si>
  <si>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</si>
  <si>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</si>
  <si>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</si>
  <si>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</si>
  <si>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</si>
  <si>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</si>
  <si>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</si>
  <si>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</si>
  <si>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</si>
  <si>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</si>
  <si>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</si>
  <si>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</si>
  <si>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</si>
  <si>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</si>
  <si>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</si>
  <si>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</si>
  <si>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</si>
  <si>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</si>
  <si>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</si>
  <si>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</si>
  <si>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</si>
  <si>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</si>
  <si>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</si>
  <si>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</si>
  <si>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</si>
  <si>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</si>
  <si>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</si>
  <si>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</si>
  <si>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</si>
  <si>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</si>
  <si>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</si>
  <si>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</si>
  <si>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</si>
  <si>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</si>
  <si>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</si>
  <si>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</si>
  <si>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</si>
  <si>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</si>
  <si>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</si>
  <si>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</si>
  <si>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</si>
  <si>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</si>
  <si>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</si>
  <si>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</si>
  <si>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</si>
  <si>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</si>
  <si>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</si>
  <si>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</si>
  <si>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</si>
  <si>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</si>
  <si>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</si>
  <si>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</si>
  <si>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</si>
  <si>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</si>
  <si>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</si>
  <si>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</si>
  <si>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</si>
  <si>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</si>
  <si>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</si>
  <si>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</si>
  <si>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</si>
  <si>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</si>
  <si>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</si>
  <si>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</si>
  <si>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</si>
  <si>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</si>
  <si>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</si>
  <si>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</si>
  <si>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</si>
  <si>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</si>
  <si>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</si>
  <si>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</si>
  <si>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</si>
  <si>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</si>
  <si>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</si>
  <si>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</si>
  <si>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</si>
  <si>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</si>
  <si>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</si>
  <si>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</si>
  <si>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</si>
  <si>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</si>
  <si>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</si>
  <si>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</si>
  <si>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</si>
  <si>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</si>
  <si>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</si>
  <si>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</si>
  <si>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</si>
  <si>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</si>
  <si>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</si>
  <si>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</si>
  <si>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</si>
  <si>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</si>
  <si>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</si>
  <si>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</si>
  <si>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</si>
  <si>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</si>
  <si>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</si>
  <si>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</si>
  <si>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</si>
  <si>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</si>
  <si>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</si>
  <si>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</si>
  <si>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</si>
  <si>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</si>
  <si>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73083</t>
  </si>
  <si>
    <t>TONGEREN</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</si>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</sst>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73083</v>
      </c>
      <c r="B6" s="394"/>
      <c r="C6" s="395"/>
    </row>
    <row r="7" spans="1:7" s="392" customFormat="1" ht="15.75" customHeight="1">
      <c r="A7" s="396" t="str">
        <f>txtMunicipality</f>
        <v>TONGEREN</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0.20960744700112591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0.20960744700112591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12891</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5664</v>
      </c>
      <c r="C14" s="331"/>
      <c r="D14" s="331"/>
      <c r="E14" s="331"/>
      <c r="F14" s="331"/>
    </row>
    <row r="15" spans="1:6">
      <c r="A15" s="1290" t="s">
        <v>183</v>
      </c>
      <c r="B15" s="1291">
        <v>15</v>
      </c>
      <c r="C15" s="331"/>
      <c r="D15" s="331"/>
      <c r="E15" s="331"/>
      <c r="F15" s="331"/>
    </row>
    <row r="16" spans="1:6">
      <c r="A16" s="1290" t="s">
        <v>6</v>
      </c>
      <c r="B16" s="1291">
        <v>490</v>
      </c>
      <c r="C16" s="331"/>
      <c r="D16" s="331"/>
      <c r="E16" s="331"/>
      <c r="F16" s="331"/>
    </row>
    <row r="17" spans="1:6">
      <c r="A17" s="1290" t="s">
        <v>7</v>
      </c>
      <c r="B17" s="1291">
        <v>1227</v>
      </c>
      <c r="C17" s="331"/>
      <c r="D17" s="331"/>
      <c r="E17" s="331"/>
      <c r="F17" s="331"/>
    </row>
    <row r="18" spans="1:6">
      <c r="A18" s="1290" t="s">
        <v>8</v>
      </c>
      <c r="B18" s="1291">
        <v>1264</v>
      </c>
      <c r="C18" s="331"/>
      <c r="D18" s="331"/>
      <c r="E18" s="331"/>
      <c r="F18" s="331"/>
    </row>
    <row r="19" spans="1:6">
      <c r="A19" s="1290" t="s">
        <v>9</v>
      </c>
      <c r="B19" s="1291">
        <v>1005</v>
      </c>
      <c r="C19" s="331"/>
      <c r="D19" s="331"/>
      <c r="E19" s="331"/>
      <c r="F19" s="331"/>
    </row>
    <row r="20" spans="1:6">
      <c r="A20" s="1290" t="s">
        <v>10</v>
      </c>
      <c r="B20" s="1291">
        <v>765</v>
      </c>
      <c r="C20" s="331"/>
      <c r="D20" s="331"/>
      <c r="E20" s="331"/>
      <c r="F20" s="331"/>
    </row>
    <row r="21" spans="1:6">
      <c r="A21" s="1290" t="s">
        <v>11</v>
      </c>
      <c r="B21" s="1291">
        <v>4570</v>
      </c>
      <c r="C21" s="331"/>
      <c r="D21" s="331"/>
      <c r="E21" s="331"/>
      <c r="F21" s="331"/>
    </row>
    <row r="22" spans="1:6">
      <c r="A22" s="1290" t="s">
        <v>12</v>
      </c>
      <c r="B22" s="1291">
        <v>13852</v>
      </c>
      <c r="C22" s="331"/>
      <c r="D22" s="331"/>
      <c r="E22" s="331"/>
      <c r="F22" s="331"/>
    </row>
    <row r="23" spans="1:6">
      <c r="A23" s="1290" t="s">
        <v>13</v>
      </c>
      <c r="B23" s="1291">
        <v>337</v>
      </c>
      <c r="C23" s="331"/>
      <c r="D23" s="331"/>
      <c r="E23" s="331"/>
      <c r="F23" s="331"/>
    </row>
    <row r="24" spans="1:6">
      <c r="A24" s="1290" t="s">
        <v>14</v>
      </c>
      <c r="B24" s="1291">
        <v>13</v>
      </c>
      <c r="C24" s="331"/>
      <c r="D24" s="331"/>
      <c r="E24" s="331"/>
      <c r="F24" s="331"/>
    </row>
    <row r="25" spans="1:6">
      <c r="A25" s="1290" t="s">
        <v>15</v>
      </c>
      <c r="B25" s="1291">
        <v>1443</v>
      </c>
      <c r="C25" s="331"/>
      <c r="D25" s="331"/>
      <c r="E25" s="331"/>
      <c r="F25" s="331"/>
    </row>
    <row r="26" spans="1:6">
      <c r="A26" s="1290" t="s">
        <v>16</v>
      </c>
      <c r="B26" s="1291">
        <v>186</v>
      </c>
      <c r="C26" s="331"/>
      <c r="D26" s="331"/>
      <c r="E26" s="331"/>
      <c r="F26" s="331"/>
    </row>
    <row r="27" spans="1:6">
      <c r="A27" s="1290" t="s">
        <v>17</v>
      </c>
      <c r="B27" s="1291">
        <v>3</v>
      </c>
      <c r="C27" s="331"/>
      <c r="D27" s="331"/>
      <c r="E27" s="331"/>
      <c r="F27" s="331"/>
    </row>
    <row r="28" spans="1:6" s="43" customFormat="1">
      <c r="A28" s="1292" t="s">
        <v>18</v>
      </c>
      <c r="B28" s="1293">
        <v>86031</v>
      </c>
      <c r="C28" s="337"/>
      <c r="D28" s="337"/>
      <c r="E28" s="337"/>
      <c r="F28" s="337"/>
    </row>
    <row r="29" spans="1:6">
      <c r="A29" s="1292" t="s">
        <v>966</v>
      </c>
      <c r="B29" s="1293">
        <v>59</v>
      </c>
      <c r="C29" s="337"/>
      <c r="D29" s="337"/>
      <c r="E29" s="337"/>
      <c r="F29" s="337"/>
    </row>
    <row r="30" spans="1:6">
      <c r="A30" s="1285" t="s">
        <v>967</v>
      </c>
      <c r="B30" s="1294">
        <v>13</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3</v>
      </c>
      <c r="D36" s="1291">
        <v>1224035</v>
      </c>
      <c r="E36" s="1291">
        <v>8</v>
      </c>
      <c r="F36" s="1291">
        <v>319938</v>
      </c>
    </row>
    <row r="37" spans="1:6">
      <c r="A37" s="1290" t="s">
        <v>24</v>
      </c>
      <c r="B37" s="1290" t="s">
        <v>27</v>
      </c>
      <c r="C37" s="1291">
        <v>0</v>
      </c>
      <c r="D37" s="1291">
        <v>0</v>
      </c>
      <c r="E37" s="1291">
        <v>0</v>
      </c>
      <c r="F37" s="1291">
        <v>0</v>
      </c>
    </row>
    <row r="38" spans="1:6">
      <c r="A38" s="1290" t="s">
        <v>24</v>
      </c>
      <c r="B38" s="1290" t="s">
        <v>28</v>
      </c>
      <c r="C38" s="1291">
        <v>1</v>
      </c>
      <c r="D38" s="1291">
        <v>14600</v>
      </c>
      <c r="E38" s="1291">
        <v>1</v>
      </c>
      <c r="F38" s="1291">
        <v>1718</v>
      </c>
    </row>
    <row r="39" spans="1:6">
      <c r="A39" s="1290" t="s">
        <v>29</v>
      </c>
      <c r="B39" s="1290" t="s">
        <v>30</v>
      </c>
      <c r="C39" s="1291">
        <v>6706</v>
      </c>
      <c r="D39" s="1291">
        <v>113905287</v>
      </c>
      <c r="E39" s="1291">
        <v>13307</v>
      </c>
      <c r="F39" s="1291">
        <v>50982535</v>
      </c>
    </row>
    <row r="40" spans="1:6">
      <c r="A40" s="1290" t="s">
        <v>29</v>
      </c>
      <c r="B40" s="1290" t="s">
        <v>28</v>
      </c>
      <c r="C40" s="1291">
        <v>0</v>
      </c>
      <c r="D40" s="1291">
        <v>0</v>
      </c>
      <c r="E40" s="1291">
        <v>0</v>
      </c>
      <c r="F40" s="1291">
        <v>0</v>
      </c>
    </row>
    <row r="41" spans="1:6">
      <c r="A41" s="1290" t="s">
        <v>31</v>
      </c>
      <c r="B41" s="1290" t="s">
        <v>32</v>
      </c>
      <c r="C41" s="1291">
        <v>70</v>
      </c>
      <c r="D41" s="1291">
        <v>9037525</v>
      </c>
      <c r="E41" s="1291">
        <v>223</v>
      </c>
      <c r="F41" s="1291">
        <v>14763649</v>
      </c>
    </row>
    <row r="42" spans="1:6">
      <c r="A42" s="1290" t="s">
        <v>31</v>
      </c>
      <c r="B42" s="1290" t="s">
        <v>33</v>
      </c>
      <c r="C42" s="1291">
        <v>0</v>
      </c>
      <c r="D42" s="1291">
        <v>0</v>
      </c>
      <c r="E42" s="1291">
        <v>0</v>
      </c>
      <c r="F42" s="1291">
        <v>0</v>
      </c>
    </row>
    <row r="43" spans="1:6">
      <c r="A43" s="1290" t="s">
        <v>31</v>
      </c>
      <c r="B43" s="1290" t="s">
        <v>34</v>
      </c>
      <c r="C43" s="1291">
        <v>0</v>
      </c>
      <c r="D43" s="1291">
        <v>0</v>
      </c>
      <c r="E43" s="1291">
        <v>4</v>
      </c>
      <c r="F43" s="1291">
        <v>252354</v>
      </c>
    </row>
    <row r="44" spans="1:6">
      <c r="A44" s="1290" t="s">
        <v>31</v>
      </c>
      <c r="B44" s="1290" t="s">
        <v>35</v>
      </c>
      <c r="C44" s="1291">
        <v>15</v>
      </c>
      <c r="D44" s="1291">
        <v>4670289</v>
      </c>
      <c r="E44" s="1291">
        <v>41</v>
      </c>
      <c r="F44" s="1291">
        <v>4607538</v>
      </c>
    </row>
    <row r="45" spans="1:6">
      <c r="A45" s="1290" t="s">
        <v>31</v>
      </c>
      <c r="B45" s="1290" t="s">
        <v>36</v>
      </c>
      <c r="C45" s="1291">
        <v>0</v>
      </c>
      <c r="D45" s="1291">
        <v>0</v>
      </c>
      <c r="E45" s="1291">
        <v>3</v>
      </c>
      <c r="F45" s="1291">
        <v>300647</v>
      </c>
    </row>
    <row r="46" spans="1:6">
      <c r="A46" s="1290" t="s">
        <v>31</v>
      </c>
      <c r="B46" s="1290" t="s">
        <v>37</v>
      </c>
      <c r="C46" s="1291">
        <v>0</v>
      </c>
      <c r="D46" s="1291">
        <v>0</v>
      </c>
      <c r="E46" s="1291">
        <v>5</v>
      </c>
      <c r="F46" s="1291">
        <v>46552</v>
      </c>
    </row>
    <row r="47" spans="1:6">
      <c r="A47" s="1290" t="s">
        <v>31</v>
      </c>
      <c r="B47" s="1290" t="s">
        <v>38</v>
      </c>
      <c r="C47" s="1291">
        <v>3</v>
      </c>
      <c r="D47" s="1291">
        <v>107400</v>
      </c>
      <c r="E47" s="1291">
        <v>7</v>
      </c>
      <c r="F47" s="1291">
        <v>235371</v>
      </c>
    </row>
    <row r="48" spans="1:6">
      <c r="A48" s="1290" t="s">
        <v>31</v>
      </c>
      <c r="B48" s="1290" t="s">
        <v>28</v>
      </c>
      <c r="C48" s="1291">
        <v>4</v>
      </c>
      <c r="D48" s="1291">
        <v>343099</v>
      </c>
      <c r="E48" s="1291">
        <v>2</v>
      </c>
      <c r="F48" s="1291">
        <v>41718</v>
      </c>
    </row>
    <row r="49" spans="1:6">
      <c r="A49" s="1290" t="s">
        <v>31</v>
      </c>
      <c r="B49" s="1290" t="s">
        <v>39</v>
      </c>
      <c r="C49" s="1291">
        <v>4</v>
      </c>
      <c r="D49" s="1291">
        <v>494410</v>
      </c>
      <c r="E49" s="1291">
        <v>6</v>
      </c>
      <c r="F49" s="1291">
        <v>261044</v>
      </c>
    </row>
    <row r="50" spans="1:6">
      <c r="A50" s="1290" t="s">
        <v>31</v>
      </c>
      <c r="B50" s="1290" t="s">
        <v>40</v>
      </c>
      <c r="C50" s="1291">
        <v>13</v>
      </c>
      <c r="D50" s="1291">
        <v>358308</v>
      </c>
      <c r="E50" s="1291">
        <v>23</v>
      </c>
      <c r="F50" s="1291">
        <v>705015</v>
      </c>
    </row>
    <row r="51" spans="1:6">
      <c r="A51" s="1290" t="s">
        <v>41</v>
      </c>
      <c r="B51" s="1290" t="s">
        <v>42</v>
      </c>
      <c r="C51" s="1291">
        <v>17</v>
      </c>
      <c r="D51" s="1291">
        <v>394552</v>
      </c>
      <c r="E51" s="1291">
        <v>142</v>
      </c>
      <c r="F51" s="1291">
        <v>2562765</v>
      </c>
    </row>
    <row r="52" spans="1:6">
      <c r="A52" s="1290" t="s">
        <v>41</v>
      </c>
      <c r="B52" s="1290" t="s">
        <v>28</v>
      </c>
      <c r="C52" s="1291">
        <v>0</v>
      </c>
      <c r="D52" s="1291">
        <v>0</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112</v>
      </c>
      <c r="F54" s="1291">
        <v>2007836</v>
      </c>
    </row>
    <row r="55" spans="1:6">
      <c r="A55" s="1290" t="s">
        <v>45</v>
      </c>
      <c r="B55" s="1290" t="s">
        <v>28</v>
      </c>
      <c r="C55" s="1291">
        <v>0</v>
      </c>
      <c r="D55" s="1291">
        <v>0</v>
      </c>
      <c r="E55" s="1291">
        <v>0</v>
      </c>
      <c r="F55" s="1291">
        <v>0</v>
      </c>
    </row>
    <row r="56" spans="1:6">
      <c r="A56" s="1290" t="s">
        <v>47</v>
      </c>
      <c r="B56" s="1290" t="s">
        <v>28</v>
      </c>
      <c r="C56" s="1291">
        <v>137</v>
      </c>
      <c r="D56" s="1291">
        <v>14411882</v>
      </c>
      <c r="E56" s="1291">
        <v>418</v>
      </c>
      <c r="F56" s="1291">
        <v>5555875</v>
      </c>
    </row>
    <row r="57" spans="1:6">
      <c r="A57" s="1290" t="s">
        <v>48</v>
      </c>
      <c r="B57" s="1290" t="s">
        <v>49</v>
      </c>
      <c r="C57" s="1291">
        <v>67</v>
      </c>
      <c r="D57" s="1291">
        <v>3842668</v>
      </c>
      <c r="E57" s="1291">
        <v>175</v>
      </c>
      <c r="F57" s="1291">
        <v>4417640</v>
      </c>
    </row>
    <row r="58" spans="1:6">
      <c r="A58" s="1290" t="s">
        <v>48</v>
      </c>
      <c r="B58" s="1290" t="s">
        <v>50</v>
      </c>
      <c r="C58" s="1291">
        <v>36</v>
      </c>
      <c r="D58" s="1291">
        <v>9233755</v>
      </c>
      <c r="E58" s="1291">
        <v>86</v>
      </c>
      <c r="F58" s="1291">
        <v>6995349</v>
      </c>
    </row>
    <row r="59" spans="1:6">
      <c r="A59" s="1290" t="s">
        <v>48</v>
      </c>
      <c r="B59" s="1290" t="s">
        <v>51</v>
      </c>
      <c r="C59" s="1291">
        <v>212</v>
      </c>
      <c r="D59" s="1291">
        <v>17704705</v>
      </c>
      <c r="E59" s="1291">
        <v>455</v>
      </c>
      <c r="F59" s="1291">
        <v>21724564</v>
      </c>
    </row>
    <row r="60" spans="1:6">
      <c r="A60" s="1290" t="s">
        <v>48</v>
      </c>
      <c r="B60" s="1290" t="s">
        <v>52</v>
      </c>
      <c r="C60" s="1291">
        <v>85</v>
      </c>
      <c r="D60" s="1291">
        <v>4872297</v>
      </c>
      <c r="E60" s="1291">
        <v>142</v>
      </c>
      <c r="F60" s="1291">
        <v>4948952</v>
      </c>
    </row>
    <row r="61" spans="1:6">
      <c r="A61" s="1290" t="s">
        <v>48</v>
      </c>
      <c r="B61" s="1290" t="s">
        <v>53</v>
      </c>
      <c r="C61" s="1291">
        <v>175</v>
      </c>
      <c r="D61" s="1291">
        <v>16366064</v>
      </c>
      <c r="E61" s="1291">
        <v>426</v>
      </c>
      <c r="F61" s="1291">
        <v>11117040</v>
      </c>
    </row>
    <row r="62" spans="1:6">
      <c r="A62" s="1290" t="s">
        <v>48</v>
      </c>
      <c r="B62" s="1290" t="s">
        <v>54</v>
      </c>
      <c r="C62" s="1291">
        <v>22</v>
      </c>
      <c r="D62" s="1291">
        <v>3378578</v>
      </c>
      <c r="E62" s="1291">
        <v>30</v>
      </c>
      <c r="F62" s="1291">
        <v>1058750</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1</v>
      </c>
      <c r="D65" s="1291">
        <v>32381</v>
      </c>
      <c r="E65" s="1291">
        <v>1</v>
      </c>
      <c r="F65" s="1291">
        <v>13838</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5</v>
      </c>
      <c r="D68" s="1294">
        <v>1026996</v>
      </c>
      <c r="E68" s="1294">
        <v>16</v>
      </c>
      <c r="F68" s="1294">
        <v>497245</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161526975</v>
      </c>
      <c r="E73" s="455"/>
      <c r="F73" s="331"/>
    </row>
    <row r="74" spans="1:6">
      <c r="A74" s="1290" t="s">
        <v>63</v>
      </c>
      <c r="B74" s="1290" t="s">
        <v>773</v>
      </c>
      <c r="C74" s="1304" t="s">
        <v>774</v>
      </c>
      <c r="D74" s="1305">
        <v>12200150.978438323</v>
      </c>
      <c r="E74" s="455"/>
      <c r="F74" s="331"/>
    </row>
    <row r="75" spans="1:6">
      <c r="A75" s="1290" t="s">
        <v>64</v>
      </c>
      <c r="B75" s="1290" t="s">
        <v>771</v>
      </c>
      <c r="C75" s="1304" t="s">
        <v>775</v>
      </c>
      <c r="D75" s="1305">
        <v>37701950</v>
      </c>
      <c r="E75" s="455"/>
      <c r="F75" s="331"/>
    </row>
    <row r="76" spans="1:6">
      <c r="A76" s="1290" t="s">
        <v>64</v>
      </c>
      <c r="B76" s="1290" t="s">
        <v>773</v>
      </c>
      <c r="C76" s="1304" t="s">
        <v>776</v>
      </c>
      <c r="D76" s="1305">
        <v>1302222.9784383227</v>
      </c>
      <c r="E76" s="455"/>
      <c r="F76" s="331"/>
    </row>
    <row r="77" spans="1:6">
      <c r="A77" s="1290" t="s">
        <v>65</v>
      </c>
      <c r="B77" s="1290" t="s">
        <v>771</v>
      </c>
      <c r="C77" s="1304" t="s">
        <v>777</v>
      </c>
      <c r="D77" s="1305">
        <v>5673793</v>
      </c>
      <c r="E77" s="455"/>
      <c r="F77" s="331"/>
    </row>
    <row r="78" spans="1:6">
      <c r="A78" s="1285" t="s">
        <v>65</v>
      </c>
      <c r="B78" s="1285" t="s">
        <v>773</v>
      </c>
      <c r="C78" s="1285" t="s">
        <v>778</v>
      </c>
      <c r="D78" s="1306">
        <v>1328457</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1551856.0431233547</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1</v>
      </c>
      <c r="C89" s="331"/>
      <c r="D89" s="331"/>
      <c r="E89" s="331"/>
      <c r="F89" s="331"/>
    </row>
    <row r="90" spans="1:6">
      <c r="A90" s="1290" t="s">
        <v>560</v>
      </c>
      <c r="B90" s="1291">
        <v>0</v>
      </c>
      <c r="C90" s="331"/>
      <c r="D90" s="331"/>
      <c r="E90" s="331"/>
      <c r="F90" s="331"/>
    </row>
    <row r="91" spans="1:6">
      <c r="A91" s="1290" t="s">
        <v>67</v>
      </c>
      <c r="B91" s="1291">
        <v>2345.5919842737048</v>
      </c>
      <c r="C91" s="331"/>
      <c r="D91" s="331"/>
      <c r="E91" s="331"/>
      <c r="F91" s="331"/>
    </row>
    <row r="92" spans="1:6">
      <c r="A92" s="1285" t="s">
        <v>68</v>
      </c>
      <c r="B92" s="1286">
        <v>4609.1658388502765</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4164</v>
      </c>
      <c r="C97" s="331"/>
      <c r="D97" s="331"/>
      <c r="E97" s="331"/>
      <c r="F97" s="331"/>
    </row>
    <row r="98" spans="1:6">
      <c r="A98" s="1290" t="s">
        <v>71</v>
      </c>
      <c r="B98" s="1291">
        <v>7</v>
      </c>
      <c r="C98" s="331"/>
      <c r="D98" s="331"/>
      <c r="E98" s="331"/>
      <c r="F98" s="331"/>
    </row>
    <row r="99" spans="1:6">
      <c r="A99" s="1290" t="s">
        <v>72</v>
      </c>
      <c r="B99" s="1291">
        <v>116</v>
      </c>
      <c r="C99" s="331"/>
      <c r="D99" s="331"/>
      <c r="E99" s="331"/>
      <c r="F99" s="331"/>
    </row>
    <row r="100" spans="1:6">
      <c r="A100" s="1290" t="s">
        <v>73</v>
      </c>
      <c r="B100" s="1291">
        <v>384</v>
      </c>
      <c r="C100" s="331"/>
      <c r="D100" s="331"/>
      <c r="E100" s="331"/>
      <c r="F100" s="331"/>
    </row>
    <row r="101" spans="1:6">
      <c r="A101" s="1290" t="s">
        <v>74</v>
      </c>
      <c r="B101" s="1291">
        <v>107</v>
      </c>
      <c r="C101" s="331"/>
      <c r="D101" s="331"/>
      <c r="E101" s="331"/>
      <c r="F101" s="331"/>
    </row>
    <row r="102" spans="1:6">
      <c r="A102" s="1290" t="s">
        <v>75</v>
      </c>
      <c r="B102" s="1291">
        <v>176</v>
      </c>
      <c r="C102" s="331"/>
      <c r="D102" s="331"/>
      <c r="E102" s="331"/>
      <c r="F102" s="331"/>
    </row>
    <row r="103" spans="1:6">
      <c r="A103" s="1290" t="s">
        <v>76</v>
      </c>
      <c r="B103" s="1291">
        <v>455</v>
      </c>
      <c r="C103" s="331"/>
      <c r="D103" s="331"/>
      <c r="E103" s="331"/>
      <c r="F103" s="331"/>
    </row>
    <row r="104" spans="1:6">
      <c r="A104" s="1290" t="s">
        <v>77</v>
      </c>
      <c r="B104" s="1291">
        <v>6268</v>
      </c>
      <c r="C104" s="331"/>
      <c r="D104" s="331"/>
      <c r="E104" s="331"/>
      <c r="F104" s="331"/>
    </row>
    <row r="105" spans="1:6">
      <c r="A105" s="1285" t="s">
        <v>78</v>
      </c>
      <c r="B105" s="1294">
        <v>2</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5</v>
      </c>
      <c r="C123" s="1291">
        <v>60</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52</v>
      </c>
      <c r="C129" s="331"/>
      <c r="D129" s="331"/>
      <c r="E129" s="331"/>
      <c r="F129" s="331"/>
    </row>
    <row r="130" spans="1:6">
      <c r="A130" s="1290" t="s">
        <v>294</v>
      </c>
      <c r="B130" s="1291">
        <v>0</v>
      </c>
      <c r="C130" s="331"/>
      <c r="D130" s="331"/>
      <c r="E130" s="331"/>
      <c r="F130" s="331"/>
    </row>
    <row r="131" spans="1:6">
      <c r="A131" s="1290" t="s">
        <v>295</v>
      </c>
      <c r="B131" s="1291">
        <v>1</v>
      </c>
      <c r="C131" s="331"/>
      <c r="D131" s="331"/>
      <c r="E131" s="331"/>
      <c r="F131" s="331"/>
    </row>
    <row r="132" spans="1:6">
      <c r="A132" s="1285" t="s">
        <v>296</v>
      </c>
      <c r="B132" s="1286">
        <v>8</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134932.22099228512</v>
      </c>
      <c r="C3" s="43" t="s">
        <v>169</v>
      </c>
      <c r="D3" s="43"/>
      <c r="E3" s="156"/>
      <c r="F3" s="43"/>
      <c r="G3" s="43"/>
      <c r="H3" s="43"/>
      <c r="I3" s="43"/>
      <c r="J3" s="43"/>
      <c r="K3" s="96"/>
    </row>
    <row r="4" spans="1:11">
      <c r="A4" s="362" t="s">
        <v>170</v>
      </c>
      <c r="B4" s="49">
        <f>IF(ISERROR('SEAP template'!B78+'SEAP template'!C78),0,'SEAP template'!B78+'SEAP template'!C78)</f>
        <v>6955.7578231239813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0.20960744700112591</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2007.836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2007.836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0.20960744700112591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420.85737795695263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50982.535000000003</v>
      </c>
      <c r="C5" s="17">
        <f>IF(ISERROR('Eigen informatie GS &amp; warmtenet'!B57),0,'Eigen informatie GS &amp; warmtenet'!B57)</f>
        <v>0</v>
      </c>
      <c r="D5" s="30">
        <f>(SUM(HH_hh_gas_kWh,HH_rest_gas_kWh)/1000)*0.902</f>
        <v>102742.568874</v>
      </c>
      <c r="E5" s="17">
        <f>B46*B57</f>
        <v>25904.960948595024</v>
      </c>
      <c r="F5" s="17">
        <f>B51*B62</f>
        <v>90066.66920645714</v>
      </c>
      <c r="G5" s="18"/>
      <c r="H5" s="17"/>
      <c r="I5" s="17"/>
      <c r="J5" s="17">
        <f>B50*B61+C50*C61</f>
        <v>5795.1921819316567</v>
      </c>
      <c r="K5" s="17"/>
      <c r="L5" s="17"/>
      <c r="M5" s="17"/>
      <c r="N5" s="17">
        <f>B48*B59+C48*C59</f>
        <v>21243.569158662802</v>
      </c>
      <c r="O5" s="17">
        <f>B69*B70*B71</f>
        <v>175.09333333333336</v>
      </c>
      <c r="P5" s="17">
        <f>B77*B78*B79/1000-B77*B78*B79/1000/B80</f>
        <v>247.86666666666667</v>
      </c>
    </row>
    <row r="6" spans="1:16">
      <c r="A6" s="16" t="s">
        <v>631</v>
      </c>
      <c r="B6" s="776">
        <f>kWh_PV_kleiner_dan_10kW</f>
        <v>2345.5919842737048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53328.126984273709</v>
      </c>
      <c r="C8" s="21">
        <f>C5</f>
        <v>0</v>
      </c>
      <c r="D8" s="21">
        <f>D5</f>
        <v>102742.568874</v>
      </c>
      <c r="E8" s="21">
        <f>E5</f>
        <v>25904.960948595024</v>
      </c>
      <c r="F8" s="21">
        <f>F5</f>
        <v>90066.66920645714</v>
      </c>
      <c r="G8" s="21"/>
      <c r="H8" s="21"/>
      <c r="I8" s="21"/>
      <c r="J8" s="21">
        <f>J5</f>
        <v>5795.1921819316567</v>
      </c>
      <c r="K8" s="21"/>
      <c r="L8" s="21">
        <f>L5</f>
        <v>0</v>
      </c>
      <c r="M8" s="21">
        <f>M5</f>
        <v>0</v>
      </c>
      <c r="N8" s="21">
        <f>N5</f>
        <v>21243.569158662802</v>
      </c>
      <c r="O8" s="21">
        <f>O5</f>
        <v>175.09333333333336</v>
      </c>
      <c r="P8" s="21">
        <f>P5</f>
        <v>247.86666666666667</v>
      </c>
    </row>
    <row r="9" spans="1:16">
      <c r="B9" s="19"/>
      <c r="C9" s="19"/>
      <c r="D9" s="260"/>
      <c r="E9" s="19"/>
      <c r="F9" s="19"/>
      <c r="G9" s="19"/>
      <c r="H9" s="19"/>
      <c r="I9" s="19"/>
      <c r="J9" s="19"/>
      <c r="K9" s="19"/>
      <c r="L9" s="19"/>
      <c r="M9" s="19"/>
      <c r="N9" s="19"/>
      <c r="O9" s="19"/>
      <c r="P9" s="19"/>
    </row>
    <row r="10" spans="1:16">
      <c r="A10" s="24" t="s">
        <v>213</v>
      </c>
      <c r="B10" s="25">
        <f ca="1">'EF ele_warmte'!B12</f>
        <v>0.20960744700112591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11177.972550525465</v>
      </c>
      <c r="C12" s="23">
        <f ca="1">C10*C8</f>
        <v>0</v>
      </c>
      <c r="D12" s="23">
        <f>D8*D10</f>
        <v>20753.998912548002</v>
      </c>
      <c r="E12" s="23">
        <f>E10*E8</f>
        <v>5880.4261353310703</v>
      </c>
      <c r="F12" s="23">
        <f>F10*F8</f>
        <v>24047.800678124058</v>
      </c>
      <c r="G12" s="23"/>
      <c r="H12" s="23"/>
      <c r="I12" s="23"/>
      <c r="J12" s="23">
        <f>J10*J8</f>
        <v>2051.4980324038065</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4164</v>
      </c>
      <c r="C18" s="167" t="s">
        <v>110</v>
      </c>
      <c r="D18" s="229"/>
      <c r="E18" s="15"/>
    </row>
    <row r="19" spans="1:7">
      <c r="A19" s="172" t="s">
        <v>71</v>
      </c>
      <c r="B19" s="37">
        <f>aantalw2001_ander</f>
        <v>7</v>
      </c>
      <c r="C19" s="167" t="s">
        <v>110</v>
      </c>
      <c r="D19" s="230"/>
      <c r="E19" s="15"/>
    </row>
    <row r="20" spans="1:7">
      <c r="A20" s="172" t="s">
        <v>72</v>
      </c>
      <c r="B20" s="37">
        <f>aantalw2001_propaan</f>
        <v>116</v>
      </c>
      <c r="C20" s="168">
        <f>IF(ISERROR(B20/SUM($B$20,$B$21,$B$22)*100),0,B20/SUM($B$20,$B$21,$B$22)*100)</f>
        <v>19.110378912685338</v>
      </c>
      <c r="D20" s="230"/>
      <c r="E20" s="15"/>
    </row>
    <row r="21" spans="1:7">
      <c r="A21" s="172" t="s">
        <v>73</v>
      </c>
      <c r="B21" s="37">
        <f>aantalw2001_elektriciteit</f>
        <v>384</v>
      </c>
      <c r="C21" s="168">
        <f>IF(ISERROR(B21/SUM($B$20,$B$21,$B$22)*100),0,B21/SUM($B$20,$B$21,$B$22)*100)</f>
        <v>63.261943986820427</v>
      </c>
      <c r="D21" s="230"/>
      <c r="E21" s="15"/>
    </row>
    <row r="22" spans="1:7">
      <c r="A22" s="172" t="s">
        <v>74</v>
      </c>
      <c r="B22" s="37">
        <f>aantalw2001_hout</f>
        <v>107</v>
      </c>
      <c r="C22" s="168">
        <f>IF(ISERROR(B22/SUM($B$20,$B$21,$B$22)*100),0,B22/SUM($B$20,$B$21,$B$22)*100)</f>
        <v>17.627677100494235</v>
      </c>
      <c r="D22" s="230"/>
      <c r="E22" s="15"/>
    </row>
    <row r="23" spans="1:7">
      <c r="A23" s="172" t="s">
        <v>75</v>
      </c>
      <c r="B23" s="37">
        <f>aantalw2001_niet_gespec</f>
        <v>176</v>
      </c>
      <c r="C23" s="167" t="s">
        <v>110</v>
      </c>
      <c r="D23" s="229"/>
      <c r="E23" s="15"/>
    </row>
    <row r="24" spans="1:7">
      <c r="A24" s="172" t="s">
        <v>76</v>
      </c>
      <c r="B24" s="37">
        <f>aantalw2001_steenkool</f>
        <v>455</v>
      </c>
      <c r="C24" s="167" t="s">
        <v>110</v>
      </c>
      <c r="D24" s="230"/>
      <c r="E24" s="15"/>
    </row>
    <row r="25" spans="1:7">
      <c r="A25" s="172" t="s">
        <v>77</v>
      </c>
      <c r="B25" s="37">
        <f>aantalw2001_stookolie</f>
        <v>6268</v>
      </c>
      <c r="C25" s="167" t="s">
        <v>110</v>
      </c>
      <c r="D25" s="229"/>
      <c r="E25" s="52"/>
    </row>
    <row r="26" spans="1:7">
      <c r="A26" s="172" t="s">
        <v>78</v>
      </c>
      <c r="B26" s="37">
        <f>aantalw2001_WP</f>
        <v>2</v>
      </c>
      <c r="C26" s="167" t="s">
        <v>110</v>
      </c>
      <c r="D26" s="229"/>
      <c r="E26" s="15"/>
    </row>
    <row r="27" spans="1:7" s="15" customFormat="1">
      <c r="A27" s="172"/>
      <c r="B27" s="29"/>
      <c r="C27" s="36"/>
      <c r="D27" s="229"/>
    </row>
    <row r="28" spans="1:7" s="15" customFormat="1">
      <c r="A28" s="231" t="s">
        <v>711</v>
      </c>
      <c r="B28" s="37">
        <f>aantalHuishoudens</f>
        <v>12891</v>
      </c>
      <c r="C28" s="36"/>
      <c r="D28" s="229"/>
    </row>
    <row r="29" spans="1:7" s="15" customFormat="1">
      <c r="A29" s="231" t="s">
        <v>712</v>
      </c>
      <c r="B29" s="37">
        <f>SUM(HH_hh_gas_aantal,HH_rest_gas_aantal)</f>
        <v>6706</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6706</v>
      </c>
      <c r="C32" s="168">
        <f>IF(ISERROR(B32/SUM($B$32,$B$34,$B$35,$B$36,$B$38,$B$39)*100),0,B32/SUM($B$32,$B$34,$B$35,$B$36,$B$38,$B$39)*100)</f>
        <v>52.07330330796708</v>
      </c>
      <c r="D32" s="234"/>
      <c r="G32" s="15"/>
    </row>
    <row r="33" spans="1:7">
      <c r="A33" s="172" t="s">
        <v>71</v>
      </c>
      <c r="B33" s="34" t="s">
        <v>110</v>
      </c>
      <c r="C33" s="168"/>
      <c r="D33" s="234"/>
      <c r="G33" s="15"/>
    </row>
    <row r="34" spans="1:7">
      <c r="A34" s="172" t="s">
        <v>72</v>
      </c>
      <c r="B34" s="33">
        <f>IF((($B$28-$B$32-$B$39-$B$77-$B$38)*C20/100)&lt;0,0,($B$28-$B$32-$B$39-$B$77-$B$38)*C20/100)</f>
        <v>380.48764415156512</v>
      </c>
      <c r="C34" s="168">
        <f>IF(ISERROR(B34/SUM($B$32,$B$34,$B$35,$B$36,$B$38,$B$39)*100),0,B34/SUM($B$32,$B$34,$B$35,$B$36,$B$38,$B$39)*100)</f>
        <v>2.9545553979776762</v>
      </c>
      <c r="D34" s="234"/>
      <c r="G34" s="15"/>
    </row>
    <row r="35" spans="1:7">
      <c r="A35" s="172" t="s">
        <v>73</v>
      </c>
      <c r="B35" s="33">
        <f>IF((($B$28-$B$32-$B$39-$B$77-$B$38)*C21/100)&lt;0,0,($B$28-$B$32-$B$39-$B$77-$B$38)*C21/100)</f>
        <v>1259.5453047775948</v>
      </c>
      <c r="C35" s="168">
        <f>IF(ISERROR(B35/SUM($B$32,$B$34,$B$35,$B$36,$B$38,$B$39)*100),0,B35/SUM($B$32,$B$34,$B$35,$B$36,$B$38,$B$39)*100)</f>
        <v>9.7805971795123057</v>
      </c>
      <c r="D35" s="234"/>
      <c r="G35" s="15"/>
    </row>
    <row r="36" spans="1:7">
      <c r="A36" s="172" t="s">
        <v>74</v>
      </c>
      <c r="B36" s="33">
        <f>IF((($B$28-$B$32-$B$39-$B$77-$B$38)*C22/100)&lt;0,0,($B$28-$B$32-$B$39-$B$77-$B$38)*C22/100)</f>
        <v>350.96705107084023</v>
      </c>
      <c r="C36" s="168">
        <f>IF(ISERROR(B36/SUM($B$32,$B$34,$B$35,$B$36,$B$38,$B$39)*100),0,B36/SUM($B$32,$B$34,$B$35,$B$36,$B$38,$B$39)*100)</f>
        <v>2.7253226515828564</v>
      </c>
      <c r="D36" s="234"/>
      <c r="G36" s="15"/>
    </row>
    <row r="37" spans="1:7">
      <c r="A37" s="172" t="s">
        <v>75</v>
      </c>
      <c r="B37" s="34" t="s">
        <v>110</v>
      </c>
      <c r="C37" s="168"/>
      <c r="D37" s="174"/>
      <c r="G37" s="15"/>
    </row>
    <row r="38" spans="1:7">
      <c r="A38" s="172" t="s">
        <v>76</v>
      </c>
      <c r="B38" s="33">
        <f>IF((B24-(B29-B18)*0.1)&lt;0,0,B24-(B29-B18)*0.1)</f>
        <v>200.79999999999998</v>
      </c>
      <c r="C38" s="168">
        <f>IF(ISERROR(B38/SUM($B$32,$B$34,$B$35,$B$36,$B$38,$B$39)*100),0,B38/SUM($B$32,$B$34,$B$35,$B$36,$B$38,$B$39)*100)</f>
        <v>1.5592483304861002</v>
      </c>
      <c r="D38" s="235"/>
      <c r="G38" s="15"/>
    </row>
    <row r="39" spans="1:7">
      <c r="A39" s="172" t="s">
        <v>77</v>
      </c>
      <c r="B39" s="33">
        <f>IF((B25-(B29-B18))&lt;0,0,B25-(B29-B18)*0.9)</f>
        <v>3980.2</v>
      </c>
      <c r="C39" s="168">
        <f>IF(ISERROR(B39/SUM($B$32,$B$34,$B$35,$B$36,$B$38,$B$39)*100),0,B39/SUM($B$32,$B$34,$B$35,$B$36,$B$38,$B$39)*100)</f>
        <v>30.906973132473986</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6706</v>
      </c>
      <c r="C44" s="34" t="s">
        <v>110</v>
      </c>
      <c r="D44" s="175"/>
    </row>
    <row r="45" spans="1:7">
      <c r="A45" s="172" t="s">
        <v>71</v>
      </c>
      <c r="B45" s="33" t="str">
        <f t="shared" si="0"/>
        <v>-</v>
      </c>
      <c r="C45" s="34" t="s">
        <v>110</v>
      </c>
      <c r="D45" s="175"/>
    </row>
    <row r="46" spans="1:7">
      <c r="A46" s="172" t="s">
        <v>72</v>
      </c>
      <c r="B46" s="33">
        <f t="shared" si="0"/>
        <v>380.48764415156512</v>
      </c>
      <c r="C46" s="34" t="s">
        <v>110</v>
      </c>
      <c r="D46" s="175"/>
    </row>
    <row r="47" spans="1:7">
      <c r="A47" s="172" t="s">
        <v>73</v>
      </c>
      <c r="B47" s="33">
        <f t="shared" si="0"/>
        <v>1259.5453047775948</v>
      </c>
      <c r="C47" s="34" t="s">
        <v>110</v>
      </c>
      <c r="D47" s="175"/>
    </row>
    <row r="48" spans="1:7">
      <c r="A48" s="172" t="s">
        <v>74</v>
      </c>
      <c r="B48" s="33">
        <f t="shared" si="0"/>
        <v>350.96705107084023</v>
      </c>
      <c r="C48" s="33">
        <f>B48*10</f>
        <v>3509.6705107084022</v>
      </c>
      <c r="D48" s="235"/>
    </row>
    <row r="49" spans="1:6">
      <c r="A49" s="172" t="s">
        <v>75</v>
      </c>
      <c r="B49" s="33" t="str">
        <f t="shared" si="0"/>
        <v>-</v>
      </c>
      <c r="C49" s="34" t="s">
        <v>110</v>
      </c>
      <c r="D49" s="235"/>
    </row>
    <row r="50" spans="1:6">
      <c r="A50" s="172" t="s">
        <v>76</v>
      </c>
      <c r="B50" s="33">
        <f t="shared" si="0"/>
        <v>200.79999999999998</v>
      </c>
      <c r="C50" s="33">
        <f>B50*2</f>
        <v>401.59999999999997</v>
      </c>
      <c r="D50" s="235"/>
    </row>
    <row r="51" spans="1:6">
      <c r="A51" s="172" t="s">
        <v>77</v>
      </c>
      <c r="B51" s="33">
        <f t="shared" si="0"/>
        <v>3980.2</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112</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13</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50262.294999999998</v>
      </c>
      <c r="C5" s="17">
        <f>IF(ISERROR('Eigen informatie GS &amp; warmtenet'!B58),0,'Eigen informatie GS &amp; warmtenet'!B58)</f>
        <v>0</v>
      </c>
      <c r="D5" s="30">
        <f>SUM(D6:D12)</f>
        <v>49969.056434000006</v>
      </c>
      <c r="E5" s="17">
        <f>SUM(E6:E12)</f>
        <v>810.49492125256154</v>
      </c>
      <c r="F5" s="17">
        <f>SUM(F6:F12)</f>
        <v>9557.5093933193893</v>
      </c>
      <c r="G5" s="18"/>
      <c r="H5" s="17"/>
      <c r="I5" s="17"/>
      <c r="J5" s="17">
        <f>SUM(J6:J12)</f>
        <v>0</v>
      </c>
      <c r="K5" s="17"/>
      <c r="L5" s="17"/>
      <c r="M5" s="17"/>
      <c r="N5" s="17">
        <f>SUM(N6:N12)</f>
        <v>1177.8401642654212</v>
      </c>
      <c r="O5" s="17">
        <f>B38*B39*B40</f>
        <v>0</v>
      </c>
      <c r="P5" s="17">
        <f>B46*B47*B48/1000-B46*B47*B48/1000/B49</f>
        <v>19.066666666666666</v>
      </c>
      <c r="R5" s="32"/>
    </row>
    <row r="6" spans="1:18">
      <c r="A6" s="32" t="s">
        <v>53</v>
      </c>
      <c r="B6" s="37">
        <f>B26</f>
        <v>11117.04</v>
      </c>
      <c r="C6" s="33"/>
      <c r="D6" s="37">
        <f>IF(ISERROR(TER_kantoor_gas_kWh/1000),0,TER_kantoor_gas_kWh/1000)*0.902</f>
        <v>14762.189728000001</v>
      </c>
      <c r="E6" s="33">
        <f>$C$26*'E Balans VL '!I12/100/3.6*1000000</f>
        <v>389.140131618694</v>
      </c>
      <c r="F6" s="33">
        <f>$C$26*('E Balans VL '!L12+'E Balans VL '!N12)/100/3.6*1000000</f>
        <v>1685.5819445099455</v>
      </c>
      <c r="G6" s="34"/>
      <c r="H6" s="33"/>
      <c r="I6" s="33"/>
      <c r="J6" s="33">
        <f>$C$26*('E Balans VL '!D12+'E Balans VL '!E12)/100/3.6*1000000</f>
        <v>0</v>
      </c>
      <c r="K6" s="33"/>
      <c r="L6" s="33"/>
      <c r="M6" s="33"/>
      <c r="N6" s="33">
        <f>$C$26*'E Balans VL '!Y12/100/3.6*1000000</f>
        <v>85.931239662241197</v>
      </c>
      <c r="O6" s="33"/>
      <c r="P6" s="33"/>
      <c r="R6" s="32"/>
    </row>
    <row r="7" spans="1:18">
      <c r="A7" s="32" t="s">
        <v>52</v>
      </c>
      <c r="B7" s="37">
        <f t="shared" ref="B7:B12" si="0">B27</f>
        <v>4948.9520000000002</v>
      </c>
      <c r="C7" s="33"/>
      <c r="D7" s="37">
        <f>IF(ISERROR(TER_horeca_gas_kWh/1000),0,TER_horeca_gas_kWh/1000)*0.902</f>
        <v>4394.8118939999995</v>
      </c>
      <c r="E7" s="33">
        <f>$C$27*'E Balans VL '!I9/100/3.6*1000000</f>
        <v>279.18669783535842</v>
      </c>
      <c r="F7" s="33">
        <f>$C$27*('E Balans VL '!L9+'E Balans VL '!N9)/100/3.6*1000000</f>
        <v>862.13482625201141</v>
      </c>
      <c r="G7" s="34"/>
      <c r="H7" s="33"/>
      <c r="I7" s="33"/>
      <c r="J7" s="33">
        <f>$C$27*('E Balans VL '!D9+'E Balans VL '!E9)/100/3.6*1000000</f>
        <v>0</v>
      </c>
      <c r="K7" s="33"/>
      <c r="L7" s="33"/>
      <c r="M7" s="33"/>
      <c r="N7" s="33">
        <f>$C$27*'E Balans VL '!Y9/100/3.6*1000000</f>
        <v>0</v>
      </c>
      <c r="O7" s="33"/>
      <c r="P7" s="33"/>
      <c r="R7" s="32"/>
    </row>
    <row r="8" spans="1:18">
      <c r="A8" s="6" t="s">
        <v>51</v>
      </c>
      <c r="B8" s="37">
        <f t="shared" si="0"/>
        <v>21724.563999999998</v>
      </c>
      <c r="C8" s="33"/>
      <c r="D8" s="37">
        <f>IF(ISERROR(TER_handel_gas_kWh/1000),0,TER_handel_gas_kWh/1000)*0.902</f>
        <v>15969.643910000003</v>
      </c>
      <c r="E8" s="33">
        <f>$C$28*'E Balans VL '!I13/100/3.6*1000000</f>
        <v>111.53170439230919</v>
      </c>
      <c r="F8" s="33">
        <f>$C$28*('E Balans VL '!L13+'E Balans VL '!N13)/100/3.6*1000000</f>
        <v>3349.5920898272489</v>
      </c>
      <c r="G8" s="34"/>
      <c r="H8" s="33"/>
      <c r="I8" s="33"/>
      <c r="J8" s="33">
        <f>$C$28*('E Balans VL '!D13+'E Balans VL '!E13)/100/3.6*1000000</f>
        <v>0</v>
      </c>
      <c r="K8" s="33"/>
      <c r="L8" s="33"/>
      <c r="M8" s="33"/>
      <c r="N8" s="33">
        <f>$C$28*'E Balans VL '!Y13/100/3.6*1000000</f>
        <v>10.160843766798379</v>
      </c>
      <c r="O8" s="33"/>
      <c r="P8" s="33"/>
      <c r="R8" s="32"/>
    </row>
    <row r="9" spans="1:18">
      <c r="A9" s="32" t="s">
        <v>50</v>
      </c>
      <c r="B9" s="37">
        <f t="shared" si="0"/>
        <v>6995.3490000000002</v>
      </c>
      <c r="C9" s="33"/>
      <c r="D9" s="37">
        <f>IF(ISERROR(TER_gezond_gas_kWh/1000),0,TER_gezond_gas_kWh/1000)*0.902</f>
        <v>8328.8470099999995</v>
      </c>
      <c r="E9" s="33">
        <f>$C$29*'E Balans VL '!I10/100/3.6*1000000</f>
        <v>2.899522341409928</v>
      </c>
      <c r="F9" s="33">
        <f>$C$29*('E Balans VL '!L10+'E Balans VL '!N10)/100/3.6*1000000</f>
        <v>1722.8541320125098</v>
      </c>
      <c r="G9" s="34"/>
      <c r="H9" s="33"/>
      <c r="I9" s="33"/>
      <c r="J9" s="33">
        <f>$C$29*('E Balans VL '!D10+'E Balans VL '!E10)/100/3.6*1000000</f>
        <v>0</v>
      </c>
      <c r="K9" s="33"/>
      <c r="L9" s="33"/>
      <c r="M9" s="33"/>
      <c r="N9" s="33">
        <f>$C$29*'E Balans VL '!Y10/100/3.6*1000000</f>
        <v>60.457129724018003</v>
      </c>
      <c r="O9" s="33"/>
      <c r="P9" s="33"/>
      <c r="R9" s="32"/>
    </row>
    <row r="10" spans="1:18">
      <c r="A10" s="32" t="s">
        <v>49</v>
      </c>
      <c r="B10" s="37">
        <f t="shared" si="0"/>
        <v>4417.6400000000003</v>
      </c>
      <c r="C10" s="33"/>
      <c r="D10" s="37">
        <f>IF(ISERROR(TER_ander_gas_kWh/1000),0,TER_ander_gas_kWh/1000)*0.902</f>
        <v>3466.0865360000003</v>
      </c>
      <c r="E10" s="33">
        <f>$C$30*'E Balans VL '!I14/100/3.6*1000000</f>
        <v>26.930042435095178</v>
      </c>
      <c r="F10" s="33">
        <f>$C$30*('E Balans VL '!L14+'E Balans VL '!N14)/100/3.6*1000000</f>
        <v>1171.1768788035076</v>
      </c>
      <c r="G10" s="34"/>
      <c r="H10" s="33"/>
      <c r="I10" s="33"/>
      <c r="J10" s="33">
        <f>$C$30*('E Balans VL '!D14+'E Balans VL '!E14)/100/3.6*1000000</f>
        <v>0</v>
      </c>
      <c r="K10" s="33"/>
      <c r="L10" s="33"/>
      <c r="M10" s="33"/>
      <c r="N10" s="33">
        <f>$C$30*'E Balans VL '!Y14/100/3.6*1000000</f>
        <v>1018.1705618257245</v>
      </c>
      <c r="O10" s="33"/>
      <c r="P10" s="33"/>
      <c r="R10" s="32"/>
    </row>
    <row r="11" spans="1:18">
      <c r="A11" s="32" t="s">
        <v>54</v>
      </c>
      <c r="B11" s="37">
        <f t="shared" si="0"/>
        <v>1058.75</v>
      </c>
      <c r="C11" s="33"/>
      <c r="D11" s="37">
        <f>IF(ISERROR(TER_onderwijs_gas_kWh/1000),0,TER_onderwijs_gas_kWh/1000)*0.902</f>
        <v>3047.4773559999999</v>
      </c>
      <c r="E11" s="33">
        <f>$C$31*'E Balans VL '!I11/100/3.6*1000000</f>
        <v>0.8068226296949087</v>
      </c>
      <c r="F11" s="33">
        <f>$C$31*('E Balans VL '!L11+'E Balans VL '!N11)/100/3.6*1000000</f>
        <v>766.16952191416578</v>
      </c>
      <c r="G11" s="34"/>
      <c r="H11" s="33"/>
      <c r="I11" s="33"/>
      <c r="J11" s="33">
        <f>$C$31*('E Balans VL '!D11+'E Balans VL '!E11)/100/3.6*1000000</f>
        <v>0</v>
      </c>
      <c r="K11" s="33"/>
      <c r="L11" s="33"/>
      <c r="M11" s="33"/>
      <c r="N11" s="33">
        <f>$C$31*'E Balans VL '!Y11/100/3.6*1000000</f>
        <v>3.1203892866391749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50262.294999999998</v>
      </c>
      <c r="C16" s="21">
        <f ca="1">C5+C13+C14</f>
        <v>0</v>
      </c>
      <c r="D16" s="21">
        <f t="shared" ref="D16:N16" ca="1" si="1">MAX((D5+D13+D14),0)</f>
        <v>49969.056434000006</v>
      </c>
      <c r="E16" s="21">
        <f t="shared" si="1"/>
        <v>810.49492125256154</v>
      </c>
      <c r="F16" s="21">
        <f t="shared" ca="1" si="1"/>
        <v>9557.5093933193893</v>
      </c>
      <c r="G16" s="21">
        <f t="shared" si="1"/>
        <v>0</v>
      </c>
      <c r="H16" s="21">
        <f t="shared" si="1"/>
        <v>0</v>
      </c>
      <c r="I16" s="21">
        <f t="shared" si="1"/>
        <v>0</v>
      </c>
      <c r="J16" s="21">
        <f t="shared" si="1"/>
        <v>0</v>
      </c>
      <c r="K16" s="21">
        <f t="shared" si="1"/>
        <v>0</v>
      </c>
      <c r="L16" s="21">
        <f t="shared" ca="1" si="1"/>
        <v>0</v>
      </c>
      <c r="M16" s="21">
        <f t="shared" si="1"/>
        <v>0</v>
      </c>
      <c r="N16" s="21">
        <f t="shared" ca="1" si="1"/>
        <v>1177.8401642654212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0.20960744700112591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10535.351335367455</v>
      </c>
      <c r="C20" s="23">
        <f t="shared" ref="C20:P20" ca="1" si="2">C16*C18</f>
        <v>0</v>
      </c>
      <c r="D20" s="23">
        <f t="shared" ca="1" si="2"/>
        <v>10093.749399668002</v>
      </c>
      <c r="E20" s="23">
        <f t="shared" si="2"/>
        <v>183.98234712433148</v>
      </c>
      <c r="F20" s="23">
        <f t="shared" ca="1" si="2"/>
        <v>2551.8550080162772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11117.04</v>
      </c>
      <c r="C26" s="39">
        <f>IF(ISERROR(B26*3.6/1000000/'E Balans VL '!Z12*100),0,B26*3.6/1000000/'E Balans VL '!Z12*100)</f>
        <v>0.23393967057689907</v>
      </c>
      <c r="D26" s="238" t="s">
        <v>718</v>
      </c>
      <c r="F26" s="6"/>
    </row>
    <row r="27" spans="1:18">
      <c r="A27" s="232" t="s">
        <v>52</v>
      </c>
      <c r="B27" s="33">
        <f>IF(ISERROR(TER_horeca_ele_kWh/1000),0,TER_horeca_ele_kWh/1000)</f>
        <v>4948.9520000000002</v>
      </c>
      <c r="C27" s="39">
        <f>IF(ISERROR(B27*3.6/1000000/'E Balans VL '!Z9*100),0,B27*3.6/1000000/'E Balans VL '!Z9*100)</f>
        <v>0.4190138594136622</v>
      </c>
      <c r="D27" s="238" t="s">
        <v>718</v>
      </c>
      <c r="F27" s="6"/>
    </row>
    <row r="28" spans="1:18">
      <c r="A28" s="172" t="s">
        <v>51</v>
      </c>
      <c r="B28" s="33">
        <f>IF(ISERROR(TER_handel_ele_kWh/1000),0,TER_handel_ele_kWh/1000)</f>
        <v>21724.563999999998</v>
      </c>
      <c r="C28" s="39">
        <f>IF(ISERROR(B28*3.6/1000000/'E Balans VL '!Z13*100),0,B28*3.6/1000000/'E Balans VL '!Z13*100)</f>
        <v>0.6014415502880216</v>
      </c>
      <c r="D28" s="238" t="s">
        <v>718</v>
      </c>
      <c r="F28" s="6"/>
    </row>
    <row r="29" spans="1:18">
      <c r="A29" s="232" t="s">
        <v>50</v>
      </c>
      <c r="B29" s="33">
        <f>IF(ISERROR(TER_gezond_ele_kWh/1000),0,TER_gezond_ele_kWh/1000)</f>
        <v>6995.3490000000002</v>
      </c>
      <c r="C29" s="39">
        <f>IF(ISERROR(B29*3.6/1000000/'E Balans VL '!Z10*100),0,B29*3.6/1000000/'E Balans VL '!Z10*100)</f>
        <v>0.90931781751451257</v>
      </c>
      <c r="D29" s="238" t="s">
        <v>718</v>
      </c>
      <c r="F29" s="6"/>
    </row>
    <row r="30" spans="1:18">
      <c r="A30" s="232" t="s">
        <v>49</v>
      </c>
      <c r="B30" s="33">
        <f>IF(ISERROR(TER_ander_ele_kWh/1000),0,TER_ander_ele_kWh/1000)</f>
        <v>4417.6400000000003</v>
      </c>
      <c r="C30" s="39">
        <f>IF(ISERROR(B30*3.6/1000000/'E Balans VL '!Z14*100),0,B30*3.6/1000000/'E Balans VL '!Z14*100)</f>
        <v>0.3424076128536182</v>
      </c>
      <c r="D30" s="238" t="s">
        <v>718</v>
      </c>
      <c r="F30" s="6"/>
    </row>
    <row r="31" spans="1:18">
      <c r="A31" s="232" t="s">
        <v>54</v>
      </c>
      <c r="B31" s="33">
        <f>IF(ISERROR(TER_onderwijs_ele_kWh/1000),0,TER_onderwijs_ele_kWh/1000)</f>
        <v>1058.75</v>
      </c>
      <c r="C31" s="39">
        <f>IF(ISERROR(B31*3.6/1000000/'E Balans VL '!Z11*100),0,B31*3.6/1000000/'E Balans VL '!Z11*100)</f>
        <v>0.20255691571821974</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21213.888000000003</v>
      </c>
      <c r="C5" s="17">
        <f>IF(ISERROR('Eigen informatie GS &amp; warmtenet'!B59),0,'Eigen informatie GS &amp; warmtenet'!B59)</f>
        <v>0</v>
      </c>
      <c r="D5" s="30">
        <f>SUM(D6:D15)</f>
        <v>13539.949961999999</v>
      </c>
      <c r="E5" s="17">
        <f>SUM(E6:E15)</f>
        <v>302.49187194854773</v>
      </c>
      <c r="F5" s="17">
        <f>SUM(F6:F15)</f>
        <v>12272.94647012797</v>
      </c>
      <c r="G5" s="18"/>
      <c r="H5" s="17"/>
      <c r="I5" s="17"/>
      <c r="J5" s="17">
        <f>SUM(J6:J15)</f>
        <v>110.02739596059811</v>
      </c>
      <c r="K5" s="17"/>
      <c r="L5" s="17"/>
      <c r="M5" s="17"/>
      <c r="N5" s="17">
        <f>SUM(N6:N15)</f>
        <v>1124.4090126620486</v>
      </c>
      <c r="O5" s="17">
        <f>B43*B44*B45</f>
        <v>0</v>
      </c>
      <c r="P5" s="17">
        <f>B51*B52*B53/1000-B51*B52*B53/1000/B54</f>
        <v>0</v>
      </c>
      <c r="R5" s="32"/>
    </row>
    <row r="6" spans="1:18">
      <c r="A6" s="6" t="s">
        <v>34</v>
      </c>
      <c r="B6" s="37">
        <f>IF( ISERROR(IND_ijzer_ele_kWh/1000),0,IND_ijzer_ele_kWh/1000)</f>
        <v>252.35400000000001</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46.552</v>
      </c>
      <c r="C7" s="33"/>
      <c r="D7" s="37">
        <f>IF( ISERROR(IND_nonf_gas_kWhh/1000),0,IND_nonf_gas_kWh/1000)*0.902</f>
        <v>0</v>
      </c>
      <c r="E7" s="33">
        <f>C29*'E Balans VL '!I17/100/3.6*1000000</f>
        <v>3.9221685670189244E-2</v>
      </c>
      <c r="F7" s="33">
        <f>C29*'E Balans VL '!L17/100/3.6*1000000+C29*'E Balans VL '!N17/100/3.6*1000000</f>
        <v>16.100937579985832</v>
      </c>
      <c r="G7" s="34"/>
      <c r="H7" s="33"/>
      <c r="I7" s="33"/>
      <c r="J7" s="40">
        <f>C29*'E Balans VL '!D17/100/3.6*1000000+C29*'E Balans VL '!E17/100/3.6*1000000</f>
        <v>8.7399377991754577</v>
      </c>
      <c r="K7" s="33"/>
      <c r="L7" s="33"/>
      <c r="M7" s="33"/>
      <c r="N7" s="33">
        <f>C29*'E Balans VL '!Y17/100/3.6*1000000</f>
        <v>0</v>
      </c>
      <c r="O7" s="33"/>
      <c r="P7" s="33"/>
      <c r="R7" s="32"/>
    </row>
    <row r="8" spans="1:18">
      <c r="A8" s="6" t="s">
        <v>35</v>
      </c>
      <c r="B8" s="37">
        <f t="shared" si="0"/>
        <v>4607.5379999999996</v>
      </c>
      <c r="C8" s="33"/>
      <c r="D8" s="37">
        <f>IF( ISERROR(IND_metaal_Gas_kWH/1000),0,IND_metaal_Gas_kWH/1000)*0.902</f>
        <v>4212.6006779999998</v>
      </c>
      <c r="E8" s="33">
        <f>C30*'E Balans VL '!I18/100/3.6*1000000</f>
        <v>32.376152918853869</v>
      </c>
      <c r="F8" s="33">
        <f>C30*'E Balans VL '!L18/100/3.6*1000000+C30*'E Balans VL '!N18/100/3.6*1000000</f>
        <v>505.88071564938639</v>
      </c>
      <c r="G8" s="34"/>
      <c r="H8" s="33"/>
      <c r="I8" s="33"/>
      <c r="J8" s="40">
        <f>C30*'E Balans VL '!D18/100/3.6*1000000+C30*'E Balans VL '!E18/100/3.6*1000000</f>
        <v>95.063439989496246</v>
      </c>
      <c r="K8" s="33"/>
      <c r="L8" s="33"/>
      <c r="M8" s="33"/>
      <c r="N8" s="33">
        <f>C30*'E Balans VL '!Y18/100/3.6*1000000</f>
        <v>17.269384258530827</v>
      </c>
      <c r="O8" s="33"/>
      <c r="P8" s="33"/>
      <c r="R8" s="32"/>
    </row>
    <row r="9" spans="1:18">
      <c r="A9" s="6" t="s">
        <v>32</v>
      </c>
      <c r="B9" s="37">
        <f t="shared" si="0"/>
        <v>14763.648999999999</v>
      </c>
      <c r="C9" s="33"/>
      <c r="D9" s="37">
        <f>IF( ISERROR(IND_andere_gas_kWh/1000),0,IND_andere_gas_kWh/1000)*0.902</f>
        <v>8151.8475499999995</v>
      </c>
      <c r="E9" s="33">
        <f>C31*'E Balans VL '!I19/100/3.6*1000000</f>
        <v>247.97357100248036</v>
      </c>
      <c r="F9" s="33">
        <f>C31*'E Balans VL '!L19/100/3.6*1000000+C31*'E Balans VL '!N19/100/3.6*1000000</f>
        <v>11541.379913539033</v>
      </c>
      <c r="G9" s="34"/>
      <c r="H9" s="33"/>
      <c r="I9" s="33"/>
      <c r="J9" s="40">
        <f>C31*'E Balans VL '!D19/100/3.6*1000000+C31*'E Balans VL '!E19/100/3.6*1000000</f>
        <v>1.3315508153875457</v>
      </c>
      <c r="K9" s="33"/>
      <c r="L9" s="33"/>
      <c r="M9" s="33"/>
      <c r="N9" s="33">
        <f>C31*'E Balans VL '!Y19/100/3.6*1000000</f>
        <v>1094.2232527955309</v>
      </c>
      <c r="O9" s="33"/>
      <c r="P9" s="33"/>
      <c r="R9" s="32"/>
    </row>
    <row r="10" spans="1:18">
      <c r="A10" s="6" t="s">
        <v>40</v>
      </c>
      <c r="B10" s="37">
        <f t="shared" si="0"/>
        <v>705.01499999999999</v>
      </c>
      <c r="C10" s="33"/>
      <c r="D10" s="37">
        <f>IF( ISERROR(IND_voed_gas_kWh/1000),0,IND_voed_gas_kWh/1000)*0.902</f>
        <v>323.19381600000003</v>
      </c>
      <c r="E10" s="33">
        <f>C32*'E Balans VL '!I20/100/3.6*1000000</f>
        <v>6.4322638910308365</v>
      </c>
      <c r="F10" s="33">
        <f>C32*'E Balans VL '!L20/100/3.6*1000000+C32*'E Balans VL '!N20/100/3.6*1000000</f>
        <v>113.74097107869672</v>
      </c>
      <c r="G10" s="34"/>
      <c r="H10" s="33"/>
      <c r="I10" s="33"/>
      <c r="J10" s="40">
        <f>C32*'E Balans VL '!D20/100/3.6*1000000+C32*'E Balans VL '!E20/100/3.6*1000000</f>
        <v>2.9037140002082911</v>
      </c>
      <c r="K10" s="33"/>
      <c r="L10" s="33"/>
      <c r="M10" s="33"/>
      <c r="N10" s="33">
        <f>C32*'E Balans VL '!Y20/100/3.6*1000000</f>
        <v>10.313813530070014</v>
      </c>
      <c r="O10" s="33"/>
      <c r="P10" s="33"/>
      <c r="R10" s="32"/>
    </row>
    <row r="11" spans="1:18">
      <c r="A11" s="6" t="s">
        <v>39</v>
      </c>
      <c r="B11" s="37">
        <f t="shared" si="0"/>
        <v>261.04399999999998</v>
      </c>
      <c r="C11" s="33"/>
      <c r="D11" s="37">
        <f>IF( ISERROR(IND_textiel_gas_kWh/1000),0,IND_textiel_gas_kWh/1000)*0.902</f>
        <v>445.95782000000003</v>
      </c>
      <c r="E11" s="33">
        <f>C33*'E Balans VL '!I21/100/3.6*1000000</f>
        <v>0.59539294240827645</v>
      </c>
      <c r="F11" s="33">
        <f>C33*'E Balans VL '!L21/100/3.6*1000000+C33*'E Balans VL '!N21/100/3.6*1000000</f>
        <v>5.5800576172192269</v>
      </c>
      <c r="G11" s="34"/>
      <c r="H11" s="33"/>
      <c r="I11" s="33"/>
      <c r="J11" s="40">
        <f>C33*'E Balans VL '!D21/100/3.6*1000000+C33*'E Balans VL '!E21/100/3.6*1000000</f>
        <v>0</v>
      </c>
      <c r="K11" s="33"/>
      <c r="L11" s="33"/>
      <c r="M11" s="33"/>
      <c r="N11" s="33">
        <f>C33*'E Balans VL '!Y21/100/3.6*1000000</f>
        <v>1.8518109186725176</v>
      </c>
      <c r="O11" s="33"/>
      <c r="P11" s="33"/>
      <c r="R11" s="32"/>
    </row>
    <row r="12" spans="1:18">
      <c r="A12" s="6" t="s">
        <v>36</v>
      </c>
      <c r="B12" s="37">
        <f t="shared" si="0"/>
        <v>300.64699999999999</v>
      </c>
      <c r="C12" s="33"/>
      <c r="D12" s="37">
        <f>IF( ISERROR(IND_min_gas_kWh/1000),0,IND_min_gas_kWh/1000)*0.902</f>
        <v>0</v>
      </c>
      <c r="E12" s="33">
        <f>C34*'E Balans VL '!I22/100/3.6*1000000</f>
        <v>7.4570230179230528</v>
      </c>
      <c r="F12" s="33">
        <f>C34*'E Balans VL '!L22/100/3.6*1000000+C34*'E Balans VL '!N22/100/3.6*1000000</f>
        <v>31.946622443900672</v>
      </c>
      <c r="G12" s="34"/>
      <c r="H12" s="33"/>
      <c r="I12" s="33"/>
      <c r="J12" s="40">
        <f>C34*'E Balans VL '!D22/100/3.6*1000000+C34*'E Balans VL '!E22/100/3.6*1000000</f>
        <v>1.7078513682957885</v>
      </c>
      <c r="K12" s="33"/>
      <c r="L12" s="33"/>
      <c r="M12" s="33"/>
      <c r="N12" s="33">
        <f>C34*'E Balans VL '!Y22/100/3.6*1000000</f>
        <v>0</v>
      </c>
      <c r="O12" s="33"/>
      <c r="P12" s="33"/>
      <c r="R12" s="32"/>
    </row>
    <row r="13" spans="1:18">
      <c r="A13" s="6" t="s">
        <v>38</v>
      </c>
      <c r="B13" s="37">
        <f t="shared" si="0"/>
        <v>235.37100000000001</v>
      </c>
      <c r="C13" s="33"/>
      <c r="D13" s="37">
        <f>IF( ISERROR(IND_papier_gas_kWh/1000),0,IND_papier_gas_kWh/1000)*0.902</f>
        <v>96.874800000000008</v>
      </c>
      <c r="E13" s="33">
        <f>C35*'E Balans VL '!I23/100/3.6*1000000</f>
        <v>7.2417514063978548</v>
      </c>
      <c r="F13" s="33">
        <f>C35*'E Balans VL '!L23/100/3.6*1000000+C35*'E Balans VL '!N23/100/3.6*1000000</f>
        <v>49.977489030454208</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41.718000000000004</v>
      </c>
      <c r="C15" s="33"/>
      <c r="D15" s="37">
        <f>IF( ISERROR(IND_rest_gas_kWh/1000),0,IND_rest_gas_kWh/1000)*0.902</f>
        <v>309.47529800000001</v>
      </c>
      <c r="E15" s="33">
        <f>C37*'E Balans VL '!I15/100/3.6*1000000</f>
        <v>0.37649508378324298</v>
      </c>
      <c r="F15" s="33">
        <f>C37*'E Balans VL '!L15/100/3.6*1000000+C37*'E Balans VL '!N15/100/3.6*1000000</f>
        <v>8.3397631892961606</v>
      </c>
      <c r="G15" s="34"/>
      <c r="H15" s="33"/>
      <c r="I15" s="33"/>
      <c r="J15" s="40">
        <f>C37*'E Balans VL '!D15/100/3.6*1000000+C37*'E Balans VL '!E15/100/3.6*1000000</f>
        <v>0.28090198803478433</v>
      </c>
      <c r="K15" s="33"/>
      <c r="L15" s="33"/>
      <c r="M15" s="33"/>
      <c r="N15" s="33">
        <f>C37*'E Balans VL '!Y15/100/3.6*1000000</f>
        <v>0.75075115924410218</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21213.888000000003</v>
      </c>
      <c r="C18" s="21">
        <f>C5+C16</f>
        <v>0</v>
      </c>
      <c r="D18" s="21">
        <f>MAX((D5+D16),0)</f>
        <v>13539.949961999999</v>
      </c>
      <c r="E18" s="21">
        <f>MAX((E5+E16),0)</f>
        <v>302.49187194854773</v>
      </c>
      <c r="F18" s="21">
        <f>MAX((F5+F16),0)</f>
        <v>12272.94647012797</v>
      </c>
      <c r="G18" s="21"/>
      <c r="H18" s="21"/>
      <c r="I18" s="21"/>
      <c r="J18" s="21">
        <f>MAX((J5+J16),0)</f>
        <v>110.02739596059811</v>
      </c>
      <c r="K18" s="21"/>
      <c r="L18" s="21">
        <f>MAX((L5+L16),0)</f>
        <v>0</v>
      </c>
      <c r="M18" s="21"/>
      <c r="N18" s="21">
        <f>MAX((N5+N16),0)</f>
        <v>1124.4090126620486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0.20960744700112591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4446.5889046478214</v>
      </c>
      <c r="C22" s="23">
        <f ca="1">C18*C20</f>
        <v>0</v>
      </c>
      <c r="D22" s="23">
        <f>D18*D20</f>
        <v>2735.0698923239997</v>
      </c>
      <c r="E22" s="23">
        <f>E18*E20</f>
        <v>68.665654932320336</v>
      </c>
      <c r="F22" s="23">
        <f>F18*F20</f>
        <v>3276.8767075241681</v>
      </c>
      <c r="G22" s="23"/>
      <c r="H22" s="23"/>
      <c r="I22" s="23"/>
      <c r="J22" s="23">
        <f>J18*J20</f>
        <v>38.949698170051732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46.552</v>
      </c>
      <c r="C29" s="39">
        <f>IF(ISERROR(B29*3.6/1000000/'E Balans VL '!Z17*100),0,B29*3.6/1000000/'E Balans VL '!Z17*100)</f>
        <v>1.9829925588110558E-2</v>
      </c>
      <c r="D29" s="238" t="s">
        <v>718</v>
      </c>
    </row>
    <row r="30" spans="1:18">
      <c r="A30" s="172" t="s">
        <v>35</v>
      </c>
      <c r="B30" s="37">
        <f>IF( ISERROR(IND_metaal_ele_kWh/1000),0,IND_metaal_ele_kWh/1000)</f>
        <v>4607.5379999999996</v>
      </c>
      <c r="C30" s="39">
        <f>IF(ISERROR(B30*3.6/1000000/'E Balans VL '!Z18*100),0,B30*3.6/1000000/'E Balans VL '!Z18*100)</f>
        <v>0.30672661825847736</v>
      </c>
      <c r="D30" s="238" t="s">
        <v>718</v>
      </c>
    </row>
    <row r="31" spans="1:18">
      <c r="A31" s="6" t="s">
        <v>32</v>
      </c>
      <c r="B31" s="37">
        <f>IF( ISERROR(IND_ander_ele_kWh/1000),0,IND_ander_ele_kWh/1000)</f>
        <v>14763.648999999999</v>
      </c>
      <c r="C31" s="39">
        <f>IF(ISERROR(B31*3.6/1000000/'E Balans VL '!Z19*100),0,B31*3.6/1000000/'E Balans VL '!Z19*100)</f>
        <v>0.65441405261367447</v>
      </c>
      <c r="D31" s="238" t="s">
        <v>718</v>
      </c>
    </row>
    <row r="32" spans="1:18">
      <c r="A32" s="172" t="s">
        <v>40</v>
      </c>
      <c r="B32" s="37">
        <f>IF( ISERROR(IND_voed_ele_kWh/1000),0,IND_voed_ele_kWh/1000)</f>
        <v>705.01499999999999</v>
      </c>
      <c r="C32" s="39">
        <f>IF(ISERROR(B32*3.6/1000000/'E Balans VL '!Z20*100),0,B32*3.6/1000000/'E Balans VL '!Z20*100)</f>
        <v>2.3549523426281888E-2</v>
      </c>
      <c r="D32" s="238" t="s">
        <v>718</v>
      </c>
    </row>
    <row r="33" spans="1:5">
      <c r="A33" s="172" t="s">
        <v>39</v>
      </c>
      <c r="B33" s="37">
        <f>IF( ISERROR(IND_textiel_ele_kWh/1000),0,IND_textiel_ele_kWh/1000)</f>
        <v>261.04399999999998</v>
      </c>
      <c r="C33" s="39">
        <f>IF(ISERROR(B33*3.6/1000000/'E Balans VL '!Z21*100),0,B33*3.6/1000000/'E Balans VL '!Z21*100)</f>
        <v>3.4367044577900116E-2</v>
      </c>
      <c r="D33" s="238" t="s">
        <v>718</v>
      </c>
    </row>
    <row r="34" spans="1:5">
      <c r="A34" s="172" t="s">
        <v>36</v>
      </c>
      <c r="B34" s="37">
        <f>IF( ISERROR(IND_min_ele_kWh/1000),0,IND_min_ele_kWh/1000)</f>
        <v>300.64699999999999</v>
      </c>
      <c r="C34" s="39">
        <f>IF(ISERROR(B34*3.6/1000000/'E Balans VL '!Z22*100),0,B34*3.6/1000000/'E Balans VL '!Z22*100)</f>
        <v>5.8472539080425878E-2</v>
      </c>
      <c r="D34" s="238" t="s">
        <v>718</v>
      </c>
    </row>
    <row r="35" spans="1:5">
      <c r="A35" s="172" t="s">
        <v>38</v>
      </c>
      <c r="B35" s="37">
        <f>IF( ISERROR(IND_papier_ele_kWh/1000),0,IND_papier_ele_kWh/1000)</f>
        <v>235.37100000000001</v>
      </c>
      <c r="C35" s="39">
        <f>IF(ISERROR(B35*3.6/1000000/'E Balans VL '!Z22*100),0,B35*3.6/1000000/'E Balans VL '!Z22*100)</f>
        <v>4.5777074096528224E-2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41.718000000000004</v>
      </c>
      <c r="C37" s="39">
        <f>IF(ISERROR(B37*3.6/1000000/'E Balans VL '!Z15*100),0,B37*3.6/1000000/'E Balans VL '!Z15*100)</f>
        <v>3.1031395556437355E-4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2562.7649999999999</v>
      </c>
      <c r="C5" s="17">
        <f>'Eigen informatie GS &amp; warmtenet'!B60</f>
        <v>0</v>
      </c>
      <c r="D5" s="30">
        <f>IF(ISERROR(SUM(LB_lb_gas_kWh,LB_rest_gas_kWh)/1000),0,SUM(LB_lb_gas_kWh,LB_rest_gas_kWh)/1000)*0.902</f>
        <v>355.88590400000004</v>
      </c>
      <c r="E5" s="17">
        <f>B17*'E Balans VL '!I25/3.6*1000000/100</f>
        <v>26.837829895997235</v>
      </c>
      <c r="F5" s="17">
        <f>B17*('E Balans VL '!L25/3.6*1000000+'E Balans VL '!N25/3.6*1000000)/100</f>
        <v>10970.581487836364</v>
      </c>
      <c r="G5" s="18"/>
      <c r="H5" s="17"/>
      <c r="I5" s="17"/>
      <c r="J5" s="17">
        <f>('E Balans VL '!D25+'E Balans VL '!E25)/3.6*1000000*landbouw!B17/100</f>
        <v>228.87788495456311</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2562.7649999999999</v>
      </c>
      <c r="C8" s="21">
        <f>C5+C6</f>
        <v>0</v>
      </c>
      <c r="D8" s="21">
        <f>MAX((D5+D6),0)</f>
        <v>355.88590400000004</v>
      </c>
      <c r="E8" s="21">
        <f>MAX((E5+E6),0)</f>
        <v>26.837829895997235</v>
      </c>
      <c r="F8" s="21">
        <f>MAX((F5+F6),0)</f>
        <v>10970.581487836364</v>
      </c>
      <c r="G8" s="21"/>
      <c r="H8" s="21"/>
      <c r="I8" s="21"/>
      <c r="J8" s="21">
        <f>MAX((J5+J6),0)</f>
        <v>228.87788495456311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0.20960744700112591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537.17462891384037</v>
      </c>
      <c r="C12" s="23">
        <f ca="1">C8*C10</f>
        <v>0</v>
      </c>
      <c r="D12" s="23">
        <f>D8*D10</f>
        <v>71.888952608000011</v>
      </c>
      <c r="E12" s="23">
        <f>E8*E10</f>
        <v>6.0921873863913723</v>
      </c>
      <c r="F12" s="23">
        <f>F8*F10</f>
        <v>2929.1452572523094</v>
      </c>
      <c r="G12" s="23"/>
      <c r="H12" s="23"/>
      <c r="I12" s="23"/>
      <c r="J12" s="23">
        <f>J8*J10</f>
        <v>81.022771273915339</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0.3944590040065723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340.79108029782128</v>
      </c>
      <c r="C26" s="248">
        <f>B26*'GWP N2O_CH4'!B5</f>
        <v>7156.6126862542469</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131.73778975233145</v>
      </c>
      <c r="C27" s="248">
        <f>B27*'GWP N2O_CH4'!B5</f>
        <v>2766.4935847989605</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5.1203511004745916</v>
      </c>
      <c r="C28" s="248">
        <f>B28*'GWP N2O_CH4'!B4</f>
        <v>1587.3088411471233</v>
      </c>
      <c r="D28" s="50"/>
    </row>
    <row r="29" spans="1:4">
      <c r="A29" s="41" t="s">
        <v>276</v>
      </c>
      <c r="B29" s="248">
        <f>B34*'ha_N2O bodem landbouw'!B4</f>
        <v>50.959361239941238</v>
      </c>
      <c r="C29" s="248">
        <f>B29*'GWP N2O_CH4'!B4</f>
        <v>15797.401984381784</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8.4217037296966165E-3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5.1660288410013901E-6</v>
      </c>
      <c r="C5" s="443" t="s">
        <v>210</v>
      </c>
      <c r="D5" s="428">
        <f>SUM(D6:D11)</f>
        <v>2.7616314647448719E-5</v>
      </c>
      <c r="E5" s="428">
        <f>SUM(E6:E11)</f>
        <v>2.8253223827735541E-3</v>
      </c>
      <c r="F5" s="441" t="s">
        <v>210</v>
      </c>
      <c r="G5" s="428">
        <f>SUM(G6:G11)</f>
        <v>0.52113450296977604</v>
      </c>
      <c r="H5" s="428">
        <f>SUM(H6:H11)</f>
        <v>9.5126085547064101E-2</v>
      </c>
      <c r="I5" s="443" t="s">
        <v>210</v>
      </c>
      <c r="J5" s="443" t="s">
        <v>210</v>
      </c>
      <c r="K5" s="443" t="s">
        <v>210</v>
      </c>
      <c r="L5" s="443" t="s">
        <v>210</v>
      </c>
      <c r="M5" s="428">
        <f>SUM(M6:M11)</f>
        <v>2.6828229732371384E-2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4.0724350540323749E-6</v>
      </c>
      <c r="C6" s="429"/>
      <c r="D6" s="429">
        <f>vkm_GW_PW*SUMIFS(TableVerdeelsleutelVkm[CNG],TableVerdeelsleutelVkm[Voertuigtype],"Lichte voertuigen")*SUMIFS(TableECFTransport[EnergieConsumptieFactor (PJ per km)],TableECFTransport[Index],CONCATENATE($A6,"_CNG_CNG"))</f>
        <v>1.9316598925318519E-5</v>
      </c>
      <c r="E6" s="431">
        <f>vkm_GW_PW*SUMIFS(TableVerdeelsleutelVkm[LPG],TableVerdeelsleutelVkm[Voertuigtype],"Lichte voertuigen")*SUMIFS(TableECFTransport[EnergieConsumptieFactor (PJ per km)],TableECFTransport[Index],CONCATENATE($A6,"_LPG_LPG"))</f>
        <v>1.9988650401647589E-3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0.2707413989417341</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6.7411579544463154E-2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1.4765939672212239E-2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0.11460909010046014</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3.1829597260774388E-6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4.9374109386839454E-3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9.5054552210475003E-7</v>
      </c>
      <c r="C8" s="429"/>
      <c r="D8" s="431">
        <f>vkm_NGW_PW*SUMIFS(TableVerdeelsleutelVkm[CNG],TableVerdeelsleutelVkm[Voertuigtype],"Lichte voertuigen")*SUMIFS(TableECFTransport[EnergieConsumptieFactor (PJ per km)],TableECFTransport[Index],CONCATENATE($A8,"_CNG_CNG"))</f>
        <v>7.6278417036520284E-6</v>
      </c>
      <c r="E8" s="431">
        <f>vkm_NGW_PW*SUMIFS(TableVerdeelsleutelVkm[LPG],TableVerdeelsleutelVkm[Voertuigtype],"Lichte voertuigen")*SUMIFS(TableECFTransport[EnergieConsumptieFactor (PJ per km)],TableECFTransport[Index],CONCATENATE($A8,"_LPG_LPG"))</f>
        <v>7.3955994957544268E-4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9.6012396701922645E-2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2.52174496419377E-2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5.2967700892668484E-3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1.693227407759983E-2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5.6620550842359498E-7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7.29454368215653E-4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1.4304826486426499E-7</v>
      </c>
      <c r="C10" s="429"/>
      <c r="D10" s="431">
        <f>vkm_SW_PW*SUMIFS(TableVerdeelsleutelVkm[CNG],TableVerdeelsleutelVkm[Voertuigtype],"Lichte voertuigen")*SUMIFS(TableECFTransport[EnergieConsumptieFactor (PJ per km)],TableECFTransport[Index],CONCATENATE($A10,"_CNG_CNG"))</f>
        <v>6.718740184781707E-7</v>
      </c>
      <c r="E10" s="431">
        <f>vkm_SW_PW*SUMIFS(TableVerdeelsleutelVkm[LPG],TableVerdeelsleutelVkm[Voertuigtype],"Lichte voertuigen")*SUMIFS(TableECFTransport[EnergieConsumptieFactor (PJ per km)],TableECFTransport[Index],CONCATENATE($A10,"_LPG_LPG"))</f>
        <v>8.6897393033352315E-5</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1.0824169905352621E-2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2.4929566799235E-3</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5.8103484427453572E-4</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1.2015173242706727E-2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3.5051550524848558E-7</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5.1761981971816344E-4</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1.4350080113892749</v>
      </c>
      <c r="C14" s="21"/>
      <c r="D14" s="21">
        <f t="shared" ref="D14:M14" si="0">((D5)*10^9/3600)+D12</f>
        <v>7.6711985131801992</v>
      </c>
      <c r="E14" s="21">
        <f t="shared" si="0"/>
        <v>784.81177299265391</v>
      </c>
      <c r="F14" s="21"/>
      <c r="G14" s="21">
        <f t="shared" si="0"/>
        <v>144759.58415827111</v>
      </c>
      <c r="H14" s="21">
        <f t="shared" si="0"/>
        <v>26423.912651962248</v>
      </c>
      <c r="I14" s="21"/>
      <c r="J14" s="21"/>
      <c r="K14" s="21"/>
      <c r="L14" s="21"/>
      <c r="M14" s="21">
        <f t="shared" si="0"/>
        <v>7452.2860367698295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0.20960744700112591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0.30078836569346851</v>
      </c>
      <c r="C18" s="23"/>
      <c r="D18" s="23">
        <f t="shared" ref="D18:M18" si="1">D14*D16</f>
        <v>1.5495820996624003</v>
      </c>
      <c r="E18" s="23">
        <f t="shared" si="1"/>
        <v>178.15227246933244</v>
      </c>
      <c r="F18" s="23"/>
      <c r="G18" s="23">
        <f t="shared" si="1"/>
        <v>38650.808970258389</v>
      </c>
      <c r="H18" s="23">
        <f t="shared" si="1"/>
        <v>6579.5542503385996</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2.047232979678355E-2</v>
      </c>
      <c r="H50" s="320">
        <f t="shared" si="2"/>
        <v>0</v>
      </c>
      <c r="I50" s="320">
        <f t="shared" si="2"/>
        <v>0</v>
      </c>
      <c r="J50" s="320">
        <f t="shared" si="2"/>
        <v>0</v>
      </c>
      <c r="K50" s="320">
        <f t="shared" si="2"/>
        <v>0</v>
      </c>
      <c r="L50" s="320">
        <f t="shared" si="2"/>
        <v>0</v>
      </c>
      <c r="M50" s="320">
        <f t="shared" si="2"/>
        <v>8.7055873873997729E-4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2.047232979678355E-2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8.7055873873997729E-4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5686.7582768843195</v>
      </c>
      <c r="H54" s="21">
        <f t="shared" si="3"/>
        <v>0</v>
      </c>
      <c r="I54" s="21">
        <f t="shared" si="3"/>
        <v>0</v>
      </c>
      <c r="J54" s="21">
        <f t="shared" si="3"/>
        <v>0</v>
      </c>
      <c r="K54" s="21">
        <f t="shared" si="3"/>
        <v>0</v>
      </c>
      <c r="L54" s="21">
        <f t="shared" si="3"/>
        <v>0</v>
      </c>
      <c r="M54" s="21">
        <f t="shared" si="3"/>
        <v>241.82187187221589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0.20960744700112591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1518.3644599281133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52270.131000000001</v>
      </c>
      <c r="D10" s="684">
        <f ca="1">tertiair!C16</f>
        <v>0</v>
      </c>
      <c r="E10" s="684">
        <f ca="1">tertiair!D16</f>
        <v>49969.056434000006</v>
      </c>
      <c r="F10" s="684">
        <f>tertiair!E16</f>
        <v>810.49492125256154</v>
      </c>
      <c r="G10" s="684">
        <f ca="1">tertiair!F16</f>
        <v>9557.5093933193893</v>
      </c>
      <c r="H10" s="684">
        <f>tertiair!G16</f>
        <v>0</v>
      </c>
      <c r="I10" s="684">
        <f>tertiair!H16</f>
        <v>0</v>
      </c>
      <c r="J10" s="684">
        <f>tertiair!I16</f>
        <v>0</v>
      </c>
      <c r="K10" s="684">
        <f>tertiair!J16</f>
        <v>0</v>
      </c>
      <c r="L10" s="684">
        <f>tertiair!K16</f>
        <v>0</v>
      </c>
      <c r="M10" s="684">
        <f ca="1">tertiair!L16</f>
        <v>0</v>
      </c>
      <c r="N10" s="684">
        <f>tertiair!M16</f>
        <v>0</v>
      </c>
      <c r="O10" s="684">
        <f ca="1">tertiair!N16</f>
        <v>1177.8401642654212</v>
      </c>
      <c r="P10" s="684">
        <f>tertiair!O16</f>
        <v>0</v>
      </c>
      <c r="Q10" s="685">
        <f>tertiair!P16</f>
        <v>19.066666666666666</v>
      </c>
      <c r="R10" s="687">
        <f ca="1">SUM(C10:Q10)</f>
        <v>113804.09857950405</v>
      </c>
      <c r="S10" s="67"/>
    </row>
    <row r="11" spans="1:19" s="453" customFormat="1">
      <c r="A11" s="799" t="s">
        <v>224</v>
      </c>
      <c r="B11" s="804"/>
      <c r="C11" s="684">
        <f>huishoudens!B8</f>
        <v>53328.126984273709</v>
      </c>
      <c r="D11" s="684">
        <f>huishoudens!C8</f>
        <v>0</v>
      </c>
      <c r="E11" s="684">
        <f>huishoudens!D8</f>
        <v>102742.568874</v>
      </c>
      <c r="F11" s="684">
        <f>huishoudens!E8</f>
        <v>25904.960948595024</v>
      </c>
      <c r="G11" s="684">
        <f>huishoudens!F8</f>
        <v>90066.66920645714</v>
      </c>
      <c r="H11" s="684">
        <f>huishoudens!G8</f>
        <v>0</v>
      </c>
      <c r="I11" s="684">
        <f>huishoudens!H8</f>
        <v>0</v>
      </c>
      <c r="J11" s="684">
        <f>huishoudens!I8</f>
        <v>0</v>
      </c>
      <c r="K11" s="684">
        <f>huishoudens!J8</f>
        <v>5795.1921819316567</v>
      </c>
      <c r="L11" s="684">
        <f>huishoudens!K8</f>
        <v>0</v>
      </c>
      <c r="M11" s="684">
        <f>huishoudens!L8</f>
        <v>0</v>
      </c>
      <c r="N11" s="684">
        <f>huishoudens!M8</f>
        <v>0</v>
      </c>
      <c r="O11" s="684">
        <f>huishoudens!N8</f>
        <v>21243.569158662802</v>
      </c>
      <c r="P11" s="684">
        <f>huishoudens!O8</f>
        <v>175.09333333333336</v>
      </c>
      <c r="Q11" s="685">
        <f>huishoudens!P8</f>
        <v>247.86666666666667</v>
      </c>
      <c r="R11" s="687">
        <f>SUM(C11:Q11)</f>
        <v>299504.04735392029</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21213.888000000003</v>
      </c>
      <c r="D13" s="684">
        <f>industrie!C18</f>
        <v>0</v>
      </c>
      <c r="E13" s="684">
        <f>industrie!D18</f>
        <v>13539.949961999999</v>
      </c>
      <c r="F13" s="684">
        <f>industrie!E18</f>
        <v>302.49187194854773</v>
      </c>
      <c r="G13" s="684">
        <f>industrie!F18</f>
        <v>12272.94647012797</v>
      </c>
      <c r="H13" s="684">
        <f>industrie!G18</f>
        <v>0</v>
      </c>
      <c r="I13" s="684">
        <f>industrie!H18</f>
        <v>0</v>
      </c>
      <c r="J13" s="684">
        <f>industrie!I18</f>
        <v>0</v>
      </c>
      <c r="K13" s="684">
        <f>industrie!J18</f>
        <v>110.02739596059811</v>
      </c>
      <c r="L13" s="684">
        <f>industrie!K18</f>
        <v>0</v>
      </c>
      <c r="M13" s="684">
        <f>industrie!L18</f>
        <v>0</v>
      </c>
      <c r="N13" s="684">
        <f>industrie!M18</f>
        <v>0</v>
      </c>
      <c r="O13" s="684">
        <f>industrie!N18</f>
        <v>1124.4090126620486</v>
      </c>
      <c r="P13" s="684">
        <f>industrie!O18</f>
        <v>0</v>
      </c>
      <c r="Q13" s="685">
        <f>industrie!P18</f>
        <v>0</v>
      </c>
      <c r="R13" s="687">
        <f>SUM(C13:Q13)</f>
        <v>48563.712712699176</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126812.14598427372</v>
      </c>
      <c r="D16" s="717">
        <f t="shared" ref="D16:R16" ca="1" si="0">SUM(D9:D15)</f>
        <v>0</v>
      </c>
      <c r="E16" s="717">
        <f t="shared" ca="1" si="0"/>
        <v>166251.57527000003</v>
      </c>
      <c r="F16" s="717">
        <f t="shared" si="0"/>
        <v>27017.947741796132</v>
      </c>
      <c r="G16" s="717">
        <f t="shared" ca="1" si="0"/>
        <v>111897.12506990449</v>
      </c>
      <c r="H16" s="717">
        <f t="shared" si="0"/>
        <v>0</v>
      </c>
      <c r="I16" s="717">
        <f t="shared" si="0"/>
        <v>0</v>
      </c>
      <c r="J16" s="717">
        <f t="shared" si="0"/>
        <v>0</v>
      </c>
      <c r="K16" s="717">
        <f t="shared" si="0"/>
        <v>5905.2195778922551</v>
      </c>
      <c r="L16" s="717">
        <f t="shared" si="0"/>
        <v>0</v>
      </c>
      <c r="M16" s="717">
        <f t="shared" ca="1" si="0"/>
        <v>0</v>
      </c>
      <c r="N16" s="717">
        <f t="shared" si="0"/>
        <v>0</v>
      </c>
      <c r="O16" s="717">
        <f t="shared" ca="1" si="0"/>
        <v>23545.818335590273</v>
      </c>
      <c r="P16" s="717">
        <f t="shared" si="0"/>
        <v>175.09333333333336</v>
      </c>
      <c r="Q16" s="717">
        <f t="shared" si="0"/>
        <v>266.93333333333334</v>
      </c>
      <c r="R16" s="717">
        <f t="shared" ca="1" si="0"/>
        <v>461871.85864612355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5686.7582768843195</v>
      </c>
      <c r="I19" s="684">
        <f>transport!H54</f>
        <v>0</v>
      </c>
      <c r="J19" s="684">
        <f>transport!I54</f>
        <v>0</v>
      </c>
      <c r="K19" s="684">
        <f>transport!J54</f>
        <v>0</v>
      </c>
      <c r="L19" s="684">
        <f>transport!K54</f>
        <v>0</v>
      </c>
      <c r="M19" s="684">
        <f>transport!L54</f>
        <v>0</v>
      </c>
      <c r="N19" s="684">
        <f>transport!M54</f>
        <v>241.82187187221589</v>
      </c>
      <c r="O19" s="684">
        <f>transport!N54</f>
        <v>0</v>
      </c>
      <c r="P19" s="684">
        <f>transport!O54</f>
        <v>0</v>
      </c>
      <c r="Q19" s="685">
        <f>transport!P54</f>
        <v>0</v>
      </c>
      <c r="R19" s="687">
        <f>SUM(C19:Q19)</f>
        <v>5928.580148756535</v>
      </c>
      <c r="S19" s="67"/>
    </row>
    <row r="20" spans="1:19" s="453" customFormat="1">
      <c r="A20" s="799" t="s">
        <v>306</v>
      </c>
      <c r="B20" s="804"/>
      <c r="C20" s="684">
        <f>transport!B14</f>
        <v>1.4350080113892749</v>
      </c>
      <c r="D20" s="684">
        <f>transport!C14</f>
        <v>0</v>
      </c>
      <c r="E20" s="684">
        <f>transport!D14</f>
        <v>7.6711985131801992</v>
      </c>
      <c r="F20" s="684">
        <f>transport!E14</f>
        <v>784.81177299265391</v>
      </c>
      <c r="G20" s="684">
        <f>transport!F14</f>
        <v>0</v>
      </c>
      <c r="H20" s="684">
        <f>transport!G14</f>
        <v>144759.58415827111</v>
      </c>
      <c r="I20" s="684">
        <f>transport!H14</f>
        <v>26423.912651962248</v>
      </c>
      <c r="J20" s="684">
        <f>transport!I14</f>
        <v>0</v>
      </c>
      <c r="K20" s="684">
        <f>transport!J14</f>
        <v>0</v>
      </c>
      <c r="L20" s="684">
        <f>transport!K14</f>
        <v>0</v>
      </c>
      <c r="M20" s="684">
        <f>transport!L14</f>
        <v>0</v>
      </c>
      <c r="N20" s="684">
        <f>transport!M14</f>
        <v>7452.2860367698295</v>
      </c>
      <c r="O20" s="684">
        <f>transport!N14</f>
        <v>0</v>
      </c>
      <c r="P20" s="684">
        <f>transport!O14</f>
        <v>0</v>
      </c>
      <c r="Q20" s="685">
        <f>transport!P14</f>
        <v>0</v>
      </c>
      <c r="R20" s="687">
        <f>SUM(C20:Q20)</f>
        <v>179429.70082652042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1.4350080113892749</v>
      </c>
      <c r="D22" s="802">
        <f t="shared" ref="D22:R22" si="1">SUM(D18:D21)</f>
        <v>0</v>
      </c>
      <c r="E22" s="802">
        <f t="shared" si="1"/>
        <v>7.6711985131801992</v>
      </c>
      <c r="F22" s="802">
        <f t="shared" si="1"/>
        <v>784.81177299265391</v>
      </c>
      <c r="G22" s="802">
        <f t="shared" si="1"/>
        <v>0</v>
      </c>
      <c r="H22" s="802">
        <f t="shared" si="1"/>
        <v>150446.34243515544</v>
      </c>
      <c r="I22" s="802">
        <f t="shared" si="1"/>
        <v>26423.912651962248</v>
      </c>
      <c r="J22" s="802">
        <f t="shared" si="1"/>
        <v>0</v>
      </c>
      <c r="K22" s="802">
        <f t="shared" si="1"/>
        <v>0</v>
      </c>
      <c r="L22" s="802">
        <f t="shared" si="1"/>
        <v>0</v>
      </c>
      <c r="M22" s="802">
        <f t="shared" si="1"/>
        <v>0</v>
      </c>
      <c r="N22" s="802">
        <f t="shared" si="1"/>
        <v>7694.107908642045</v>
      </c>
      <c r="O22" s="802">
        <f t="shared" si="1"/>
        <v>0</v>
      </c>
      <c r="P22" s="802">
        <f t="shared" si="1"/>
        <v>0</v>
      </c>
      <c r="Q22" s="802">
        <f t="shared" si="1"/>
        <v>0</v>
      </c>
      <c r="R22" s="802">
        <f t="shared" si="1"/>
        <v>185358.28097527695</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2562.7649999999999</v>
      </c>
      <c r="D24" s="684">
        <f>+landbouw!C8</f>
        <v>0</v>
      </c>
      <c r="E24" s="684">
        <f>+landbouw!D8</f>
        <v>355.88590400000004</v>
      </c>
      <c r="F24" s="684">
        <f>+landbouw!E8</f>
        <v>26.837829895997235</v>
      </c>
      <c r="G24" s="684">
        <f>+landbouw!F8</f>
        <v>10970.581487836364</v>
      </c>
      <c r="H24" s="684">
        <f>+landbouw!G8</f>
        <v>0</v>
      </c>
      <c r="I24" s="684">
        <f>+landbouw!H8</f>
        <v>0</v>
      </c>
      <c r="J24" s="684">
        <f>+landbouw!I8</f>
        <v>0</v>
      </c>
      <c r="K24" s="684">
        <f>+landbouw!J8</f>
        <v>228.87788495456311</v>
      </c>
      <c r="L24" s="684">
        <f>+landbouw!K8</f>
        <v>0</v>
      </c>
      <c r="M24" s="684">
        <f>+landbouw!L8</f>
        <v>0</v>
      </c>
      <c r="N24" s="684">
        <f>+landbouw!M8</f>
        <v>0</v>
      </c>
      <c r="O24" s="684">
        <f>+landbouw!N8</f>
        <v>0</v>
      </c>
      <c r="P24" s="684">
        <f>+landbouw!O8</f>
        <v>0</v>
      </c>
      <c r="Q24" s="685">
        <f>+landbouw!P8</f>
        <v>0</v>
      </c>
      <c r="R24" s="687">
        <f>SUM(C24:Q24)</f>
        <v>14144.948106686925</v>
      </c>
      <c r="S24" s="67"/>
    </row>
    <row r="25" spans="1:19" s="453" customFormat="1" ht="15" thickBot="1">
      <c r="A25" s="821" t="s">
        <v>912</v>
      </c>
      <c r="B25" s="978"/>
      <c r="C25" s="979">
        <f>IF(Onbekend_ele_kWh="---",0,Onbekend_ele_kWh)/1000+IF(REST_rest_ele_kWh="---",0,REST_rest_ele_kWh)/1000</f>
        <v>5555.875</v>
      </c>
      <c r="D25" s="979"/>
      <c r="E25" s="979">
        <f>IF(onbekend_gas_kWh="---",0,onbekend_gas_kWh)/1000+IF(REST_rest_gas_kWh="---",0,REST_rest_gas_kWh)/1000</f>
        <v>14411.882</v>
      </c>
      <c r="F25" s="979"/>
      <c r="G25" s="979"/>
      <c r="H25" s="979"/>
      <c r="I25" s="979"/>
      <c r="J25" s="979"/>
      <c r="K25" s="979"/>
      <c r="L25" s="979"/>
      <c r="M25" s="979"/>
      <c r="N25" s="979"/>
      <c r="O25" s="979"/>
      <c r="P25" s="979"/>
      <c r="Q25" s="980"/>
      <c r="R25" s="687">
        <f>SUM(C25:Q25)</f>
        <v>19967.756999999998</v>
      </c>
      <c r="S25" s="67"/>
    </row>
    <row r="26" spans="1:19" s="453" customFormat="1" ht="15.75" thickBot="1">
      <c r="A26" s="690" t="s">
        <v>913</v>
      </c>
      <c r="B26" s="807"/>
      <c r="C26" s="802">
        <f>SUM(C24:C25)</f>
        <v>8118.6399999999994</v>
      </c>
      <c r="D26" s="802">
        <f t="shared" ref="D26:R26" si="2">SUM(D24:D25)</f>
        <v>0</v>
      </c>
      <c r="E26" s="802">
        <f t="shared" si="2"/>
        <v>14767.767904</v>
      </c>
      <c r="F26" s="802">
        <f t="shared" si="2"/>
        <v>26.837829895997235</v>
      </c>
      <c r="G26" s="802">
        <f t="shared" si="2"/>
        <v>10970.581487836364</v>
      </c>
      <c r="H26" s="802">
        <f t="shared" si="2"/>
        <v>0</v>
      </c>
      <c r="I26" s="802">
        <f t="shared" si="2"/>
        <v>0</v>
      </c>
      <c r="J26" s="802">
        <f t="shared" si="2"/>
        <v>0</v>
      </c>
      <c r="K26" s="802">
        <f t="shared" si="2"/>
        <v>228.87788495456311</v>
      </c>
      <c r="L26" s="802">
        <f t="shared" si="2"/>
        <v>0</v>
      </c>
      <c r="M26" s="802">
        <f t="shared" si="2"/>
        <v>0</v>
      </c>
      <c r="N26" s="802">
        <f t="shared" si="2"/>
        <v>0</v>
      </c>
      <c r="O26" s="802">
        <f t="shared" si="2"/>
        <v>0</v>
      </c>
      <c r="P26" s="802">
        <f t="shared" si="2"/>
        <v>0</v>
      </c>
      <c r="Q26" s="802">
        <f t="shared" si="2"/>
        <v>0</v>
      </c>
      <c r="R26" s="802">
        <f t="shared" si="2"/>
        <v>34112.705106686924</v>
      </c>
      <c r="S26" s="67"/>
    </row>
    <row r="27" spans="1:19" s="453" customFormat="1" ht="17.25" thickTop="1" thickBot="1">
      <c r="A27" s="691" t="s">
        <v>115</v>
      </c>
      <c r="B27" s="794"/>
      <c r="C27" s="692">
        <f ca="1">C22+C16+C26</f>
        <v>134932.22099228512</v>
      </c>
      <c r="D27" s="692">
        <f t="shared" ref="D27:R27" ca="1" si="3">D22+D16+D26</f>
        <v>0</v>
      </c>
      <c r="E27" s="692">
        <f t="shared" ca="1" si="3"/>
        <v>181027.01437251322</v>
      </c>
      <c r="F27" s="692">
        <f t="shared" si="3"/>
        <v>27829.597344684782</v>
      </c>
      <c r="G27" s="692">
        <f t="shared" ca="1" si="3"/>
        <v>122867.70655774085</v>
      </c>
      <c r="H27" s="692">
        <f t="shared" si="3"/>
        <v>150446.34243515544</v>
      </c>
      <c r="I27" s="692">
        <f t="shared" si="3"/>
        <v>26423.912651962248</v>
      </c>
      <c r="J27" s="692">
        <f t="shared" si="3"/>
        <v>0</v>
      </c>
      <c r="K27" s="692">
        <f t="shared" si="3"/>
        <v>6134.0974628468184</v>
      </c>
      <c r="L27" s="692">
        <f t="shared" si="3"/>
        <v>0</v>
      </c>
      <c r="M27" s="692">
        <f t="shared" ca="1" si="3"/>
        <v>0</v>
      </c>
      <c r="N27" s="692">
        <f t="shared" si="3"/>
        <v>7694.107908642045</v>
      </c>
      <c r="O27" s="692">
        <f t="shared" ca="1" si="3"/>
        <v>23545.818335590273</v>
      </c>
      <c r="P27" s="692">
        <f t="shared" si="3"/>
        <v>175.09333333333336</v>
      </c>
      <c r="Q27" s="692">
        <f t="shared" si="3"/>
        <v>266.93333333333334</v>
      </c>
      <c r="R27" s="692">
        <f t="shared" ca="1" si="3"/>
        <v>681342.84472808742</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10956.208713324408</v>
      </c>
      <c r="D40" s="684">
        <f ca="1">tertiair!C20</f>
        <v>0</v>
      </c>
      <c r="E40" s="684">
        <f ca="1">tertiair!D20</f>
        <v>10093.749399668002</v>
      </c>
      <c r="F40" s="684">
        <f>tertiair!E20</f>
        <v>183.98234712433148</v>
      </c>
      <c r="G40" s="684">
        <f ca="1">tertiair!F20</f>
        <v>2551.8550080162772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23785.795468133023</v>
      </c>
    </row>
    <row r="41" spans="1:18">
      <c r="A41" s="812" t="s">
        <v>224</v>
      </c>
      <c r="B41" s="819"/>
      <c r="C41" s="684">
        <f ca="1">huishoudens!B12</f>
        <v>11177.972550525465</v>
      </c>
      <c r="D41" s="684">
        <f ca="1">huishoudens!C12</f>
        <v>0</v>
      </c>
      <c r="E41" s="684">
        <f>huishoudens!D12</f>
        <v>20753.998912548002</v>
      </c>
      <c r="F41" s="684">
        <f>huishoudens!E12</f>
        <v>5880.4261353310703</v>
      </c>
      <c r="G41" s="684">
        <f>huishoudens!F12</f>
        <v>24047.800678124058</v>
      </c>
      <c r="H41" s="684">
        <f>huishoudens!G12</f>
        <v>0</v>
      </c>
      <c r="I41" s="684">
        <f>huishoudens!H12</f>
        <v>0</v>
      </c>
      <c r="J41" s="684">
        <f>huishoudens!I12</f>
        <v>0</v>
      </c>
      <c r="K41" s="684">
        <f>huishoudens!J12</f>
        <v>2051.4980324038065</v>
      </c>
      <c r="L41" s="684">
        <f>huishoudens!K12</f>
        <v>0</v>
      </c>
      <c r="M41" s="684">
        <f>huishoudens!L12</f>
        <v>0</v>
      </c>
      <c r="N41" s="684">
        <f>huishoudens!M12</f>
        <v>0</v>
      </c>
      <c r="O41" s="684">
        <f>huishoudens!N12</f>
        <v>0</v>
      </c>
      <c r="P41" s="684">
        <f>huishoudens!O12</f>
        <v>0</v>
      </c>
      <c r="Q41" s="759">
        <f>huishoudens!P12</f>
        <v>0</v>
      </c>
      <c r="R41" s="840">
        <f t="shared" ca="1" si="4"/>
        <v>63911.696308932398</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4446.5889046478214</v>
      </c>
      <c r="D43" s="684">
        <f ca="1">industrie!C22</f>
        <v>0</v>
      </c>
      <c r="E43" s="684">
        <f>industrie!D22</f>
        <v>2735.0698923239997</v>
      </c>
      <c r="F43" s="684">
        <f>industrie!E22</f>
        <v>68.665654932320336</v>
      </c>
      <c r="G43" s="684">
        <f>industrie!F22</f>
        <v>3276.8767075241681</v>
      </c>
      <c r="H43" s="684">
        <f>industrie!G22</f>
        <v>0</v>
      </c>
      <c r="I43" s="684">
        <f>industrie!H22</f>
        <v>0</v>
      </c>
      <c r="J43" s="684">
        <f>industrie!I22</f>
        <v>0</v>
      </c>
      <c r="K43" s="684">
        <f>industrie!J22</f>
        <v>38.949698170051732</v>
      </c>
      <c r="L43" s="684">
        <f>industrie!K22</f>
        <v>0</v>
      </c>
      <c r="M43" s="684">
        <f>industrie!L22</f>
        <v>0</v>
      </c>
      <c r="N43" s="684">
        <f>industrie!M22</f>
        <v>0</v>
      </c>
      <c r="O43" s="684">
        <f>industrie!N22</f>
        <v>0</v>
      </c>
      <c r="P43" s="684">
        <f>industrie!O22</f>
        <v>0</v>
      </c>
      <c r="Q43" s="759">
        <f>industrie!P22</f>
        <v>0</v>
      </c>
      <c r="R43" s="839">
        <f t="shared" ca="1" si="4"/>
        <v>10566.150857598363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26580.770168497696</v>
      </c>
      <c r="D46" s="717">
        <f t="shared" ref="D46:Q46" ca="1" si="5">SUM(D39:D45)</f>
        <v>0</v>
      </c>
      <c r="E46" s="717">
        <f t="shared" ca="1" si="5"/>
        <v>33582.818204540003</v>
      </c>
      <c r="F46" s="717">
        <f t="shared" si="5"/>
        <v>6133.0741373877227</v>
      </c>
      <c r="G46" s="717">
        <f t="shared" ca="1" si="5"/>
        <v>29876.532393664504</v>
      </c>
      <c r="H46" s="717">
        <f t="shared" si="5"/>
        <v>0</v>
      </c>
      <c r="I46" s="717">
        <f t="shared" si="5"/>
        <v>0</v>
      </c>
      <c r="J46" s="717">
        <f t="shared" si="5"/>
        <v>0</v>
      </c>
      <c r="K46" s="717">
        <f t="shared" si="5"/>
        <v>2090.4477305738583</v>
      </c>
      <c r="L46" s="717">
        <f t="shared" si="5"/>
        <v>0</v>
      </c>
      <c r="M46" s="717">
        <f t="shared" ca="1" si="5"/>
        <v>0</v>
      </c>
      <c r="N46" s="717">
        <f t="shared" si="5"/>
        <v>0</v>
      </c>
      <c r="O46" s="717">
        <f t="shared" ca="1" si="5"/>
        <v>0</v>
      </c>
      <c r="P46" s="717">
        <f t="shared" si="5"/>
        <v>0</v>
      </c>
      <c r="Q46" s="717">
        <f t="shared" si="5"/>
        <v>0</v>
      </c>
      <c r="R46" s="717">
        <f ca="1">SUM(R39:R45)</f>
        <v>98263.642634663775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1518.3644599281133</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1518.3644599281133</v>
      </c>
    </row>
    <row r="50" spans="1:18">
      <c r="A50" s="815" t="s">
        <v>306</v>
      </c>
      <c r="B50" s="825"/>
      <c r="C50" s="985">
        <f ca="1">transport!B18</f>
        <v>0.30078836569346851</v>
      </c>
      <c r="D50" s="985">
        <f>transport!C18</f>
        <v>0</v>
      </c>
      <c r="E50" s="985">
        <f>transport!D18</f>
        <v>1.5495820996624003</v>
      </c>
      <c r="F50" s="985">
        <f>transport!E18</f>
        <v>178.15227246933244</v>
      </c>
      <c r="G50" s="985">
        <f>transport!F18</f>
        <v>0</v>
      </c>
      <c r="H50" s="985">
        <f>transport!G18</f>
        <v>38650.808970258389</v>
      </c>
      <c r="I50" s="985">
        <f>transport!H18</f>
        <v>6579.5542503385996</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45410.365863531682</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0.30078836569346851</v>
      </c>
      <c r="D52" s="717">
        <f t="shared" ref="D52:Q52" ca="1" si="6">SUM(D48:D51)</f>
        <v>0</v>
      </c>
      <c r="E52" s="717">
        <f t="shared" si="6"/>
        <v>1.5495820996624003</v>
      </c>
      <c r="F52" s="717">
        <f t="shared" si="6"/>
        <v>178.15227246933244</v>
      </c>
      <c r="G52" s="717">
        <f t="shared" si="6"/>
        <v>0</v>
      </c>
      <c r="H52" s="717">
        <f t="shared" si="6"/>
        <v>40169.1734301865</v>
      </c>
      <c r="I52" s="717">
        <f t="shared" si="6"/>
        <v>6579.5542503385996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46928.730323459793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537.17462891384037</v>
      </c>
      <c r="D54" s="985">
        <f ca="1">+landbouw!C12</f>
        <v>0</v>
      </c>
      <c r="E54" s="985">
        <f>+landbouw!D12</f>
        <v>71.888952608000011</v>
      </c>
      <c r="F54" s="985">
        <f>+landbouw!E12</f>
        <v>6.0921873863913723</v>
      </c>
      <c r="G54" s="985">
        <f>+landbouw!F12</f>
        <v>2929.1452572523094</v>
      </c>
      <c r="H54" s="985">
        <f>+landbouw!G12</f>
        <v>0</v>
      </c>
      <c r="I54" s="985">
        <f>+landbouw!H12</f>
        <v>0</v>
      </c>
      <c r="J54" s="985">
        <f>+landbouw!I12</f>
        <v>0</v>
      </c>
      <c r="K54" s="985">
        <f>+landbouw!J12</f>
        <v>81.022771273915339</v>
      </c>
      <c r="L54" s="985">
        <f>+landbouw!K12</f>
        <v>0</v>
      </c>
      <c r="M54" s="985">
        <f>+landbouw!L12</f>
        <v>0</v>
      </c>
      <c r="N54" s="985">
        <f>+landbouw!M12</f>
        <v>0</v>
      </c>
      <c r="O54" s="985">
        <f>+landbouw!N12</f>
        <v>0</v>
      </c>
      <c r="P54" s="985">
        <f>+landbouw!O12</f>
        <v>0</v>
      </c>
      <c r="Q54" s="986">
        <f>+landbouw!P12</f>
        <v>0</v>
      </c>
      <c r="R54" s="716">
        <f ca="1">SUM(C54:Q54)</f>
        <v>3625.3237974344565</v>
      </c>
    </row>
    <row r="55" spans="1:18" ht="15" thickBot="1">
      <c r="A55" s="815" t="s">
        <v>912</v>
      </c>
      <c r="B55" s="825"/>
      <c r="C55" s="985">
        <f ca="1">C25*'EF ele_warmte'!B12</f>
        <v>1164.5527746073803</v>
      </c>
      <c r="D55" s="985"/>
      <c r="E55" s="985">
        <f>E25*EF_CO2_aardgas</f>
        <v>2911.2001640000003</v>
      </c>
      <c r="F55" s="985"/>
      <c r="G55" s="985"/>
      <c r="H55" s="985"/>
      <c r="I55" s="985"/>
      <c r="J55" s="985"/>
      <c r="K55" s="985"/>
      <c r="L55" s="985"/>
      <c r="M55" s="985"/>
      <c r="N55" s="985"/>
      <c r="O55" s="985"/>
      <c r="P55" s="985"/>
      <c r="Q55" s="986"/>
      <c r="R55" s="716">
        <f ca="1">SUM(C55:Q55)</f>
        <v>4075.7529386073807</v>
      </c>
    </row>
    <row r="56" spans="1:18" ht="15.75" thickBot="1">
      <c r="A56" s="813" t="s">
        <v>913</v>
      </c>
      <c r="B56" s="826"/>
      <c r="C56" s="717">
        <f ca="1">SUM(C54:C55)</f>
        <v>1701.7274035212208</v>
      </c>
      <c r="D56" s="717">
        <f t="shared" ref="D56:Q56" ca="1" si="7">SUM(D54:D55)</f>
        <v>0</v>
      </c>
      <c r="E56" s="717">
        <f t="shared" si="7"/>
        <v>2983.0891166080005</v>
      </c>
      <c r="F56" s="717">
        <f t="shared" si="7"/>
        <v>6.0921873863913723</v>
      </c>
      <c r="G56" s="717">
        <f t="shared" si="7"/>
        <v>2929.1452572523094</v>
      </c>
      <c r="H56" s="717">
        <f t="shared" si="7"/>
        <v>0</v>
      </c>
      <c r="I56" s="717">
        <f t="shared" si="7"/>
        <v>0</v>
      </c>
      <c r="J56" s="717">
        <f t="shared" si="7"/>
        <v>0</v>
      </c>
      <c r="K56" s="717">
        <f t="shared" si="7"/>
        <v>81.022771273915339</v>
      </c>
      <c r="L56" s="717">
        <f t="shared" si="7"/>
        <v>0</v>
      </c>
      <c r="M56" s="717">
        <f t="shared" si="7"/>
        <v>0</v>
      </c>
      <c r="N56" s="717">
        <f t="shared" si="7"/>
        <v>0</v>
      </c>
      <c r="O56" s="717">
        <f t="shared" si="7"/>
        <v>0</v>
      </c>
      <c r="P56" s="717">
        <f t="shared" si="7"/>
        <v>0</v>
      </c>
      <c r="Q56" s="718">
        <f t="shared" si="7"/>
        <v>0</v>
      </c>
      <c r="R56" s="719">
        <f ca="1">SUM(R54:R55)</f>
        <v>7701.0767360418376</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28282.798360384611</v>
      </c>
      <c r="D61" s="725">
        <f t="shared" ref="D61:Q61" ca="1" si="8">D46+D52+D56</f>
        <v>0</v>
      </c>
      <c r="E61" s="725">
        <f t="shared" ca="1" si="8"/>
        <v>36567.456903247672</v>
      </c>
      <c r="F61" s="725">
        <f t="shared" si="8"/>
        <v>6317.3185972434467</v>
      </c>
      <c r="G61" s="725">
        <f t="shared" ca="1" si="8"/>
        <v>32805.677650916812</v>
      </c>
      <c r="H61" s="725">
        <f t="shared" si="8"/>
        <v>40169.1734301865</v>
      </c>
      <c r="I61" s="725">
        <f t="shared" si="8"/>
        <v>6579.5542503385996</v>
      </c>
      <c r="J61" s="725">
        <f t="shared" si="8"/>
        <v>0</v>
      </c>
      <c r="K61" s="725">
        <f t="shared" si="8"/>
        <v>2171.4705018477734</v>
      </c>
      <c r="L61" s="725">
        <f t="shared" si="8"/>
        <v>0</v>
      </c>
      <c r="M61" s="725">
        <f t="shared" ca="1" si="8"/>
        <v>0</v>
      </c>
      <c r="N61" s="725">
        <f t="shared" si="8"/>
        <v>0</v>
      </c>
      <c r="O61" s="725">
        <f t="shared" ca="1" si="8"/>
        <v>0</v>
      </c>
      <c r="P61" s="725">
        <f t="shared" si="8"/>
        <v>0</v>
      </c>
      <c r="Q61" s="725">
        <f t="shared" si="8"/>
        <v>0</v>
      </c>
      <c r="R61" s="725">
        <f ca="1">R46+R52+R56</f>
        <v>152893.44969416541</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0.20960744700112591</v>
      </c>
      <c r="D63" s="769">
        <f t="shared" ca="1" si="9"/>
        <v>0</v>
      </c>
      <c r="E63" s="987">
        <f t="shared" ca="1" si="9"/>
        <v>0.20200000000000001</v>
      </c>
      <c r="F63" s="769">
        <f t="shared" si="9"/>
        <v>0.22700000000000004</v>
      </c>
      <c r="G63" s="769">
        <f t="shared" ca="1" si="9"/>
        <v>0.26700000000000002</v>
      </c>
      <c r="H63" s="769">
        <f t="shared" si="9"/>
        <v>0.26699999999999996</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1</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6954.7578231239813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6955.7578231239813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1</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6954.7578231239813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6955.7578231239813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53328.126984273709</v>
      </c>
      <c r="C4" s="457">
        <f>huishoudens!C8</f>
        <v>0</v>
      </c>
      <c r="D4" s="457">
        <f>huishoudens!D8</f>
        <v>102742.568874</v>
      </c>
      <c r="E4" s="457">
        <f>huishoudens!E8</f>
        <v>25904.960948595024</v>
      </c>
      <c r="F4" s="457">
        <f>huishoudens!F8</f>
        <v>90066.66920645714</v>
      </c>
      <c r="G4" s="457">
        <f>huishoudens!G8</f>
        <v>0</v>
      </c>
      <c r="H4" s="457">
        <f>huishoudens!H8</f>
        <v>0</v>
      </c>
      <c r="I4" s="457">
        <f>huishoudens!I8</f>
        <v>0</v>
      </c>
      <c r="J4" s="457">
        <f>huishoudens!J8</f>
        <v>5795.1921819316567</v>
      </c>
      <c r="K4" s="457">
        <f>huishoudens!K8</f>
        <v>0</v>
      </c>
      <c r="L4" s="457">
        <f>huishoudens!L8</f>
        <v>0</v>
      </c>
      <c r="M4" s="457">
        <f>huishoudens!M8</f>
        <v>0</v>
      </c>
      <c r="N4" s="457">
        <f>huishoudens!N8</f>
        <v>21243.569158662802</v>
      </c>
      <c r="O4" s="457">
        <f>huishoudens!O8</f>
        <v>175.09333333333336</v>
      </c>
      <c r="P4" s="458">
        <f>huishoudens!P8</f>
        <v>247.86666666666667</v>
      </c>
      <c r="Q4" s="459">
        <f>SUM(B4:P4)</f>
        <v>299504.04735392029</v>
      </c>
    </row>
    <row r="5" spans="1:17">
      <c r="A5" s="456" t="s">
        <v>155</v>
      </c>
      <c r="B5" s="457">
        <f ca="1">tertiair!B16</f>
        <v>50262.294999999998</v>
      </c>
      <c r="C5" s="457">
        <f ca="1">tertiair!C16</f>
        <v>0</v>
      </c>
      <c r="D5" s="457">
        <f ca="1">tertiair!D16</f>
        <v>49969.056434000006</v>
      </c>
      <c r="E5" s="457">
        <f>tertiair!E16</f>
        <v>810.49492125256154</v>
      </c>
      <c r="F5" s="457">
        <f ca="1">tertiair!F16</f>
        <v>9557.5093933193893</v>
      </c>
      <c r="G5" s="457">
        <f>tertiair!G16</f>
        <v>0</v>
      </c>
      <c r="H5" s="457">
        <f>tertiair!H16</f>
        <v>0</v>
      </c>
      <c r="I5" s="457">
        <f>tertiair!I16</f>
        <v>0</v>
      </c>
      <c r="J5" s="457">
        <f>tertiair!J16</f>
        <v>0</v>
      </c>
      <c r="K5" s="457">
        <f>tertiair!K16</f>
        <v>0</v>
      </c>
      <c r="L5" s="457">
        <f ca="1">tertiair!L16</f>
        <v>0</v>
      </c>
      <c r="M5" s="457">
        <f>tertiair!M16</f>
        <v>0</v>
      </c>
      <c r="N5" s="457">
        <f ca="1">tertiair!N16</f>
        <v>1177.8401642654212</v>
      </c>
      <c r="O5" s="457">
        <f>tertiair!O16</f>
        <v>0</v>
      </c>
      <c r="P5" s="458">
        <f>tertiair!P16</f>
        <v>19.066666666666666</v>
      </c>
      <c r="Q5" s="456">
        <f t="shared" ref="Q5:Q14" ca="1" si="0">SUM(B5:P5)</f>
        <v>111796.26257950405</v>
      </c>
    </row>
    <row r="6" spans="1:17">
      <c r="A6" s="456" t="s">
        <v>193</v>
      </c>
      <c r="B6" s="457">
        <f>'openbare verlichting'!B8</f>
        <v>2007.836</v>
      </c>
      <c r="C6" s="457"/>
      <c r="D6" s="457"/>
      <c r="E6" s="457"/>
      <c r="F6" s="457"/>
      <c r="G6" s="457"/>
      <c r="H6" s="457"/>
      <c r="I6" s="457"/>
      <c r="J6" s="457"/>
      <c r="K6" s="457"/>
      <c r="L6" s="457"/>
      <c r="M6" s="457"/>
      <c r="N6" s="457"/>
      <c r="O6" s="457"/>
      <c r="P6" s="458"/>
      <c r="Q6" s="456">
        <f t="shared" si="0"/>
        <v>2007.836</v>
      </c>
    </row>
    <row r="7" spans="1:17">
      <c r="A7" s="456" t="s">
        <v>111</v>
      </c>
      <c r="B7" s="457">
        <f>landbouw!B8</f>
        <v>2562.7649999999999</v>
      </c>
      <c r="C7" s="457">
        <f>landbouw!C8</f>
        <v>0</v>
      </c>
      <c r="D7" s="457">
        <f>landbouw!D8</f>
        <v>355.88590400000004</v>
      </c>
      <c r="E7" s="457">
        <f>landbouw!E8</f>
        <v>26.837829895997235</v>
      </c>
      <c r="F7" s="457">
        <f>landbouw!F8</f>
        <v>10970.581487836364</v>
      </c>
      <c r="G7" s="457">
        <f>landbouw!G8</f>
        <v>0</v>
      </c>
      <c r="H7" s="457">
        <f>landbouw!H8</f>
        <v>0</v>
      </c>
      <c r="I7" s="457">
        <f>landbouw!I8</f>
        <v>0</v>
      </c>
      <c r="J7" s="457">
        <f>landbouw!J8</f>
        <v>228.87788495456311</v>
      </c>
      <c r="K7" s="457">
        <f>landbouw!K8</f>
        <v>0</v>
      </c>
      <c r="L7" s="457">
        <f>landbouw!L8</f>
        <v>0</v>
      </c>
      <c r="M7" s="457">
        <f>landbouw!M8</f>
        <v>0</v>
      </c>
      <c r="N7" s="457">
        <f>landbouw!N8</f>
        <v>0</v>
      </c>
      <c r="O7" s="457">
        <f>landbouw!O8</f>
        <v>0</v>
      </c>
      <c r="P7" s="458">
        <f>landbouw!P8</f>
        <v>0</v>
      </c>
      <c r="Q7" s="456">
        <f t="shared" si="0"/>
        <v>14144.948106686925</v>
      </c>
    </row>
    <row r="8" spans="1:17">
      <c r="A8" s="456" t="s">
        <v>654</v>
      </c>
      <c r="B8" s="457">
        <f>industrie!B18</f>
        <v>21213.888000000003</v>
      </c>
      <c r="C8" s="457">
        <f>industrie!C18</f>
        <v>0</v>
      </c>
      <c r="D8" s="457">
        <f>industrie!D18</f>
        <v>13539.949961999999</v>
      </c>
      <c r="E8" s="457">
        <f>industrie!E18</f>
        <v>302.49187194854773</v>
      </c>
      <c r="F8" s="457">
        <f>industrie!F18</f>
        <v>12272.94647012797</v>
      </c>
      <c r="G8" s="457">
        <f>industrie!G18</f>
        <v>0</v>
      </c>
      <c r="H8" s="457">
        <f>industrie!H18</f>
        <v>0</v>
      </c>
      <c r="I8" s="457">
        <f>industrie!I18</f>
        <v>0</v>
      </c>
      <c r="J8" s="457">
        <f>industrie!J18</f>
        <v>110.02739596059811</v>
      </c>
      <c r="K8" s="457">
        <f>industrie!K18</f>
        <v>0</v>
      </c>
      <c r="L8" s="457">
        <f>industrie!L18</f>
        <v>0</v>
      </c>
      <c r="M8" s="457">
        <f>industrie!M18</f>
        <v>0</v>
      </c>
      <c r="N8" s="457">
        <f>industrie!N18</f>
        <v>1124.4090126620486</v>
      </c>
      <c r="O8" s="457">
        <f>industrie!O18</f>
        <v>0</v>
      </c>
      <c r="P8" s="458">
        <f>industrie!P18</f>
        <v>0</v>
      </c>
      <c r="Q8" s="456">
        <f t="shared" si="0"/>
        <v>48563.712712699176</v>
      </c>
    </row>
    <row r="9" spans="1:17" s="462" customFormat="1">
      <c r="A9" s="460" t="s">
        <v>572</v>
      </c>
      <c r="B9" s="461">
        <f>transport!B14</f>
        <v>1.4350080113892749</v>
      </c>
      <c r="C9" s="461">
        <f>transport!C14</f>
        <v>0</v>
      </c>
      <c r="D9" s="461">
        <f>transport!D14</f>
        <v>7.6711985131801992</v>
      </c>
      <c r="E9" s="461">
        <f>transport!E14</f>
        <v>784.81177299265391</v>
      </c>
      <c r="F9" s="461">
        <f>transport!F14</f>
        <v>0</v>
      </c>
      <c r="G9" s="461">
        <f>transport!G14</f>
        <v>144759.58415827111</v>
      </c>
      <c r="H9" s="461">
        <f>transport!H14</f>
        <v>26423.912651962248</v>
      </c>
      <c r="I9" s="461">
        <f>transport!I14</f>
        <v>0</v>
      </c>
      <c r="J9" s="461">
        <f>transport!J14</f>
        <v>0</v>
      </c>
      <c r="K9" s="461">
        <f>transport!K14</f>
        <v>0</v>
      </c>
      <c r="L9" s="461">
        <f>transport!L14</f>
        <v>0</v>
      </c>
      <c r="M9" s="461">
        <f>transport!M14</f>
        <v>7452.2860367698295</v>
      </c>
      <c r="N9" s="461">
        <f>transport!N14</f>
        <v>0</v>
      </c>
      <c r="O9" s="461">
        <f>transport!O14</f>
        <v>0</v>
      </c>
      <c r="P9" s="461">
        <f>transport!P14</f>
        <v>0</v>
      </c>
      <c r="Q9" s="460">
        <f>SUM(B9:P9)</f>
        <v>179429.70082652042</v>
      </c>
    </row>
    <row r="10" spans="1:17">
      <c r="A10" s="456" t="s">
        <v>562</v>
      </c>
      <c r="B10" s="457">
        <f>transport!B54</f>
        <v>0</v>
      </c>
      <c r="C10" s="457">
        <f>transport!C54</f>
        <v>0</v>
      </c>
      <c r="D10" s="457">
        <f>transport!D54</f>
        <v>0</v>
      </c>
      <c r="E10" s="457">
        <f>transport!E54</f>
        <v>0</v>
      </c>
      <c r="F10" s="457">
        <f>transport!F54</f>
        <v>0</v>
      </c>
      <c r="G10" s="457">
        <f>transport!G54</f>
        <v>5686.7582768843195</v>
      </c>
      <c r="H10" s="457">
        <f>transport!H54</f>
        <v>0</v>
      </c>
      <c r="I10" s="457">
        <f>transport!I54</f>
        <v>0</v>
      </c>
      <c r="J10" s="457">
        <f>transport!J54</f>
        <v>0</v>
      </c>
      <c r="K10" s="457">
        <f>transport!K54</f>
        <v>0</v>
      </c>
      <c r="L10" s="457">
        <f>transport!L54</f>
        <v>0</v>
      </c>
      <c r="M10" s="457">
        <f>transport!M54</f>
        <v>241.82187187221589</v>
      </c>
      <c r="N10" s="457">
        <f>transport!N54</f>
        <v>0</v>
      </c>
      <c r="O10" s="457">
        <f>transport!O54</f>
        <v>0</v>
      </c>
      <c r="P10" s="458">
        <f>transport!P54</f>
        <v>0</v>
      </c>
      <c r="Q10" s="456">
        <f t="shared" si="0"/>
        <v>5928.580148756535</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5555.875</v>
      </c>
      <c r="C14" s="464"/>
      <c r="D14" s="464">
        <f>'SEAP template'!E25</f>
        <v>14411.882</v>
      </c>
      <c r="E14" s="464"/>
      <c r="F14" s="464"/>
      <c r="G14" s="464"/>
      <c r="H14" s="464"/>
      <c r="I14" s="464"/>
      <c r="J14" s="464"/>
      <c r="K14" s="464"/>
      <c r="L14" s="464"/>
      <c r="M14" s="464"/>
      <c r="N14" s="464"/>
      <c r="O14" s="464"/>
      <c r="P14" s="465"/>
      <c r="Q14" s="456">
        <f t="shared" si="0"/>
        <v>19967.756999999998</v>
      </c>
    </row>
    <row r="15" spans="1:17" s="469" customFormat="1">
      <c r="A15" s="466" t="s">
        <v>566</v>
      </c>
      <c r="B15" s="467">
        <f ca="1">SUM(B4:B14)</f>
        <v>134932.22099228512</v>
      </c>
      <c r="C15" s="467">
        <f t="shared" ref="C15:Q15" ca="1" si="1">SUM(C4:C14)</f>
        <v>0</v>
      </c>
      <c r="D15" s="467">
        <f t="shared" ca="1" si="1"/>
        <v>181027.01437251319</v>
      </c>
      <c r="E15" s="467">
        <f t="shared" si="1"/>
        <v>27829.597344684782</v>
      </c>
      <c r="F15" s="467">
        <f t="shared" ca="1" si="1"/>
        <v>122867.70655774085</v>
      </c>
      <c r="G15" s="467">
        <f t="shared" si="1"/>
        <v>150446.34243515544</v>
      </c>
      <c r="H15" s="467">
        <f t="shared" si="1"/>
        <v>26423.912651962248</v>
      </c>
      <c r="I15" s="467">
        <f t="shared" si="1"/>
        <v>0</v>
      </c>
      <c r="J15" s="467">
        <f t="shared" si="1"/>
        <v>6134.0974628468184</v>
      </c>
      <c r="K15" s="467">
        <f t="shared" si="1"/>
        <v>0</v>
      </c>
      <c r="L15" s="467">
        <f t="shared" ca="1" si="1"/>
        <v>0</v>
      </c>
      <c r="M15" s="467">
        <f t="shared" si="1"/>
        <v>7694.107908642045</v>
      </c>
      <c r="N15" s="467">
        <f t="shared" ca="1" si="1"/>
        <v>23545.818335590273</v>
      </c>
      <c r="O15" s="467">
        <f t="shared" si="1"/>
        <v>175.09333333333336</v>
      </c>
      <c r="P15" s="467">
        <f t="shared" si="1"/>
        <v>266.93333333333334</v>
      </c>
      <c r="Q15" s="467">
        <f t="shared" ca="1" si="1"/>
        <v>681342.84472808742</v>
      </c>
    </row>
    <row r="17" spans="1:17">
      <c r="A17" s="470" t="s">
        <v>567</v>
      </c>
      <c r="B17" s="774">
        <f ca="1">huishoudens!B10</f>
        <v>0.20960744700112591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11177.972550525465</v>
      </c>
      <c r="C22" s="457">
        <f t="shared" ref="C22:C32" ca="1" si="3">C4*$C$17</f>
        <v>0</v>
      </c>
      <c r="D22" s="457">
        <f t="shared" ref="D22:D32" si="4">D4*$D$17</f>
        <v>20753.998912548002</v>
      </c>
      <c r="E22" s="457">
        <f t="shared" ref="E22:E32" si="5">E4*$E$17</f>
        <v>5880.4261353310703</v>
      </c>
      <c r="F22" s="457">
        <f t="shared" ref="F22:F32" si="6">F4*$F$17</f>
        <v>24047.800678124058</v>
      </c>
      <c r="G22" s="457">
        <f t="shared" ref="G22:G32" si="7">G4*$G$17</f>
        <v>0</v>
      </c>
      <c r="H22" s="457">
        <f t="shared" ref="H22:H32" si="8">H4*$H$17</f>
        <v>0</v>
      </c>
      <c r="I22" s="457">
        <f t="shared" ref="I22:I32" si="9">I4*$I$17</f>
        <v>0</v>
      </c>
      <c r="J22" s="457">
        <f t="shared" ref="J22:J32" si="10">J4*$J$17</f>
        <v>2051.4980324038065</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63911.696308932398</v>
      </c>
    </row>
    <row r="23" spans="1:17">
      <c r="A23" s="456" t="s">
        <v>155</v>
      </c>
      <c r="B23" s="457">
        <f t="shared" ca="1" si="2"/>
        <v>10535.351335367455</v>
      </c>
      <c r="C23" s="457">
        <f t="shared" ca="1" si="3"/>
        <v>0</v>
      </c>
      <c r="D23" s="457">
        <f t="shared" ca="1" si="4"/>
        <v>10093.749399668002</v>
      </c>
      <c r="E23" s="457">
        <f t="shared" si="5"/>
        <v>183.98234712433148</v>
      </c>
      <c r="F23" s="457">
        <f t="shared" ca="1" si="6"/>
        <v>2551.8550080162772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23364.938090176067</v>
      </c>
    </row>
    <row r="24" spans="1:17">
      <c r="A24" s="456" t="s">
        <v>193</v>
      </c>
      <c r="B24" s="457">
        <f t="shared" ca="1" si="2"/>
        <v>420.85737795695263</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420.85737795695263</v>
      </c>
    </row>
    <row r="25" spans="1:17">
      <c r="A25" s="456" t="s">
        <v>111</v>
      </c>
      <c r="B25" s="457">
        <f t="shared" ca="1" si="2"/>
        <v>537.17462891384037</v>
      </c>
      <c r="C25" s="457">
        <f t="shared" ca="1" si="3"/>
        <v>0</v>
      </c>
      <c r="D25" s="457">
        <f t="shared" si="4"/>
        <v>71.888952608000011</v>
      </c>
      <c r="E25" s="457">
        <f t="shared" si="5"/>
        <v>6.0921873863913723</v>
      </c>
      <c r="F25" s="457">
        <f t="shared" si="6"/>
        <v>2929.1452572523094</v>
      </c>
      <c r="G25" s="457">
        <f t="shared" si="7"/>
        <v>0</v>
      </c>
      <c r="H25" s="457">
        <f t="shared" si="8"/>
        <v>0</v>
      </c>
      <c r="I25" s="457">
        <f t="shared" si="9"/>
        <v>0</v>
      </c>
      <c r="J25" s="457">
        <f t="shared" si="10"/>
        <v>81.022771273915339</v>
      </c>
      <c r="K25" s="457">
        <f t="shared" si="11"/>
        <v>0</v>
      </c>
      <c r="L25" s="457">
        <f t="shared" si="12"/>
        <v>0</v>
      </c>
      <c r="M25" s="457">
        <f t="shared" si="13"/>
        <v>0</v>
      </c>
      <c r="N25" s="457">
        <f t="shared" si="14"/>
        <v>0</v>
      </c>
      <c r="O25" s="457">
        <f t="shared" si="15"/>
        <v>0</v>
      </c>
      <c r="P25" s="458">
        <f t="shared" si="16"/>
        <v>0</v>
      </c>
      <c r="Q25" s="456">
        <f t="shared" ca="1" si="17"/>
        <v>3625.3237974344565</v>
      </c>
    </row>
    <row r="26" spans="1:17">
      <c r="A26" s="456" t="s">
        <v>654</v>
      </c>
      <c r="B26" s="457">
        <f t="shared" ca="1" si="2"/>
        <v>4446.5889046478214</v>
      </c>
      <c r="C26" s="457">
        <f t="shared" ca="1" si="3"/>
        <v>0</v>
      </c>
      <c r="D26" s="457">
        <f t="shared" si="4"/>
        <v>2735.0698923239997</v>
      </c>
      <c r="E26" s="457">
        <f t="shared" si="5"/>
        <v>68.665654932320336</v>
      </c>
      <c r="F26" s="457">
        <f t="shared" si="6"/>
        <v>3276.8767075241681</v>
      </c>
      <c r="G26" s="457">
        <f t="shared" si="7"/>
        <v>0</v>
      </c>
      <c r="H26" s="457">
        <f t="shared" si="8"/>
        <v>0</v>
      </c>
      <c r="I26" s="457">
        <f t="shared" si="9"/>
        <v>0</v>
      </c>
      <c r="J26" s="457">
        <f t="shared" si="10"/>
        <v>38.949698170051732</v>
      </c>
      <c r="K26" s="457">
        <f t="shared" si="11"/>
        <v>0</v>
      </c>
      <c r="L26" s="457">
        <f t="shared" si="12"/>
        <v>0</v>
      </c>
      <c r="M26" s="457">
        <f t="shared" si="13"/>
        <v>0</v>
      </c>
      <c r="N26" s="457">
        <f t="shared" si="14"/>
        <v>0</v>
      </c>
      <c r="O26" s="457">
        <f t="shared" si="15"/>
        <v>0</v>
      </c>
      <c r="P26" s="458">
        <f t="shared" si="16"/>
        <v>0</v>
      </c>
      <c r="Q26" s="456">
        <f t="shared" ca="1" si="17"/>
        <v>10566.150857598363</v>
      </c>
    </row>
    <row r="27" spans="1:17" s="462" customFormat="1">
      <c r="A27" s="460" t="s">
        <v>572</v>
      </c>
      <c r="B27" s="768">
        <f t="shared" ca="1" si="2"/>
        <v>0.30078836569346851</v>
      </c>
      <c r="C27" s="461">
        <f t="shared" ca="1" si="3"/>
        <v>0</v>
      </c>
      <c r="D27" s="461">
        <f t="shared" si="4"/>
        <v>1.5495820996624003</v>
      </c>
      <c r="E27" s="461">
        <f t="shared" si="5"/>
        <v>178.15227246933244</v>
      </c>
      <c r="F27" s="461">
        <f t="shared" si="6"/>
        <v>0</v>
      </c>
      <c r="G27" s="461">
        <f t="shared" si="7"/>
        <v>38650.808970258389</v>
      </c>
      <c r="H27" s="461">
        <f t="shared" si="8"/>
        <v>6579.5542503385996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45410.365863531682</v>
      </c>
    </row>
    <row r="28" spans="1:17">
      <c r="A28" s="456" t="s">
        <v>562</v>
      </c>
      <c r="B28" s="457">
        <f t="shared" ca="1" si="2"/>
        <v>0</v>
      </c>
      <c r="C28" s="457">
        <f t="shared" ca="1" si="3"/>
        <v>0</v>
      </c>
      <c r="D28" s="457">
        <f t="shared" si="4"/>
        <v>0</v>
      </c>
      <c r="E28" s="457">
        <f t="shared" si="5"/>
        <v>0</v>
      </c>
      <c r="F28" s="457">
        <f t="shared" si="6"/>
        <v>0</v>
      </c>
      <c r="G28" s="457">
        <f t="shared" si="7"/>
        <v>1518.3644599281133</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1518.3644599281133</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1164.5527746073803</v>
      </c>
      <c r="C32" s="457">
        <f t="shared" ca="1" si="3"/>
        <v>0</v>
      </c>
      <c r="D32" s="457">
        <f t="shared" si="4"/>
        <v>2911.2001640000003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4075.7529386073807</v>
      </c>
    </row>
    <row r="33" spans="1:17" s="469" customFormat="1">
      <c r="A33" s="466" t="s">
        <v>566</v>
      </c>
      <c r="B33" s="467">
        <f ca="1">SUM(B22:B32)</f>
        <v>28282.798360384608</v>
      </c>
      <c r="C33" s="467">
        <f t="shared" ref="C33:Q33" ca="1" si="19">SUM(C22:C32)</f>
        <v>0</v>
      </c>
      <c r="D33" s="467">
        <f t="shared" ca="1" si="19"/>
        <v>36567.456903247672</v>
      </c>
      <c r="E33" s="467">
        <f t="shared" si="19"/>
        <v>6317.3185972434467</v>
      </c>
      <c r="F33" s="467">
        <f t="shared" ca="1" si="19"/>
        <v>32805.677650916812</v>
      </c>
      <c r="G33" s="467">
        <f t="shared" si="19"/>
        <v>40169.1734301865</v>
      </c>
      <c r="H33" s="467">
        <f t="shared" si="19"/>
        <v>6579.5542503385996</v>
      </c>
      <c r="I33" s="467">
        <f t="shared" si="19"/>
        <v>0</v>
      </c>
      <c r="J33" s="467">
        <f t="shared" si="19"/>
        <v>2171.4705018477734</v>
      </c>
      <c r="K33" s="467">
        <f t="shared" si="19"/>
        <v>0</v>
      </c>
      <c r="L33" s="467">
        <f t="shared" ca="1" si="19"/>
        <v>0</v>
      </c>
      <c r="M33" s="467">
        <f t="shared" si="19"/>
        <v>0</v>
      </c>
      <c r="N33" s="467">
        <f t="shared" ca="1" si="19"/>
        <v>0</v>
      </c>
      <c r="O33" s="467">
        <f t="shared" si="19"/>
        <v>0</v>
      </c>
      <c r="P33" s="467">
        <f t="shared" si="19"/>
        <v>0</v>
      </c>
      <c r="Q33" s="467">
        <f t="shared" ca="1" si="19"/>
        <v>152893.44969416544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1</v>
      </c>
      <c r="C5" s="1018"/>
      <c r="D5" s="1018"/>
      <c r="E5" s="1018"/>
      <c r="F5" s="1018"/>
      <c r="G5" s="1018"/>
      <c r="H5" s="1018"/>
      <c r="I5" s="1018"/>
      <c r="J5" s="1018"/>
      <c r="K5" s="1018"/>
      <c r="L5" s="1018"/>
      <c r="M5" s="1018"/>
      <c r="N5" s="1018"/>
      <c r="O5" s="1018"/>
      <c r="P5" s="1019">
        <f>'SEAP template'!Q73</f>
        <v>0</v>
      </c>
    </row>
    <row r="6" spans="1:16">
      <c r="A6" s="1020" t="s">
        <v>250</v>
      </c>
      <c r="B6" s="1018">
        <f>'SEAP template'!B74</f>
        <v>6954.7578231239813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6955.7578231239813</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0.20960744700112591</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0.20960744700112591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2020-06-20T16:45:19Z</dcterms:modified>
</cp:coreProperties>
</file>