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D20" i="18" s="1"/>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Q87" i="14" s="1"/>
  <c r="I8" i="18"/>
  <c r="I10" i="18" s="1"/>
  <c r="H10" i="18"/>
  <c r="M76" i="14"/>
  <c r="E10" i="18"/>
  <c r="F76" i="14"/>
  <c r="O17" i="18"/>
  <c r="O20" i="18" s="1"/>
  <c r="P9" i="55"/>
  <c r="I76" i="14"/>
  <c r="I8" i="55" s="1"/>
  <c r="I10" i="55" s="1"/>
  <c r="I20" i="18"/>
  <c r="I87" i="14"/>
  <c r="I17" i="55" s="1"/>
  <c r="I20" i="55" s="1"/>
  <c r="O8" i="18"/>
  <c r="O10" i="18" s="1"/>
  <c r="J10" i="18"/>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B4" i="48"/>
  <c r="C11" i="14"/>
  <c r="B11" i="16"/>
  <c r="C18" i="16"/>
  <c r="D4" i="48"/>
  <c r="D22" i="48" s="1"/>
  <c r="E11" i="14"/>
  <c r="O4" i="48"/>
  <c r="O22" i="48" s="1"/>
  <c r="P11" i="14"/>
  <c r="B8" i="9"/>
  <c r="B6" i="48" s="1"/>
  <c r="Q6" i="48" s="1"/>
  <c r="P4" i="48"/>
  <c r="P22" i="48" s="1"/>
  <c r="Q11" i="14"/>
  <c r="Q10" i="14"/>
  <c r="P5" i="48"/>
  <c r="C19" i="14"/>
  <c r="B10" i="48"/>
  <c r="H12" i="22"/>
  <c r="I18" i="14"/>
  <c r="H13" i="48"/>
  <c r="H31" i="48" s="1"/>
  <c r="C8" i="48"/>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B48" i="13" s="1"/>
  <c r="C48" i="13" s="1"/>
  <c r="N5" i="13" s="1"/>
  <c r="N8" i="13" s="1"/>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B47" i="13"/>
  <c r="N12" i="16"/>
  <c r="J12" i="16"/>
  <c r="F12" i="16"/>
  <c r="E12" i="16"/>
  <c r="C50" i="13"/>
  <c r="J5" i="13" s="1"/>
  <c r="J8" i="13" s="1"/>
  <c r="P46" i="14" l="1"/>
  <c r="P61" i="14" s="1"/>
  <c r="Q63" i="14"/>
  <c r="P13" i="14"/>
  <c r="P16" i="14" s="1"/>
  <c r="P27" i="14" s="1"/>
  <c r="O8" i="48"/>
  <c r="O26" i="48"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R11" i="14" l="1"/>
  <c r="P63" i="14"/>
  <c r="H22" i="14"/>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<sst xmlns="http://schemas.openxmlformats.org/spreadsheetml/2006/main" count="2522" uniqueCount="977">
  <si>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</si>
  <si>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</si>
  <si>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</si>
  <si>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</si>
  <si>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</si>
  <si>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</si>
  <si>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</si>
  <si>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</si>
  <si>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</si>
  <si>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</si>
  <si>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</si>
  <si>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</si>
  <si>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</si>
  <si>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</si>
  <si>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</si>
  <si>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</si>
  <si>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</si>
  <si>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</si>
  <si>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</si>
  <si>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</si>
  <si>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</si>
  <si>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</si>
  <si>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</si>
  <si>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</si>
  <si>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</si>
  <si>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</si>
  <si>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</si>
  <si>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</si>
  <si>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</si>
  <si>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</si>
  <si>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</si>
  <si>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</si>
  <si>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</si>
  <si>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</si>
  <si>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</si>
  <si>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</si>
  <si>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</si>
  <si>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</si>
  <si>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</si>
  <si>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</si>
  <si>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</si>
  <si>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</si>
  <si>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</si>
  <si>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</si>
  <si>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</si>
  <si>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</si>
  <si>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</si>
  <si>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</si>
  <si>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</si>
  <si>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</si>
  <si>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</si>
  <si>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</si>
  <si>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</si>
  <si>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</si>
  <si>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</si>
  <si>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</si>
  <si>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</si>
  <si>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</si>
  <si>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</si>
  <si>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</si>
  <si>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</si>
  <si>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</si>
  <si>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</si>
  <si>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</si>
  <si>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</si>
  <si>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</si>
  <si>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</si>
  <si>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</si>
  <si>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</si>
  <si>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</si>
  <si>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</si>
  <si>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</si>
  <si>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</si>
  <si>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</si>
  <si>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</si>
  <si>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</si>
  <si>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</si>
  <si>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</si>
  <si>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</si>
  <si>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</si>
  <si>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</si>
  <si>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</si>
  <si>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</si>
  <si>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</si>
  <si>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</si>
  <si>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</si>
  <si>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</si>
  <si>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</si>
  <si>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</si>
  <si>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</si>
  <si>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</si>
  <si>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</si>
  <si>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</si>
  <si>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</si>
  <si>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</si>
  <si>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</si>
  <si>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</si>
  <si>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</si>
  <si>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</si>
  <si>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</si>
  <si>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</si>
  <si>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</si>
  <si>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</si>
  <si>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</si>
  <si>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</si>
  <si>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</si>
  <si>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</si>
  <si>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</si>
  <si>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</si>
  <si>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</si>
  <si>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</si>
  <si>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</si>
  <si>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</si>
  <si>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</si>
  <si>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</si>
  <si>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</si>
  <si>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</si>
  <si>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</si>
  <si>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</si>
  <si>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</si>
  <si>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</si>
  <si>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</si>
  <si>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</si>
  <si>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</si>
  <si>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</si>
  <si>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</si>
  <si>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</si>
  <si>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</si>
  <si>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</si>
  <si>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</si>
  <si>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</si>
  <si>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</si>
  <si>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</si>
  <si>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</si>
  <si>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</si>
  <si>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</si>
  <si>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</si>
  <si>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</si>
  <si>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</si>
  <si>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</si>
  <si>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</si>
  <si>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</si>
  <si>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</si>
  <si>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</si>
  <si>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</si>
  <si>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</si>
  <si>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</si>
  <si>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</si>
  <si>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</si>
  <si>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</si>
  <si>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</si>
  <si>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</si>
  <si>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</si>
  <si>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</si>
  <si>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</si>
  <si>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</si>
  <si>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</si>
  <si>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</si>
  <si>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</si>
  <si>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</si>
  <si>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</si>
  <si>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</si>
  <si>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</si>
  <si>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</si>
  <si>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</si>
  <si>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</si>
  <si>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</si>
  <si>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</si>
  <si>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</si>
  <si>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</si>
  <si>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</si>
  <si>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</si>
  <si>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</si>
  <si>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</si>
  <si>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</si>
  <si>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</si>
  <si>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</si>
  <si>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</si>
  <si>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</si>
  <si>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</si>
  <si>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</si>
  <si>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</si>
  <si>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</si>
  <si>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</si>
  <si>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</si>
  <si>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</si>
  <si>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</si>
  <si>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</si>
  <si>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</si>
  <si>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</si>
  <si>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</si>
  <si>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</si>
  <si>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</si>
  <si>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</si>
  <si>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</si>
  <si>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</si>
  <si>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</si>
  <si>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</si>
  <si>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</si>
  <si>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</si>
  <si>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</si>
  <si>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</si>
  <si>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</si>
  <si>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</si>
  <si>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</si>
  <si>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</si>
  <si>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</si>
  <si>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</si>
  <si>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</si>
  <si>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</si>
  <si>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</si>
  <si>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</si>
  <si>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</si>
  <si>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</si>
  <si>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</si>
  <si>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</si>
  <si>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</si>
  <si>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</si>
  <si>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</si>
  <si>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</si>
  <si>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</si>
  <si>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</si>
  <si>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</si>
  <si>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</si>
  <si>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</si>
  <si>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</si>
  <si>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</si>
  <si>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</si>
  <si>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</si>
  <si>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</si>
  <si>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</si>
  <si>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</si>
  <si>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</si>
  <si>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</si>
  <si>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</si>
  <si>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</si>
  <si>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</si>
  <si>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</si>
  <si>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</si>
  <si>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</si>
  <si>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</si>
  <si>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</si>
  <si>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</si>
  <si>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</si>
  <si>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</si>
  <si>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</si>
  <si>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</si>
  <si>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</si>
  <si>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</si>
  <si>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</si>
  <si>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</si>
  <si>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</si>
  <si>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</si>
  <si>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</si>
  <si>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</si>
  <si>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</si>
  <si>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</si>
  <si>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</si>
  <si>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</si>
  <si>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</si>
  <si>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</si>
  <si>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</si>
  <si>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</si>
  <si>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</si>
  <si>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</si>
  <si>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</si>
  <si>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</si>
  <si>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</si>
  <si>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</si>
  <si>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</si>
  <si>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</si>
  <si>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</si>
  <si>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</si>
  <si>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</si>
  <si>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</si>
  <si>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</si>
  <si>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</si>
  <si>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</si>
  <si>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</si>
  <si>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</si>
  <si>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</si>
  <si>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</si>
  <si>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</si>
  <si>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</si>
  <si>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</si>
  <si>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</si>
  <si>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</si>
  <si>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</si>
  <si>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</si>
  <si>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</si>
  <si>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</si>
  <si>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</si>
  <si>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</si>
  <si>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</si>
  <si>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</si>
  <si>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</si>
  <si>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</si>
  <si>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</si>
  <si>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</si>
  <si>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</si>
  <si>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</si>
  <si>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</si>
  <si>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</si>
  <si>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</si>
  <si>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</si>
  <si>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</si>
  <si>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</si>
  <si>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</si>
  <si>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</si>
  <si>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</si>
  <si>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</si>
  <si>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</si>
  <si>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</si>
  <si>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</si>
  <si>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</si>
  <si>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</si>
  <si>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</si>
  <si>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</si>
  <si>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</si>
  <si>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</si>
  <si>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</si>
  <si>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</si>
  <si>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</si>
  <si>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</si>
  <si>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</si>
  <si>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</si>
  <si>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</si>
  <si>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</si>
  <si>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</si>
  <si>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</si>
  <si>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</si>
  <si>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</si>
  <si>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</si>
  <si>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</si>
  <si>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</si>
  <si>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</si>
  <si>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</si>
  <si>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</si>
  <si>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</si>
  <si>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</si>
  <si>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</si>
  <si>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</si>
  <si>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</si>
  <si>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</si>
  <si>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</si>
  <si>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</si>
  <si>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</si>
  <si>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</si>
  <si>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</si>
  <si>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</si>
  <si>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</si>
  <si>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</si>
  <si>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</si>
  <si>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</si>
  <si>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</si>
  <si>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</si>
  <si>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</si>
  <si>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</si>
  <si>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</si>
  <si>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</si>
  <si>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</si>
  <si>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</si>
  <si>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</si>
  <si>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</si>
  <si>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</si>
  <si>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</si>
  <si>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</si>
  <si>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</si>
  <si>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</si>
  <si>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</si>
  <si>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</si>
  <si>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</si>
  <si>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</si>
  <si>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</si>
  <si>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</si>
  <si>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</si>
  <si>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</si>
  <si>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</si>
  <si>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</si>
  <si>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</si>
  <si>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</si>
  <si>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</si>
  <si>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</si>
  <si>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</si>
  <si>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</si>
  <si>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</si>
  <si>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</si>
  <si>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</si>
  <si>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</si>
  <si>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</si>
  <si>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</si>
  <si>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</si>
  <si>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</si>
  <si>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</si>
  <si>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</si>
  <si>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</si>
  <si>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</si>
  <si>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</si>
  <si>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</si>
  <si>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</si>
  <si>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</si>
  <si>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</si>
  <si>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</si>
  <si>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</si>
  <si>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</si>
  <si>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</si>
  <si>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</si>
  <si>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</si>
  <si>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</si>
  <si>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</si>
  <si>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</si>
  <si>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</si>
  <si>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</si>
  <si>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</si>
  <si>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</si>
  <si>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</si>
  <si>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</si>
  <si>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</si>
  <si>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</si>
  <si>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</si>
  <si>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</si>
  <si>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</si>
  <si>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</si>
  <si>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</si>
  <si>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</si>
  <si>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</si>
  <si>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</si>
  <si>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</si>
  <si>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</si>
  <si>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</si>
  <si>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</si>
  <si>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</si>
  <si>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</si>
  <si>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</si>
  <si>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</si>
  <si>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</si>
  <si>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</si>
  <si>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</si>
  <si>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</si>
  <si>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</si>
  <si>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</si>
  <si>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</si>
  <si>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</si>
  <si>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</si>
  <si>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</si>
  <si>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</si>
  <si>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</si>
  <si>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</si>
  <si>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</si>
  <si>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</si>
  <si>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</si>
  <si>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</si>
  <si>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</si>
  <si>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</si>
  <si>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</si>
  <si>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</si>
  <si>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</si>
  <si>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</si>
  <si>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</si>
  <si>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</si>
  <si>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</si>
  <si>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</si>
  <si>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</si>
  <si>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</si>
  <si>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</si>
  <si>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</si>
  <si>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</si>
  <si>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</si>
  <si>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</si>
  <si>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</si>
  <si>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</si>
  <si>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</si>
  <si>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</si>
  <si>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</si>
  <si>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</si>
  <si>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</si>
  <si>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</si>
  <si>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</si>
  <si>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</si>
  <si>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</si>
  <si>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</si>
  <si>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</si>
  <si>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</si>
  <si>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</si>
  <si>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</si>
  <si>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</si>
  <si>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</si>
  <si>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</si>
  <si>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</si>
  <si>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</si>
  <si>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</si>
  <si>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</si>
  <si>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</si>
  <si>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</si>
  <si>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</si>
  <si>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</si>
  <si>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</si>
  <si>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</si>
  <si>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</si>
  <si>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</si>
  <si>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</si>
  <si>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</si>
  <si>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</si>
  <si>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</si>
  <si>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</si>
  <si>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</si>
  <si>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</si>
  <si>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</si>
  <si>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</si>
  <si>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</si>
  <si>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</si>
  <si>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</si>
  <si>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</si>
  <si>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</si>
  <si>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</si>
  <si>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</si>
  <si>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</si>
  <si>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</si>
  <si>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</si>
  <si>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</si>
  <si>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</si>
  <si>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</si>
  <si>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</si>
  <si>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</si>
  <si>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</si>
  <si>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</si>
  <si>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</si>
  <si>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</si>
  <si>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</si>
  <si>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</si>
  <si>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</si>
  <si>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</si>
  <si>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</si>
  <si>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</si>
  <si>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</si>
  <si>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</si>
  <si>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</si>
  <si>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</si>
  <si>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</si>
  <si>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</si>
  <si>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</si>
  <si>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</si>
  <si>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</si>
  <si>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</si>
  <si>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</si>
  <si>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</si>
  <si>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</si>
  <si>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</si>
  <si>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</si>
  <si>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</si>
  <si>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</si>
  <si>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</si>
  <si>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</si>
  <si>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</si>
  <si>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</si>
  <si>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</si>
  <si>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</si>
  <si>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</si>
  <si>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</si>
  <si>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</si>
  <si>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</si>
  <si>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</si>
  <si>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</si>
  <si>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</si>
  <si>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</si>
  <si>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</si>
  <si>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</si>
  <si>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</si>
  <si>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</si>
  <si>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</si>
  <si>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</si>
  <si>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</si>
  <si>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</si>
  <si>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</si>
  <si>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</si>
  <si>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</si>
  <si>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</si>
  <si>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</si>
  <si>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</si>
  <si>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</si>
  <si>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</si>
  <si>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</si>
  <si>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</si>
  <si>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</si>
  <si>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</si>
  <si>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</si>
  <si>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</si>
  <si>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</si>
  <si>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</si>
  <si>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</si>
  <si>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</si>
  <si>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</si>
  <si>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</si>
  <si>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</si>
  <si>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</si>
  <si>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</si>
  <si>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</si>
  <si>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</si>
  <si>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</si>
  <si>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</si>
  <si>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</si>
  <si>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</si>
  <si>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</si>
  <si>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</si>
  <si>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</si>
  <si>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</si>
  <si>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</si>
  <si>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</si>
  <si>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</si>
  <si>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</si>
  <si>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</si>
  <si>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</si>
  <si>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</si>
  <si>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</si>
  <si>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</si>
  <si>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</si>
  <si>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</si>
  <si>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</si>
  <si>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</si>
  <si>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</si>
  <si>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</si>
  <si>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</si>
  <si>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</si>
  <si>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</si>
  <si>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</si>
  <si>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</si>
  <si>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</si>
  <si>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</si>
  <si>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</si>
  <si>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</si>
  <si>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</si>
  <si>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</si>
  <si>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</si>
  <si>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</si>
  <si>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</si>
  <si>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</si>
  <si>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</si>
  <si>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</si>
  <si>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</si>
  <si>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</si>
  <si>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</si>
  <si>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</si>
  <si>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</si>
  <si>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</si>
  <si>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</si>
  <si>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</si>
  <si>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</si>
  <si>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</si>
  <si>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</si>
  <si>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</si>
  <si>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</si>
  <si>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</si>
  <si>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</si>
  <si>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</si>
  <si>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</si>
  <si>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</si>
  <si>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</si>
  <si>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</si>
  <si>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</si>
  <si>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</si>
  <si>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</si>
  <si>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</si>
  <si>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</si>
  <si>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</si>
  <si>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</si>
  <si>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</si>
  <si>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</si>
  <si>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</si>
  <si>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</si>
  <si>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</si>
  <si>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</si>
  <si>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</si>
  <si>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</si>
  <si>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</si>
  <si>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</si>
  <si>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</si>
  <si>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</si>
  <si>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</si>
  <si>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</si>
  <si>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</si>
  <si>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</si>
  <si>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</si>
  <si>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</si>
  <si>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</si>
  <si>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</si>
  <si>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</si>
  <si>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</si>
  <si>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</si>
  <si>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</si>
  <si>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</si>
  <si>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</si>
  <si>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</si>
  <si>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</si>
  <si>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</si>
  <si>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</si>
  <si>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</si>
  <si>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</si>
  <si>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</si>
  <si>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</si>
  <si>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</si>
  <si>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</si>
  <si>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</si>
  <si>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</si>
  <si>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</si>
  <si>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</si>
  <si>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</si>
  <si>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</si>
  <si>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</si>
  <si>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</si>
  <si>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</si>
  <si>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</si>
  <si>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</si>
  <si>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</si>
  <si>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</si>
  <si>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</si>
  <si>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</si>
  <si>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</si>
  <si>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</si>
  <si>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</si>
  <si>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</si>
  <si>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</si>
  <si>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</si>
  <si>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</si>
  <si>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</si>
  <si>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</si>
  <si>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</si>
  <si>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</si>
  <si>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</si>
  <si>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</si>
  <si>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</si>
  <si>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</si>
  <si>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</si>
  <si>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</si>
  <si>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</si>
  <si>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</si>
  <si>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</si>
  <si>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</si>
  <si>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</si>
  <si>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</si>
  <si>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</si>
  <si>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</si>
  <si>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</si>
  <si>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</si>
  <si>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</si>
  <si>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</si>
  <si>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</si>
  <si>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</si>
  <si>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</si>
  <si>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</si>
  <si>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</si>
  <si>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</si>
  <si>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</si>
  <si>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</si>
  <si>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</si>
  <si>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</si>
  <si>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</si>
  <si>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</si>
  <si>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</si>
  <si>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</si>
  <si>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</si>
  <si>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</si>
  <si>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</si>
  <si>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</si>
  <si>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</si>
  <si>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</si>
  <si>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</si>
  <si>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</si>
  <si>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</si>
  <si>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</si>
  <si>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</si>
  <si>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</si>
  <si>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</si>
  <si>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</si>
  <si>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</si>
  <si>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</si>
  <si>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</si>
  <si>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</si>
  <si>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</si>
  <si>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</si>
  <si>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</si>
  <si>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</si>
  <si>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</si>
  <si>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</si>
  <si>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</si>
  <si>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</si>
  <si>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</si>
  <si>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</si>
  <si>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</si>
  <si>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</si>
  <si>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</si>
  <si>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</si>
  <si>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</si>
  <si>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</si>
  <si>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</si>
  <si>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</si>
  <si>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</si>
  <si>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</si>
  <si>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</si>
  <si>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</si>
  <si>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</si>
  <si>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</si>
  <si>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</si>
  <si>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</si>
  <si>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</si>
  <si>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</si>
  <si>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</si>
  <si>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</si>
  <si>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</si>
  <si>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</si>
  <si>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</si>
  <si>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</si>
  <si>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</si>
  <si>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</si>
  <si>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</si>
  <si>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</si>
  <si>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</si>
  <si>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</si>
  <si>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</si>
  <si>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</si>
  <si>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</si>
  <si>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</si>
  <si>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</si>
  <si>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</si>
  <si>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</si>
  <si>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</si>
  <si>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</si>
  <si>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</si>
  <si>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</si>
  <si>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</si>
  <si>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</si>
  <si>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</si>
  <si>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</si>
  <si>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</si>
  <si>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</si>
  <si>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</si>
  <si>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</si>
  <si>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</si>
  <si>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</si>
  <si>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</si>
  <si>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</si>
  <si>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</si>
  <si>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</si>
  <si>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</si>
  <si>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</si>
  <si>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</si>
  <si>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</si>
  <si>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</si>
  <si>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</si>
  <si>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</si>
  <si>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</si>
  <si>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</si>
  <si>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</si>
  <si>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</si>
  <si>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</si>
  <si>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</si>
  <si>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</si>
  <si>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</si>
  <si>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</si>
  <si>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</si>
  <si>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</si>
  <si>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</si>
  <si>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</si>
  <si>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</si>
  <si>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</si>
  <si>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</si>
  <si>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</si>
  <si>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</si>
  <si>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</si>
  <si>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</si>
  <si>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</si>
  <si>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</si>
  <si>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</si>
  <si>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</si>
  <si>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</si>
  <si>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</si>
  <si>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</si>
  <si>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</si>
  <si>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</si>
  <si>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</si>
  <si>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</si>
  <si>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</si>
  <si>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</si>
  <si>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</si>
  <si>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</si>
  <si>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</si>
  <si>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</si>
  <si>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</si>
  <si>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</si>
  <si>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</si>
  <si>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</si>
  <si>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</si>
  <si>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</si>
  <si>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</si>
  <si>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</si>
  <si>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</si>
  <si>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</si>
  <si>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</si>
  <si>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</si>
  <si>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</si>
  <si>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</si>
  <si>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</si>
  <si>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</si>
  <si>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</si>
  <si>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</si>
  <si>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</si>
  <si>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</si>
  <si>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</si>
  <si>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</si>
  <si>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</si>
  <si>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</si>
  <si>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</si>
  <si>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</si>
  <si>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</si>
  <si>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</si>
  <si>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</si>
  <si>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</si>
  <si>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</si>
  <si>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</si>
  <si>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</si>
  <si>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</si>
  <si>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</si>
  <si>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</si>
  <si>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</si>
  <si>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</si>
  <si>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</si>
  <si>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</si>
  <si>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</si>
  <si>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</si>
  <si>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</si>
  <si>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</si>
  <si>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</si>
  <si>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</si>
  <si>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</si>
  <si>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</si>
  <si>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</si>
  <si>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</si>
  <si>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</si>
  <si>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</si>
  <si>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</si>
  <si>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</si>
  <si>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</si>
  <si>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</si>
  <si>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</si>
  <si>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</si>
  <si>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</si>
  <si>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</si>
  <si>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</si>
  <si>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</si>
  <si>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</si>
  <si>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</si>
  <si>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</si>
  <si>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</si>
  <si>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</si>
  <si>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</si>
  <si>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</si>
  <si>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</si>
  <si>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</si>
  <si>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</si>
  <si>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</si>
  <si>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</si>
  <si>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</si>
  <si>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</si>
  <si>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</si>
  <si>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</si>
  <si>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71057</t>
  </si>
  <si>
    <t>TESSENDERLO</t>
  </si>
  <si>
    <t>Paarden&amp;pony's 200 - 600 kg</t>
  </si>
  <si>
    <t>Paarden&amp;pony's &lt; 200 kg</t>
  </si>
  <si>
    <t>Fluvius</t>
  </si>
  <si>
    <t xml:space="preserve">Bron: </t>
  </si>
  <si>
    <t>referentietaak LNE (2017); Jaarverslag De Lijn</t>
  </si>
  <si>
    <t>De Crock</t>
  </si>
  <si>
    <t>Rodeheide 86, 3980 Tessenderlo</t>
  </si>
  <si>
    <t>WKK-0054 De Crock</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</si>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</sst>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71057</v>
      </c>
      <c r="B6" s="394"/>
      <c r="C6" s="395"/>
    </row>
    <row r="7" spans="1:7" s="392" customFormat="1" ht="15.75" customHeight="1">
      <c r="A7" s="396" t="str">
        <f>txtMunicipality</f>
        <v>TESSENDERLO</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23541.663999999997</v>
      </c>
      <c r="D10" s="684">
        <f ca="1">tertiair!C16</f>
        <v>34.071428571428577</v>
      </c>
      <c r="E10" s="684">
        <f ca="1">tertiair!D16</f>
        <v>16131.761808857143</v>
      </c>
      <c r="F10" s="684">
        <f>tertiair!E16</f>
        <v>396.14994107881046</v>
      </c>
      <c r="G10" s="684">
        <f ca="1">tertiair!F16</f>
        <v>4082.0948512844593</v>
      </c>
      <c r="H10" s="684">
        <f>tertiair!G16</f>
        <v>0</v>
      </c>
      <c r="I10" s="684">
        <f>tertiair!H16</f>
        <v>0</v>
      </c>
      <c r="J10" s="684">
        <f>tertiair!I16</f>
        <v>0</v>
      </c>
      <c r="K10" s="684">
        <f>tertiair!J16</f>
        <v>0</v>
      </c>
      <c r="L10" s="684">
        <f>tertiair!K16</f>
        <v>0</v>
      </c>
      <c r="M10" s="684">
        <f ca="1">tertiair!L16</f>
        <v>0</v>
      </c>
      <c r="N10" s="684">
        <f>tertiair!M16</f>
        <v>0</v>
      </c>
      <c r="O10" s="684">
        <f ca="1">tertiair!N16</f>
        <v>863.60681032526395</v>
      </c>
      <c r="P10" s="684">
        <f>tertiair!O16</f>
        <v>0</v>
      </c>
      <c r="Q10" s="685">
        <f>tertiair!P16</f>
        <v>0</v>
      </c>
      <c r="R10" s="687">
        <f ca="1">SUM(C10:Q10)</f>
        <v>45049.348840117105</v>
      </c>
      <c r="S10" s="67"/>
    </row>
    <row r="11" spans="1:19" s="453" customFormat="1">
      <c r="A11" s="799" t="s">
        <v>224</v>
      </c>
      <c r="B11" s="804"/>
      <c r="C11" s="684">
        <f>huishoudens!B8</f>
        <v>34329.807835034539</v>
      </c>
      <c r="D11" s="684">
        <f>huishoudens!C8</f>
        <v>0</v>
      </c>
      <c r="E11" s="684">
        <f>huishoudens!D8</f>
        <v>46231.954978000002</v>
      </c>
      <c r="F11" s="684">
        <f>huishoudens!E8</f>
        <v>17355.333655504561</v>
      </c>
      <c r="G11" s="684">
        <f>huishoudens!F8</f>
        <v>57804.96117981377</v>
      </c>
      <c r="H11" s="684">
        <f>huishoudens!G8</f>
        <v>0</v>
      </c>
      <c r="I11" s="684">
        <f>huishoudens!H8</f>
        <v>0</v>
      </c>
      <c r="J11" s="684">
        <f>huishoudens!I8</f>
        <v>0</v>
      </c>
      <c r="K11" s="684">
        <f>huishoudens!J8</f>
        <v>0</v>
      </c>
      <c r="L11" s="684">
        <f>huishoudens!K8</f>
        <v>0</v>
      </c>
      <c r="M11" s="684">
        <f>huishoudens!L8</f>
        <v>0</v>
      </c>
      <c r="N11" s="684">
        <f>huishoudens!M8</f>
        <v>0</v>
      </c>
      <c r="O11" s="684">
        <f>huishoudens!N8</f>
        <v>16323.95884833705</v>
      </c>
      <c r="P11" s="684">
        <f>huishoudens!O8</f>
        <v>131.32000000000002</v>
      </c>
      <c r="Q11" s="685">
        <f>huishoudens!P8</f>
        <v>495.73333333333335</v>
      </c>
      <c r="R11" s="687">
        <f>SUM(C11:Q11)</f>
        <v>172673.06983002328</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143023.36799999999</v>
      </c>
      <c r="D13" s="684">
        <f>industrie!C18</f>
        <v>0</v>
      </c>
      <c r="E13" s="684">
        <f>industrie!D18</f>
        <v>25217.285258000004</v>
      </c>
      <c r="F13" s="684">
        <f>industrie!E18</f>
        <v>2844.5646113992002</v>
      </c>
      <c r="G13" s="684">
        <f>industrie!F18</f>
        <v>18042.63882097858</v>
      </c>
      <c r="H13" s="684">
        <f>industrie!G18</f>
        <v>0</v>
      </c>
      <c r="I13" s="684">
        <f>industrie!H18</f>
        <v>0</v>
      </c>
      <c r="J13" s="684">
        <f>industrie!I18</f>
        <v>0</v>
      </c>
      <c r="K13" s="684">
        <f>industrie!J18</f>
        <v>1206.8121276640343</v>
      </c>
      <c r="L13" s="684">
        <f>industrie!K18</f>
        <v>0</v>
      </c>
      <c r="M13" s="684">
        <f>industrie!L18</f>
        <v>0</v>
      </c>
      <c r="N13" s="684">
        <f>industrie!M18</f>
        <v>0</v>
      </c>
      <c r="O13" s="684">
        <f>industrie!N18</f>
        <v>504.1230795296882</v>
      </c>
      <c r="P13" s="684">
        <f>industrie!O18</f>
        <v>0</v>
      </c>
      <c r="Q13" s="685">
        <f>industrie!P18</f>
        <v>0</v>
      </c>
      <c r="R13" s="687">
        <f>SUM(C13:Q13)</f>
        <v>190838.7918975715</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200894.83983503451</v>
      </c>
      <c r="D16" s="717">
        <f t="shared" ref="D16:R16" ca="1" si="0">SUM(D9:D15)</f>
        <v>34.071428571428577</v>
      </c>
      <c r="E16" s="717">
        <f t="shared" ca="1" si="0"/>
        <v>87581.002044857145</v>
      </c>
      <c r="F16" s="717">
        <f t="shared" si="0"/>
        <v>20596.048207982571</v>
      </c>
      <c r="G16" s="717">
        <f t="shared" ca="1" si="0"/>
        <v>79929.69485207682</v>
      </c>
      <c r="H16" s="717">
        <f t="shared" si="0"/>
        <v>0</v>
      </c>
      <c r="I16" s="717">
        <f t="shared" si="0"/>
        <v>0</v>
      </c>
      <c r="J16" s="717">
        <f t="shared" si="0"/>
        <v>0</v>
      </c>
      <c r="K16" s="717">
        <f t="shared" si="0"/>
        <v>1206.8121276640343</v>
      </c>
      <c r="L16" s="717">
        <f t="shared" si="0"/>
        <v>0</v>
      </c>
      <c r="M16" s="717">
        <f t="shared" ca="1" si="0"/>
        <v>0</v>
      </c>
      <c r="N16" s="717">
        <f t="shared" si="0"/>
        <v>0</v>
      </c>
      <c r="O16" s="717">
        <f t="shared" ca="1" si="0"/>
        <v>17691.688738192002</v>
      </c>
      <c r="P16" s="717">
        <f t="shared" si="0"/>
        <v>131.32000000000002</v>
      </c>
      <c r="Q16" s="717">
        <f t="shared" si="0"/>
        <v>495.73333333333335</v>
      </c>
      <c r="R16" s="717">
        <f t="shared" ca="1" si="0"/>
        <v>408561.21056771185</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2164.0966019884545</v>
      </c>
      <c r="I19" s="684">
        <f>transport!H54</f>
        <v>0</v>
      </c>
      <c r="J19" s="684">
        <f>transport!I54</f>
        <v>0</v>
      </c>
      <c r="K19" s="684">
        <f>transport!J54</f>
        <v>0</v>
      </c>
      <c r="L19" s="684">
        <f>transport!K54</f>
        <v>0</v>
      </c>
      <c r="M19" s="684">
        <f>transport!L54</f>
        <v>0</v>
      </c>
      <c r="N19" s="684">
        <f>transport!M54</f>
        <v>92.025344796591483</v>
      </c>
      <c r="O19" s="684">
        <f>transport!N54</f>
        <v>0</v>
      </c>
      <c r="P19" s="684">
        <f>transport!O54</f>
        <v>0</v>
      </c>
      <c r="Q19" s="685">
        <f>transport!P54</f>
        <v>0</v>
      </c>
      <c r="R19" s="687">
        <f>SUM(C19:Q19)</f>
        <v>2256.121946785046</v>
      </c>
      <c r="S19" s="67"/>
    </row>
    <row r="20" spans="1:19" s="453" customFormat="1">
      <c r="A20" s="799" t="s">
        <v>306</v>
      </c>
      <c r="B20" s="804"/>
      <c r="C20" s="684">
        <f>transport!B14</f>
        <v>0.93334599215444991</v>
      </c>
      <c r="D20" s="684">
        <f>transport!C14</f>
        <v>0</v>
      </c>
      <c r="E20" s="684">
        <f>transport!D14</f>
        <v>5.3816434723808069</v>
      </c>
      <c r="F20" s="684">
        <f>transport!E14</f>
        <v>580.36074197021526</v>
      </c>
      <c r="G20" s="684">
        <f>transport!F14</f>
        <v>0</v>
      </c>
      <c r="H20" s="684">
        <f>transport!G14</f>
        <v>112600.29191155139</v>
      </c>
      <c r="I20" s="684">
        <f>transport!H14</f>
        <v>18678.492648671447</v>
      </c>
      <c r="J20" s="684">
        <f>transport!I14</f>
        <v>0</v>
      </c>
      <c r="K20" s="684">
        <f>transport!J14</f>
        <v>0</v>
      </c>
      <c r="L20" s="684">
        <f>transport!K14</f>
        <v>0</v>
      </c>
      <c r="M20" s="684">
        <f>transport!L14</f>
        <v>0</v>
      </c>
      <c r="N20" s="684">
        <f>transport!M14</f>
        <v>5710.4066625108389</v>
      </c>
      <c r="O20" s="684">
        <f>transport!N14</f>
        <v>0</v>
      </c>
      <c r="P20" s="684">
        <f>transport!O14</f>
        <v>0</v>
      </c>
      <c r="Q20" s="685">
        <f>transport!P14</f>
        <v>0</v>
      </c>
      <c r="R20" s="687">
        <f>SUM(C20:Q20)</f>
        <v>137575.86695416842</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0.93334599215444991</v>
      </c>
      <c r="D22" s="802">
        <f t="shared" ref="D22:R22" si="1">SUM(D18:D21)</f>
        <v>0</v>
      </c>
      <c r="E22" s="802">
        <f t="shared" si="1"/>
        <v>5.3816434723808069</v>
      </c>
      <c r="F22" s="802">
        <f t="shared" si="1"/>
        <v>580.36074197021526</v>
      </c>
      <c r="G22" s="802">
        <f t="shared" si="1"/>
        <v>0</v>
      </c>
      <c r="H22" s="802">
        <f t="shared" si="1"/>
        <v>114764.38851353985</v>
      </c>
      <c r="I22" s="802">
        <f t="shared" si="1"/>
        <v>18678.492648671447</v>
      </c>
      <c r="J22" s="802">
        <f t="shared" si="1"/>
        <v>0</v>
      </c>
      <c r="K22" s="802">
        <f t="shared" si="1"/>
        <v>0</v>
      </c>
      <c r="L22" s="802">
        <f t="shared" si="1"/>
        <v>0</v>
      </c>
      <c r="M22" s="802">
        <f t="shared" si="1"/>
        <v>0</v>
      </c>
      <c r="N22" s="802">
        <f t="shared" si="1"/>
        <v>5802.4320073074305</v>
      </c>
      <c r="O22" s="802">
        <f t="shared" si="1"/>
        <v>0</v>
      </c>
      <c r="P22" s="802">
        <f t="shared" si="1"/>
        <v>0</v>
      </c>
      <c r="Q22" s="802">
        <f t="shared" si="1"/>
        <v>0</v>
      </c>
      <c r="R22" s="802">
        <f t="shared" si="1"/>
        <v>139831.98890095347</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464.62900000000002</v>
      </c>
      <c r="D24" s="684">
        <f>+landbouw!C8</f>
        <v>0</v>
      </c>
      <c r="E24" s="684">
        <f>+landbouw!D8</f>
        <v>21.682276000000002</v>
      </c>
      <c r="F24" s="684">
        <f>+landbouw!E8</f>
        <v>4.8656954760765423</v>
      </c>
      <c r="G24" s="684">
        <f>+landbouw!F8</f>
        <v>1988.9651630609605</v>
      </c>
      <c r="H24" s="684">
        <f>+landbouw!G8</f>
        <v>0</v>
      </c>
      <c r="I24" s="684">
        <f>+landbouw!H8</f>
        <v>0</v>
      </c>
      <c r="J24" s="684">
        <f>+landbouw!I8</f>
        <v>0</v>
      </c>
      <c r="K24" s="684">
        <f>+landbouw!J8</f>
        <v>41.495534240772649</v>
      </c>
      <c r="L24" s="684">
        <f>+landbouw!K8</f>
        <v>0</v>
      </c>
      <c r="M24" s="684">
        <f>+landbouw!L8</f>
        <v>0</v>
      </c>
      <c r="N24" s="684">
        <f>+landbouw!M8</f>
        <v>0</v>
      </c>
      <c r="O24" s="684">
        <f>+landbouw!N8</f>
        <v>0</v>
      </c>
      <c r="P24" s="684">
        <f>+landbouw!O8</f>
        <v>0</v>
      </c>
      <c r="Q24" s="685">
        <f>+landbouw!P8</f>
        <v>0</v>
      </c>
      <c r="R24" s="687">
        <f>SUM(C24:Q24)</f>
        <v>2521.6376687778097</v>
      </c>
      <c r="S24" s="67"/>
    </row>
    <row r="25" spans="1:19" s="453" customFormat="1" ht="15" thickBot="1">
      <c r="A25" s="821" t="s">
        <v>912</v>
      </c>
      <c r="B25" s="978"/>
      <c r="C25" s="979">
        <f>IF(Onbekend_ele_kWh="---",0,Onbekend_ele_kWh)/1000+IF(REST_rest_ele_kWh="---",0,REST_rest_ele_kWh)/1000</f>
        <v>1450.4590000000001</v>
      </c>
      <c r="D25" s="979"/>
      <c r="E25" s="979">
        <f>IF(onbekend_gas_kWh="---",0,onbekend_gas_kWh)/1000+IF(REST_rest_gas_kWh="---",0,REST_rest_gas_kWh)/1000</f>
        <v>2084.5709999999999</v>
      </c>
      <c r="F25" s="979"/>
      <c r="G25" s="979"/>
      <c r="H25" s="979"/>
      <c r="I25" s="979"/>
      <c r="J25" s="979"/>
      <c r="K25" s="979"/>
      <c r="L25" s="979"/>
      <c r="M25" s="979"/>
      <c r="N25" s="979"/>
      <c r="O25" s="979"/>
      <c r="P25" s="979"/>
      <c r="Q25" s="980"/>
      <c r="R25" s="687">
        <f>SUM(C25:Q25)</f>
        <v>3535.0299999999997</v>
      </c>
      <c r="S25" s="67"/>
    </row>
    <row r="26" spans="1:19" s="453" customFormat="1" ht="15.75" thickBot="1">
      <c r="A26" s="690" t="s">
        <v>913</v>
      </c>
      <c r="B26" s="807"/>
      <c r="C26" s="802">
        <f>SUM(C24:C25)</f>
        <v>1915.0880000000002</v>
      </c>
      <c r="D26" s="802">
        <f t="shared" ref="D26:R26" si="2">SUM(D24:D25)</f>
        <v>0</v>
      </c>
      <c r="E26" s="802">
        <f t="shared" si="2"/>
        <v>2106.2532759999999</v>
      </c>
      <c r="F26" s="802">
        <f t="shared" si="2"/>
        <v>4.8656954760765423</v>
      </c>
      <c r="G26" s="802">
        <f t="shared" si="2"/>
        <v>1988.9651630609605</v>
      </c>
      <c r="H26" s="802">
        <f t="shared" si="2"/>
        <v>0</v>
      </c>
      <c r="I26" s="802">
        <f t="shared" si="2"/>
        <v>0</v>
      </c>
      <c r="J26" s="802">
        <f t="shared" si="2"/>
        <v>0</v>
      </c>
      <c r="K26" s="802">
        <f t="shared" si="2"/>
        <v>41.495534240772649</v>
      </c>
      <c r="L26" s="802">
        <f t="shared" si="2"/>
        <v>0</v>
      </c>
      <c r="M26" s="802">
        <f t="shared" si="2"/>
        <v>0</v>
      </c>
      <c r="N26" s="802">
        <f t="shared" si="2"/>
        <v>0</v>
      </c>
      <c r="O26" s="802">
        <f t="shared" si="2"/>
        <v>0</v>
      </c>
      <c r="P26" s="802">
        <f t="shared" si="2"/>
        <v>0</v>
      </c>
      <c r="Q26" s="802">
        <f t="shared" si="2"/>
        <v>0</v>
      </c>
      <c r="R26" s="802">
        <f t="shared" si="2"/>
        <v>6056.667668777809</v>
      </c>
      <c r="S26" s="67"/>
    </row>
    <row r="27" spans="1:19" s="453" customFormat="1" ht="17.25" thickTop="1" thickBot="1">
      <c r="A27" s="691" t="s">
        <v>115</v>
      </c>
      <c r="B27" s="794"/>
      <c r="C27" s="692">
        <f ca="1">C22+C16+C26</f>
        <v>202810.86118102664</v>
      </c>
      <c r="D27" s="692">
        <f t="shared" ref="D27:R27" ca="1" si="3">D22+D16+D26</f>
        <v>34.071428571428577</v>
      </c>
      <c r="E27" s="692">
        <f t="shared" ca="1" si="3"/>
        <v>89692.636964329533</v>
      </c>
      <c r="F27" s="692">
        <f t="shared" si="3"/>
        <v>21181.274645428864</v>
      </c>
      <c r="G27" s="692">
        <f t="shared" ca="1" si="3"/>
        <v>81918.660015137779</v>
      </c>
      <c r="H27" s="692">
        <f t="shared" si="3"/>
        <v>114764.38851353985</v>
      </c>
      <c r="I27" s="692">
        <f t="shared" si="3"/>
        <v>18678.492648671447</v>
      </c>
      <c r="J27" s="692">
        <f t="shared" si="3"/>
        <v>0</v>
      </c>
      <c r="K27" s="692">
        <f t="shared" si="3"/>
        <v>1248.307661904807</v>
      </c>
      <c r="L27" s="692">
        <f t="shared" si="3"/>
        <v>0</v>
      </c>
      <c r="M27" s="692">
        <f t="shared" ca="1" si="3"/>
        <v>0</v>
      </c>
      <c r="N27" s="692">
        <f t="shared" si="3"/>
        <v>5802.4320073074305</v>
      </c>
      <c r="O27" s="692">
        <f t="shared" ca="1" si="3"/>
        <v>17691.688738192002</v>
      </c>
      <c r="P27" s="692">
        <f t="shared" si="3"/>
        <v>131.32000000000002</v>
      </c>
      <c r="Q27" s="692">
        <f t="shared" si="3"/>
        <v>495.73333333333335</v>
      </c>
      <c r="R27" s="692">
        <f t="shared" ca="1" si="3"/>
        <v>554449.86713744304</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5115.135919131435</v>
      </c>
      <c r="D40" s="684">
        <f ca="1">tertiair!C20</f>
        <v>8.0969747899159685</v>
      </c>
      <c r="E40" s="684">
        <f ca="1">tertiair!D20</f>
        <v>3258.6158853891434</v>
      </c>
      <c r="F40" s="684">
        <f>tertiair!E20</f>
        <v>89.926036624889974</v>
      </c>
      <c r="G40" s="684">
        <f ca="1">tertiair!F20</f>
        <v>1089.9193252929506</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9561.694141228334</v>
      </c>
    </row>
    <row r="41" spans="1:18">
      <c r="A41" s="812" t="s">
        <v>224</v>
      </c>
      <c r="B41" s="819"/>
      <c r="C41" s="684">
        <f ca="1">huishoudens!B12</f>
        <v>7459.1852620895834</v>
      </c>
      <c r="D41" s="684">
        <f ca="1">huishoudens!C12</f>
        <v>0</v>
      </c>
      <c r="E41" s="684">
        <f>huishoudens!D12</f>
        <v>9338.8549055560015</v>
      </c>
      <c r="F41" s="684">
        <f>huishoudens!E12</f>
        <v>3939.6607397995353</v>
      </c>
      <c r="G41" s="684">
        <f>huishoudens!F12</f>
        <v>15433.924635010277</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36171.625542455396</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31076.136628742697</v>
      </c>
      <c r="D43" s="684">
        <f ca="1">industrie!C22</f>
        <v>0</v>
      </c>
      <c r="E43" s="684">
        <f>industrie!D22</f>
        <v>5093.8916221160007</v>
      </c>
      <c r="F43" s="684">
        <f>industrie!E22</f>
        <v>645.71616678761848</v>
      </c>
      <c r="G43" s="684">
        <f>industrie!F22</f>
        <v>4817.3845652012815</v>
      </c>
      <c r="H43" s="684">
        <f>industrie!G22</f>
        <v>0</v>
      </c>
      <c r="I43" s="684">
        <f>industrie!H22</f>
        <v>0</v>
      </c>
      <c r="J43" s="684">
        <f>industrie!I22</f>
        <v>0</v>
      </c>
      <c r="K43" s="684">
        <f>industrie!J22</f>
        <v>427.21149319306812</v>
      </c>
      <c r="L43" s="684">
        <f>industrie!K22</f>
        <v>0</v>
      </c>
      <c r="M43" s="684">
        <f>industrie!L22</f>
        <v>0</v>
      </c>
      <c r="N43" s="684">
        <f>industrie!M22</f>
        <v>0</v>
      </c>
      <c r="O43" s="684">
        <f>industrie!N22</f>
        <v>0</v>
      </c>
      <c r="P43" s="684">
        <f>industrie!O22</f>
        <v>0</v>
      </c>
      <c r="Q43" s="759">
        <f>industrie!P22</f>
        <v>0</v>
      </c>
      <c r="R43" s="839">
        <f t="shared" ca="1" si="4"/>
        <v>42060.34047604067</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43650.457809963715</v>
      </c>
      <c r="D46" s="717">
        <f t="shared" ref="D46:Q46" ca="1" si="5">SUM(D39:D45)</f>
        <v>8.0969747899159685</v>
      </c>
      <c r="E46" s="717">
        <f t="shared" ca="1" si="5"/>
        <v>17691.362413061146</v>
      </c>
      <c r="F46" s="717">
        <f t="shared" si="5"/>
        <v>4675.3029432120438</v>
      </c>
      <c r="G46" s="717">
        <f t="shared" ca="1" si="5"/>
        <v>21341.22852550451</v>
      </c>
      <c r="H46" s="717">
        <f t="shared" si="5"/>
        <v>0</v>
      </c>
      <c r="I46" s="717">
        <f t="shared" si="5"/>
        <v>0</v>
      </c>
      <c r="J46" s="717">
        <f t="shared" si="5"/>
        <v>0</v>
      </c>
      <c r="K46" s="717">
        <f t="shared" si="5"/>
        <v>427.21149319306812</v>
      </c>
      <c r="L46" s="717">
        <f t="shared" si="5"/>
        <v>0</v>
      </c>
      <c r="M46" s="717">
        <f t="shared" ca="1" si="5"/>
        <v>0</v>
      </c>
      <c r="N46" s="717">
        <f t="shared" si="5"/>
        <v>0</v>
      </c>
      <c r="O46" s="717">
        <f t="shared" ca="1" si="5"/>
        <v>0</v>
      </c>
      <c r="P46" s="717">
        <f t="shared" si="5"/>
        <v>0</v>
      </c>
      <c r="Q46" s="717">
        <f t="shared" si="5"/>
        <v>0</v>
      </c>
      <c r="R46" s="717">
        <f ca="1">SUM(R39:R45)</f>
        <v>87793.660159724401</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577.81379273091738</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577.81379273091738</v>
      </c>
    </row>
    <row r="50" spans="1:18">
      <c r="A50" s="815" t="s">
        <v>306</v>
      </c>
      <c r="B50" s="825"/>
      <c r="C50" s="985">
        <f ca="1">transport!B18</f>
        <v>0.20279754266506364</v>
      </c>
      <c r="D50" s="985">
        <f>transport!C18</f>
        <v>0</v>
      </c>
      <c r="E50" s="985">
        <f>transport!D18</f>
        <v>1.087091981420923</v>
      </c>
      <c r="F50" s="985">
        <f>transport!E18</f>
        <v>131.74188842723888</v>
      </c>
      <c r="G50" s="985">
        <f>transport!F18</f>
        <v>0</v>
      </c>
      <c r="H50" s="985">
        <f>transport!G18</f>
        <v>30064.277940384225</v>
      </c>
      <c r="I50" s="985">
        <f>transport!H18</f>
        <v>4650.94466951919</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34848.254387854737</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0.20279754266506364</v>
      </c>
      <c r="D52" s="717">
        <f t="shared" ref="D52:Q52" ca="1" si="6">SUM(D48:D51)</f>
        <v>0</v>
      </c>
      <c r="E52" s="717">
        <f t="shared" si="6"/>
        <v>1.087091981420923</v>
      </c>
      <c r="F52" s="717">
        <f t="shared" si="6"/>
        <v>131.74188842723888</v>
      </c>
      <c r="G52" s="717">
        <f t="shared" si="6"/>
        <v>0</v>
      </c>
      <c r="H52" s="717">
        <f t="shared" si="6"/>
        <v>30642.091733115143</v>
      </c>
      <c r="I52" s="717">
        <f t="shared" si="6"/>
        <v>4650.94466951919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35426.068180585651</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100.9546515900541</v>
      </c>
      <c r="D54" s="985">
        <f ca="1">+landbouw!C12</f>
        <v>0</v>
      </c>
      <c r="E54" s="985">
        <f>+landbouw!D12</f>
        <v>4.3798197520000004</v>
      </c>
      <c r="F54" s="985">
        <f>+landbouw!E12</f>
        <v>1.1045128730693752</v>
      </c>
      <c r="G54" s="985">
        <f>+landbouw!F12</f>
        <v>531.05369853727655</v>
      </c>
      <c r="H54" s="985">
        <f>+landbouw!G12</f>
        <v>0</v>
      </c>
      <c r="I54" s="985">
        <f>+landbouw!H12</f>
        <v>0</v>
      </c>
      <c r="J54" s="985">
        <f>+landbouw!I12</f>
        <v>0</v>
      </c>
      <c r="K54" s="985">
        <f>+landbouw!J12</f>
        <v>14.689419121233517</v>
      </c>
      <c r="L54" s="985">
        <f>+landbouw!K12</f>
        <v>0</v>
      </c>
      <c r="M54" s="985">
        <f>+landbouw!L12</f>
        <v>0</v>
      </c>
      <c r="N54" s="985">
        <f>+landbouw!M12</f>
        <v>0</v>
      </c>
      <c r="O54" s="985">
        <f>+landbouw!N12</f>
        <v>0</v>
      </c>
      <c r="P54" s="985">
        <f>+landbouw!O12</f>
        <v>0</v>
      </c>
      <c r="Q54" s="986">
        <f>+landbouw!P12</f>
        <v>0</v>
      </c>
      <c r="R54" s="716">
        <f ca="1">SUM(C54:Q54)</f>
        <v>652.18210187363354</v>
      </c>
    </row>
    <row r="55" spans="1:18" ht="15" thickBot="1">
      <c r="A55" s="815" t="s">
        <v>912</v>
      </c>
      <c r="B55" s="825"/>
      <c r="C55" s="985">
        <f ca="1">C25*'EF ele_warmte'!B12</f>
        <v>315.1559265363511</v>
      </c>
      <c r="D55" s="985"/>
      <c r="E55" s="985">
        <f>E25*EF_CO2_aardgas</f>
        <v>421.08334200000002</v>
      </c>
      <c r="F55" s="985"/>
      <c r="G55" s="985"/>
      <c r="H55" s="985"/>
      <c r="I55" s="985"/>
      <c r="J55" s="985"/>
      <c r="K55" s="985"/>
      <c r="L55" s="985"/>
      <c r="M55" s="985"/>
      <c r="N55" s="985"/>
      <c r="O55" s="985"/>
      <c r="P55" s="985"/>
      <c r="Q55" s="986"/>
      <c r="R55" s="716">
        <f ca="1">SUM(C55:Q55)</f>
        <v>736.23926853635112</v>
      </c>
    </row>
    <row r="56" spans="1:18" ht="15.75" thickBot="1">
      <c r="A56" s="813" t="s">
        <v>913</v>
      </c>
      <c r="B56" s="826"/>
      <c r="C56" s="717">
        <f ca="1">SUM(C54:C55)</f>
        <v>416.11057812640519</v>
      </c>
      <c r="D56" s="717">
        <f t="shared" ref="D56:Q56" ca="1" si="7">SUM(D54:D55)</f>
        <v>0</v>
      </c>
      <c r="E56" s="717">
        <f t="shared" si="7"/>
        <v>425.46316175200002</v>
      </c>
      <c r="F56" s="717">
        <f t="shared" si="7"/>
        <v>1.1045128730693752</v>
      </c>
      <c r="G56" s="717">
        <f t="shared" si="7"/>
        <v>531.05369853727655</v>
      </c>
      <c r="H56" s="717">
        <f t="shared" si="7"/>
        <v>0</v>
      </c>
      <c r="I56" s="717">
        <f t="shared" si="7"/>
        <v>0</v>
      </c>
      <c r="J56" s="717">
        <f t="shared" si="7"/>
        <v>0</v>
      </c>
      <c r="K56" s="717">
        <f t="shared" si="7"/>
        <v>14.689419121233517</v>
      </c>
      <c r="L56" s="717">
        <f t="shared" si="7"/>
        <v>0</v>
      </c>
      <c r="M56" s="717">
        <f t="shared" si="7"/>
        <v>0</v>
      </c>
      <c r="N56" s="717">
        <f t="shared" si="7"/>
        <v>0</v>
      </c>
      <c r="O56" s="717">
        <f t="shared" si="7"/>
        <v>0</v>
      </c>
      <c r="P56" s="717">
        <f t="shared" si="7"/>
        <v>0</v>
      </c>
      <c r="Q56" s="718">
        <f t="shared" si="7"/>
        <v>0</v>
      </c>
      <c r="R56" s="719">
        <f ca="1">SUM(R54:R55)</f>
        <v>1388.4213704099848</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44066.771185632788</v>
      </c>
      <c r="D61" s="725">
        <f t="shared" ref="D61:Q61" ca="1" si="8">D46+D52+D56</f>
        <v>8.0969747899159685</v>
      </c>
      <c r="E61" s="725">
        <f t="shared" ca="1" si="8"/>
        <v>18117.912666794567</v>
      </c>
      <c r="F61" s="725">
        <f t="shared" si="8"/>
        <v>4808.1493445123524</v>
      </c>
      <c r="G61" s="725">
        <f t="shared" ca="1" si="8"/>
        <v>21872.282224041788</v>
      </c>
      <c r="H61" s="725">
        <f t="shared" si="8"/>
        <v>30642.091733115143</v>
      </c>
      <c r="I61" s="725">
        <f t="shared" si="8"/>
        <v>4650.94466951919</v>
      </c>
      <c r="J61" s="725">
        <f t="shared" si="8"/>
        <v>0</v>
      </c>
      <c r="K61" s="725">
        <f t="shared" si="8"/>
        <v>441.90091231430165</v>
      </c>
      <c r="L61" s="725">
        <f t="shared" si="8"/>
        <v>0</v>
      </c>
      <c r="M61" s="725">
        <f t="shared" ca="1" si="8"/>
        <v>0</v>
      </c>
      <c r="N61" s="725">
        <f t="shared" si="8"/>
        <v>0</v>
      </c>
      <c r="O61" s="725">
        <f t="shared" ca="1" si="8"/>
        <v>0</v>
      </c>
      <c r="P61" s="725">
        <f t="shared" si="8"/>
        <v>0</v>
      </c>
      <c r="Q61" s="725">
        <f t="shared" si="8"/>
        <v>0</v>
      </c>
      <c r="R61" s="725">
        <f ca="1">R46+R52+R56</f>
        <v>124608.14971072003</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0.21728013445147445</v>
      </c>
      <c r="D63" s="769">
        <f t="shared" ca="1" si="9"/>
        <v>0.23764705882352943</v>
      </c>
      <c r="E63" s="987">
        <f t="shared" ca="1" si="9"/>
        <v>0.20200000000000001</v>
      </c>
      <c r="F63" s="769">
        <f t="shared" si="9"/>
        <v>0.22700000000000001</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3415.5030213893597</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23.85</v>
      </c>
      <c r="D76" s="997">
        <f>'lokale energieproductie'!C8</f>
        <v>28.058823529411768</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5.6678823529411773</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3415.5030213893597</v>
      </c>
      <c r="C78" s="740">
        <f>SUM(C72:C77)</f>
        <v>23.85</v>
      </c>
      <c r="D78" s="741">
        <f t="shared" ref="D78:H78" si="10">SUM(D76:D77)</f>
        <v>28.058823529411768</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5.6678823529411773</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34.071428571428577</v>
      </c>
      <c r="D87" s="762">
        <f>'lokale energieproductie'!C17</f>
        <v>40.084033613445385</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8.0969747899159685</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34.071428571428577</v>
      </c>
      <c r="D90" s="740">
        <f t="shared" ref="D90:H90" si="12">SUM(D87:D89)</f>
        <v>40.084033613445385</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8.0969747899159685</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34329.807835034539</v>
      </c>
      <c r="C4" s="457">
        <f>huishoudens!C8</f>
        <v>0</v>
      </c>
      <c r="D4" s="457">
        <f>huishoudens!D8</f>
        <v>46231.954978000002</v>
      </c>
      <c r="E4" s="457">
        <f>huishoudens!E8</f>
        <v>17355.333655504561</v>
      </c>
      <c r="F4" s="457">
        <f>huishoudens!F8</f>
        <v>57804.96117981377</v>
      </c>
      <c r="G4" s="457">
        <f>huishoudens!G8</f>
        <v>0</v>
      </c>
      <c r="H4" s="457">
        <f>huishoudens!H8</f>
        <v>0</v>
      </c>
      <c r="I4" s="457">
        <f>huishoudens!I8</f>
        <v>0</v>
      </c>
      <c r="J4" s="457">
        <f>huishoudens!J8</f>
        <v>0</v>
      </c>
      <c r="K4" s="457">
        <f>huishoudens!K8</f>
        <v>0</v>
      </c>
      <c r="L4" s="457">
        <f>huishoudens!L8</f>
        <v>0</v>
      </c>
      <c r="M4" s="457">
        <f>huishoudens!M8</f>
        <v>0</v>
      </c>
      <c r="N4" s="457">
        <f>huishoudens!N8</f>
        <v>16323.95884833705</v>
      </c>
      <c r="O4" s="457">
        <f>huishoudens!O8</f>
        <v>131.32000000000002</v>
      </c>
      <c r="P4" s="458">
        <f>huishoudens!P8</f>
        <v>495.73333333333335</v>
      </c>
      <c r="Q4" s="459">
        <f>SUM(B4:P4)</f>
        <v>172673.06983002328</v>
      </c>
    </row>
    <row r="5" spans="1:17">
      <c r="A5" s="456" t="s">
        <v>155</v>
      </c>
      <c r="B5" s="457">
        <f ca="1">tertiair!B16</f>
        <v>21970.866999999998</v>
      </c>
      <c r="C5" s="457">
        <f ca="1">tertiair!C16</f>
        <v>34.071428571428577</v>
      </c>
      <c r="D5" s="457">
        <f ca="1">tertiair!D16</f>
        <v>16131.761808857143</v>
      </c>
      <c r="E5" s="457">
        <f>tertiair!E16</f>
        <v>396.14994107881046</v>
      </c>
      <c r="F5" s="457">
        <f ca="1">tertiair!F16</f>
        <v>4082.0948512844593</v>
      </c>
      <c r="G5" s="457">
        <f>tertiair!G16</f>
        <v>0</v>
      </c>
      <c r="H5" s="457">
        <f>tertiair!H16</f>
        <v>0</v>
      </c>
      <c r="I5" s="457">
        <f>tertiair!I16</f>
        <v>0</v>
      </c>
      <c r="J5" s="457">
        <f>tertiair!J16</f>
        <v>0</v>
      </c>
      <c r="K5" s="457">
        <f>tertiair!K16</f>
        <v>0</v>
      </c>
      <c r="L5" s="457">
        <f ca="1">tertiair!L16</f>
        <v>0</v>
      </c>
      <c r="M5" s="457">
        <f>tertiair!M16</f>
        <v>0</v>
      </c>
      <c r="N5" s="457">
        <f ca="1">tertiair!N16</f>
        <v>863.60681032526395</v>
      </c>
      <c r="O5" s="457">
        <f>tertiair!O16</f>
        <v>0</v>
      </c>
      <c r="P5" s="458">
        <f>tertiair!P16</f>
        <v>0</v>
      </c>
      <c r="Q5" s="456">
        <f t="shared" ref="Q5:Q14" ca="1" si="0">SUM(B5:P5)</f>
        <v>43478.551840117099</v>
      </c>
    </row>
    <row r="6" spans="1:17">
      <c r="A6" s="456" t="s">
        <v>193</v>
      </c>
      <c r="B6" s="457">
        <f>'openbare verlichting'!B8</f>
        <v>1570.797</v>
      </c>
      <c r="C6" s="457"/>
      <c r="D6" s="457"/>
      <c r="E6" s="457"/>
      <c r="F6" s="457"/>
      <c r="G6" s="457"/>
      <c r="H6" s="457"/>
      <c r="I6" s="457"/>
      <c r="J6" s="457"/>
      <c r="K6" s="457"/>
      <c r="L6" s="457"/>
      <c r="M6" s="457"/>
      <c r="N6" s="457"/>
      <c r="O6" s="457"/>
      <c r="P6" s="458"/>
      <c r="Q6" s="456">
        <f t="shared" si="0"/>
        <v>1570.797</v>
      </c>
    </row>
    <row r="7" spans="1:17">
      <c r="A7" s="456" t="s">
        <v>111</v>
      </c>
      <c r="B7" s="457">
        <f>landbouw!B8</f>
        <v>464.62900000000002</v>
      </c>
      <c r="C7" s="457">
        <f>landbouw!C8</f>
        <v>0</v>
      </c>
      <c r="D7" s="457">
        <f>landbouw!D8</f>
        <v>21.682276000000002</v>
      </c>
      <c r="E7" s="457">
        <f>landbouw!E8</f>
        <v>4.8656954760765423</v>
      </c>
      <c r="F7" s="457">
        <f>landbouw!F8</f>
        <v>1988.9651630609605</v>
      </c>
      <c r="G7" s="457">
        <f>landbouw!G8</f>
        <v>0</v>
      </c>
      <c r="H7" s="457">
        <f>landbouw!H8</f>
        <v>0</v>
      </c>
      <c r="I7" s="457">
        <f>landbouw!I8</f>
        <v>0</v>
      </c>
      <c r="J7" s="457">
        <f>landbouw!J8</f>
        <v>41.495534240772649</v>
      </c>
      <c r="K7" s="457">
        <f>landbouw!K8</f>
        <v>0</v>
      </c>
      <c r="L7" s="457">
        <f>landbouw!L8</f>
        <v>0</v>
      </c>
      <c r="M7" s="457">
        <f>landbouw!M8</f>
        <v>0</v>
      </c>
      <c r="N7" s="457">
        <f>landbouw!N8</f>
        <v>0</v>
      </c>
      <c r="O7" s="457">
        <f>landbouw!O8</f>
        <v>0</v>
      </c>
      <c r="P7" s="458">
        <f>landbouw!P8</f>
        <v>0</v>
      </c>
      <c r="Q7" s="456">
        <f t="shared" si="0"/>
        <v>2521.6376687778097</v>
      </c>
    </row>
    <row r="8" spans="1:17">
      <c r="A8" s="456" t="s">
        <v>654</v>
      </c>
      <c r="B8" s="457">
        <f>industrie!B18</f>
        <v>143023.36799999999</v>
      </c>
      <c r="C8" s="457">
        <f>industrie!C18</f>
        <v>0</v>
      </c>
      <c r="D8" s="457">
        <f>industrie!D18</f>
        <v>25217.285258000004</v>
      </c>
      <c r="E8" s="457">
        <f>industrie!E18</f>
        <v>2844.5646113992002</v>
      </c>
      <c r="F8" s="457">
        <f>industrie!F18</f>
        <v>18042.63882097858</v>
      </c>
      <c r="G8" s="457">
        <f>industrie!G18</f>
        <v>0</v>
      </c>
      <c r="H8" s="457">
        <f>industrie!H18</f>
        <v>0</v>
      </c>
      <c r="I8" s="457">
        <f>industrie!I18</f>
        <v>0</v>
      </c>
      <c r="J8" s="457">
        <f>industrie!J18</f>
        <v>1206.8121276640343</v>
      </c>
      <c r="K8" s="457">
        <f>industrie!K18</f>
        <v>0</v>
      </c>
      <c r="L8" s="457">
        <f>industrie!L18</f>
        <v>0</v>
      </c>
      <c r="M8" s="457">
        <f>industrie!M18</f>
        <v>0</v>
      </c>
      <c r="N8" s="457">
        <f>industrie!N18</f>
        <v>504.1230795296882</v>
      </c>
      <c r="O8" s="457">
        <f>industrie!O18</f>
        <v>0</v>
      </c>
      <c r="P8" s="458">
        <f>industrie!P18</f>
        <v>0</v>
      </c>
      <c r="Q8" s="456">
        <f t="shared" si="0"/>
        <v>190838.7918975715</v>
      </c>
    </row>
    <row r="9" spans="1:17" s="462" customFormat="1">
      <c r="A9" s="460" t="s">
        <v>572</v>
      </c>
      <c r="B9" s="461">
        <f>transport!B14</f>
        <v>0.93334599215444991</v>
      </c>
      <c r="C9" s="461">
        <f>transport!C14</f>
        <v>0</v>
      </c>
      <c r="D9" s="461">
        <f>transport!D14</f>
        <v>5.3816434723808069</v>
      </c>
      <c r="E9" s="461">
        <f>transport!E14</f>
        <v>580.36074197021526</v>
      </c>
      <c r="F9" s="461">
        <f>transport!F14</f>
        <v>0</v>
      </c>
      <c r="G9" s="461">
        <f>transport!G14</f>
        <v>112600.29191155139</v>
      </c>
      <c r="H9" s="461">
        <f>transport!H14</f>
        <v>18678.492648671447</v>
      </c>
      <c r="I9" s="461">
        <f>transport!I14</f>
        <v>0</v>
      </c>
      <c r="J9" s="461">
        <f>transport!J14</f>
        <v>0</v>
      </c>
      <c r="K9" s="461">
        <f>transport!K14</f>
        <v>0</v>
      </c>
      <c r="L9" s="461">
        <f>transport!L14</f>
        <v>0</v>
      </c>
      <c r="M9" s="461">
        <f>transport!M14</f>
        <v>5710.4066625108389</v>
      </c>
      <c r="N9" s="461">
        <f>transport!N14</f>
        <v>0</v>
      </c>
      <c r="O9" s="461">
        <f>transport!O14</f>
        <v>0</v>
      </c>
      <c r="P9" s="461">
        <f>transport!P14</f>
        <v>0</v>
      </c>
      <c r="Q9" s="460">
        <f>SUM(B9:P9)</f>
        <v>137575.86695416842</v>
      </c>
    </row>
    <row r="10" spans="1:17">
      <c r="A10" s="456" t="s">
        <v>562</v>
      </c>
      <c r="B10" s="457">
        <f>transport!B54</f>
        <v>0</v>
      </c>
      <c r="C10" s="457">
        <f>transport!C54</f>
        <v>0</v>
      </c>
      <c r="D10" s="457">
        <f>transport!D54</f>
        <v>0</v>
      </c>
      <c r="E10" s="457">
        <f>transport!E54</f>
        <v>0</v>
      </c>
      <c r="F10" s="457">
        <f>transport!F54</f>
        <v>0</v>
      </c>
      <c r="G10" s="457">
        <f>transport!G54</f>
        <v>2164.0966019884545</v>
      </c>
      <c r="H10" s="457">
        <f>transport!H54</f>
        <v>0</v>
      </c>
      <c r="I10" s="457">
        <f>transport!I54</f>
        <v>0</v>
      </c>
      <c r="J10" s="457">
        <f>transport!J54</f>
        <v>0</v>
      </c>
      <c r="K10" s="457">
        <f>transport!K54</f>
        <v>0</v>
      </c>
      <c r="L10" s="457">
        <f>transport!L54</f>
        <v>0</v>
      </c>
      <c r="M10" s="457">
        <f>transport!M54</f>
        <v>92.025344796591483</v>
      </c>
      <c r="N10" s="457">
        <f>transport!N54</f>
        <v>0</v>
      </c>
      <c r="O10" s="457">
        <f>transport!O54</f>
        <v>0</v>
      </c>
      <c r="P10" s="458">
        <f>transport!P54</f>
        <v>0</v>
      </c>
      <c r="Q10" s="456">
        <f t="shared" si="0"/>
        <v>2256.121946785046</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1450.4590000000001</v>
      </c>
      <c r="C14" s="464"/>
      <c r="D14" s="464">
        <f>'SEAP template'!E25</f>
        <v>2084.5709999999999</v>
      </c>
      <c r="E14" s="464"/>
      <c r="F14" s="464"/>
      <c r="G14" s="464"/>
      <c r="H14" s="464"/>
      <c r="I14" s="464"/>
      <c r="J14" s="464"/>
      <c r="K14" s="464"/>
      <c r="L14" s="464"/>
      <c r="M14" s="464"/>
      <c r="N14" s="464"/>
      <c r="O14" s="464"/>
      <c r="P14" s="465"/>
      <c r="Q14" s="456">
        <f t="shared" si="0"/>
        <v>3535.0299999999997</v>
      </c>
    </row>
    <row r="15" spans="1:17" s="469" customFormat="1">
      <c r="A15" s="466" t="s">
        <v>566</v>
      </c>
      <c r="B15" s="467">
        <f ca="1">SUM(B4:B14)</f>
        <v>202810.86118102667</v>
      </c>
      <c r="C15" s="467">
        <f t="shared" ref="C15:Q15" ca="1" si="1">SUM(C4:C14)</f>
        <v>34.071428571428577</v>
      </c>
      <c r="D15" s="467">
        <f t="shared" ca="1" si="1"/>
        <v>89692.636964329518</v>
      </c>
      <c r="E15" s="467">
        <f t="shared" si="1"/>
        <v>21181.274645428864</v>
      </c>
      <c r="F15" s="467">
        <f t="shared" ca="1" si="1"/>
        <v>81918.660015137779</v>
      </c>
      <c r="G15" s="467">
        <f t="shared" si="1"/>
        <v>114764.38851353985</v>
      </c>
      <c r="H15" s="467">
        <f t="shared" si="1"/>
        <v>18678.492648671447</v>
      </c>
      <c r="I15" s="467">
        <f t="shared" si="1"/>
        <v>0</v>
      </c>
      <c r="J15" s="467">
        <f t="shared" si="1"/>
        <v>1248.307661904807</v>
      </c>
      <c r="K15" s="467">
        <f t="shared" si="1"/>
        <v>0</v>
      </c>
      <c r="L15" s="467">
        <f t="shared" ca="1" si="1"/>
        <v>0</v>
      </c>
      <c r="M15" s="467">
        <f t="shared" si="1"/>
        <v>5802.4320073074305</v>
      </c>
      <c r="N15" s="467">
        <f t="shared" ca="1" si="1"/>
        <v>17691.688738192002</v>
      </c>
      <c r="O15" s="467">
        <f t="shared" si="1"/>
        <v>131.32000000000002</v>
      </c>
      <c r="P15" s="467">
        <f t="shared" si="1"/>
        <v>495.73333333333335</v>
      </c>
      <c r="Q15" s="467">
        <f t="shared" ca="1" si="1"/>
        <v>554449.86713744316</v>
      </c>
    </row>
    <row r="17" spans="1:17">
      <c r="A17" s="470" t="s">
        <v>567</v>
      </c>
      <c r="B17" s="774">
        <f ca="1">huishoudens!B10</f>
        <v>0.2172801344514744</v>
      </c>
      <c r="C17" s="774">
        <f ca="1">huishoudens!C10</f>
        <v>0.23764705882352943</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7459.1852620895834</v>
      </c>
      <c r="C22" s="457">
        <f t="shared" ref="C22:C32" ca="1" si="3">C4*$C$17</f>
        <v>0</v>
      </c>
      <c r="D22" s="457">
        <f t="shared" ref="D22:D32" si="4">D4*$D$17</f>
        <v>9338.8549055560015</v>
      </c>
      <c r="E22" s="457">
        <f t="shared" ref="E22:E32" si="5">E4*$E$17</f>
        <v>3939.6607397995353</v>
      </c>
      <c r="F22" s="457">
        <f t="shared" ref="F22:F32" si="6">F4*$F$17</f>
        <v>15433.924635010277</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36171.625542455396</v>
      </c>
    </row>
    <row r="23" spans="1:17">
      <c r="A23" s="456" t="s">
        <v>155</v>
      </c>
      <c r="B23" s="457">
        <f t="shared" ca="1" si="2"/>
        <v>4773.8329357754619</v>
      </c>
      <c r="C23" s="457">
        <f t="shared" ca="1" si="3"/>
        <v>8.0969747899159685</v>
      </c>
      <c r="D23" s="457">
        <f t="shared" ca="1" si="4"/>
        <v>3258.6158853891434</v>
      </c>
      <c r="E23" s="457">
        <f t="shared" si="5"/>
        <v>89.926036624889974</v>
      </c>
      <c r="F23" s="457">
        <f t="shared" ca="1" si="6"/>
        <v>1089.9193252929506</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9220.3911578723619</v>
      </c>
    </row>
    <row r="24" spans="1:17">
      <c r="A24" s="456" t="s">
        <v>193</v>
      </c>
      <c r="B24" s="457">
        <f t="shared" ca="1" si="2"/>
        <v>341.30298335597263</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341.30298335597263</v>
      </c>
    </row>
    <row r="25" spans="1:17">
      <c r="A25" s="456" t="s">
        <v>111</v>
      </c>
      <c r="B25" s="457">
        <f t="shared" ca="1" si="2"/>
        <v>100.9546515900541</v>
      </c>
      <c r="C25" s="457">
        <f t="shared" ca="1" si="3"/>
        <v>0</v>
      </c>
      <c r="D25" s="457">
        <f t="shared" si="4"/>
        <v>4.3798197520000004</v>
      </c>
      <c r="E25" s="457">
        <f t="shared" si="5"/>
        <v>1.1045128730693752</v>
      </c>
      <c r="F25" s="457">
        <f t="shared" si="6"/>
        <v>531.05369853727655</v>
      </c>
      <c r="G25" s="457">
        <f t="shared" si="7"/>
        <v>0</v>
      </c>
      <c r="H25" s="457">
        <f t="shared" si="8"/>
        <v>0</v>
      </c>
      <c r="I25" s="457">
        <f t="shared" si="9"/>
        <v>0</v>
      </c>
      <c r="J25" s="457">
        <f t="shared" si="10"/>
        <v>14.689419121233517</v>
      </c>
      <c r="K25" s="457">
        <f t="shared" si="11"/>
        <v>0</v>
      </c>
      <c r="L25" s="457">
        <f t="shared" si="12"/>
        <v>0</v>
      </c>
      <c r="M25" s="457">
        <f t="shared" si="13"/>
        <v>0</v>
      </c>
      <c r="N25" s="457">
        <f t="shared" si="14"/>
        <v>0</v>
      </c>
      <c r="O25" s="457">
        <f t="shared" si="15"/>
        <v>0</v>
      </c>
      <c r="P25" s="458">
        <f t="shared" si="16"/>
        <v>0</v>
      </c>
      <c r="Q25" s="456">
        <f t="shared" ca="1" si="17"/>
        <v>652.18210187363354</v>
      </c>
    </row>
    <row r="26" spans="1:17">
      <c r="A26" s="456" t="s">
        <v>654</v>
      </c>
      <c r="B26" s="457">
        <f t="shared" ca="1" si="2"/>
        <v>31076.136628742697</v>
      </c>
      <c r="C26" s="457">
        <f t="shared" ca="1" si="3"/>
        <v>0</v>
      </c>
      <c r="D26" s="457">
        <f t="shared" si="4"/>
        <v>5093.8916221160007</v>
      </c>
      <c r="E26" s="457">
        <f t="shared" si="5"/>
        <v>645.71616678761848</v>
      </c>
      <c r="F26" s="457">
        <f t="shared" si="6"/>
        <v>4817.3845652012815</v>
      </c>
      <c r="G26" s="457">
        <f t="shared" si="7"/>
        <v>0</v>
      </c>
      <c r="H26" s="457">
        <f t="shared" si="8"/>
        <v>0</v>
      </c>
      <c r="I26" s="457">
        <f t="shared" si="9"/>
        <v>0</v>
      </c>
      <c r="J26" s="457">
        <f t="shared" si="10"/>
        <v>427.21149319306812</v>
      </c>
      <c r="K26" s="457">
        <f t="shared" si="11"/>
        <v>0</v>
      </c>
      <c r="L26" s="457">
        <f t="shared" si="12"/>
        <v>0</v>
      </c>
      <c r="M26" s="457">
        <f t="shared" si="13"/>
        <v>0</v>
      </c>
      <c r="N26" s="457">
        <f t="shared" si="14"/>
        <v>0</v>
      </c>
      <c r="O26" s="457">
        <f t="shared" si="15"/>
        <v>0</v>
      </c>
      <c r="P26" s="458">
        <f t="shared" si="16"/>
        <v>0</v>
      </c>
      <c r="Q26" s="456">
        <f t="shared" ca="1" si="17"/>
        <v>42060.34047604067</v>
      </c>
    </row>
    <row r="27" spans="1:17" s="462" customFormat="1">
      <c r="A27" s="460" t="s">
        <v>572</v>
      </c>
      <c r="B27" s="768">
        <f t="shared" ca="1" si="2"/>
        <v>0.20279754266506364</v>
      </c>
      <c r="C27" s="461">
        <f t="shared" ca="1" si="3"/>
        <v>0</v>
      </c>
      <c r="D27" s="461">
        <f t="shared" si="4"/>
        <v>1.087091981420923</v>
      </c>
      <c r="E27" s="461">
        <f t="shared" si="5"/>
        <v>131.74188842723888</v>
      </c>
      <c r="F27" s="461">
        <f t="shared" si="6"/>
        <v>0</v>
      </c>
      <c r="G27" s="461">
        <f t="shared" si="7"/>
        <v>30064.277940384225</v>
      </c>
      <c r="H27" s="461">
        <f t="shared" si="8"/>
        <v>4650.94466951919</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34848.254387854737</v>
      </c>
    </row>
    <row r="28" spans="1:17">
      <c r="A28" s="456" t="s">
        <v>562</v>
      </c>
      <c r="B28" s="457">
        <f t="shared" ca="1" si="2"/>
        <v>0</v>
      </c>
      <c r="C28" s="457">
        <f t="shared" ca="1" si="3"/>
        <v>0</v>
      </c>
      <c r="D28" s="457">
        <f t="shared" si="4"/>
        <v>0</v>
      </c>
      <c r="E28" s="457">
        <f t="shared" si="5"/>
        <v>0</v>
      </c>
      <c r="F28" s="457">
        <f t="shared" si="6"/>
        <v>0</v>
      </c>
      <c r="G28" s="457">
        <f t="shared" si="7"/>
        <v>577.81379273091738</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577.81379273091738</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315.1559265363511</v>
      </c>
      <c r="C32" s="457">
        <f t="shared" ca="1" si="3"/>
        <v>0</v>
      </c>
      <c r="D32" s="457">
        <f t="shared" si="4"/>
        <v>421.08334200000002</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736.23926853635112</v>
      </c>
    </row>
    <row r="33" spans="1:17" s="469" customFormat="1">
      <c r="A33" s="466" t="s">
        <v>566</v>
      </c>
      <c r="B33" s="467">
        <f ca="1">SUM(B22:B32)</f>
        <v>44066.771185632795</v>
      </c>
      <c r="C33" s="467">
        <f t="shared" ref="C33:Q33" ca="1" si="19">SUM(C22:C32)</f>
        <v>8.0969747899159685</v>
      </c>
      <c r="D33" s="467">
        <f t="shared" ca="1" si="19"/>
        <v>18117.912666794567</v>
      </c>
      <c r="E33" s="467">
        <f t="shared" si="19"/>
        <v>4808.1493445123524</v>
      </c>
      <c r="F33" s="467">
        <f t="shared" ca="1" si="19"/>
        <v>21872.282224041788</v>
      </c>
      <c r="G33" s="467">
        <f t="shared" si="19"/>
        <v>30642.091733115143</v>
      </c>
      <c r="H33" s="467">
        <f t="shared" si="19"/>
        <v>4650.94466951919</v>
      </c>
      <c r="I33" s="467">
        <f t="shared" si="19"/>
        <v>0</v>
      </c>
      <c r="J33" s="467">
        <f t="shared" si="19"/>
        <v>441.90091231430165</v>
      </c>
      <c r="K33" s="467">
        <f t="shared" si="19"/>
        <v>0</v>
      </c>
      <c r="L33" s="467">
        <f t="shared" ca="1" si="19"/>
        <v>0</v>
      </c>
      <c r="M33" s="467">
        <f t="shared" si="19"/>
        <v>0</v>
      </c>
      <c r="N33" s="467">
        <f t="shared" ca="1" si="19"/>
        <v>0</v>
      </c>
      <c r="O33" s="467">
        <f t="shared" si="19"/>
        <v>0</v>
      </c>
      <c r="P33" s="467">
        <f t="shared" si="19"/>
        <v>0</v>
      </c>
      <c r="Q33" s="467">
        <f t="shared" ca="1" si="19"/>
        <v>124608.14971072004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3415.5030213893597</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23.85</v>
      </c>
      <c r="D8" s="1018">
        <f>'SEAP template'!D76</f>
        <v>28.058823529411768</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5.6678823529411773</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3415.5030213893597</v>
      </c>
      <c r="C10" s="1022">
        <f>SUM(C4:C9)</f>
        <v>23.85</v>
      </c>
      <c r="D10" s="1022">
        <f t="shared" ref="D10:H10" si="0">SUM(D8:D9)</f>
        <v>28.058823529411768</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5.6678823529411773</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0.2172801344514744</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34.071428571428577</v>
      </c>
      <c r="D17" s="1019">
        <f>'SEAP template'!D87</f>
        <v>40.084033613445385</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8.0969747899159685</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34.071428571428577</v>
      </c>
      <c r="D20" s="1022">
        <f t="shared" ref="D20:H20" si="2">SUM(D17:D19)</f>
        <v>40.084033613445385</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8.0969747899159685</v>
      </c>
    </row>
    <row r="22" spans="1:16">
      <c r="A22" s="470" t="s">
        <v>933</v>
      </c>
      <c r="B22" s="774" t="s">
        <v>927</v>
      </c>
      <c r="C22" s="774">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0.2172801344514744</v>
      </c>
      <c r="C17" s="506">
        <f ca="1">'EF ele_warmte'!B22</f>
        <v>0.23764705882352943</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0.2172801344514744</v>
      </c>
      <c r="C17" s="506">
        <f ca="1">'EF ele_warmte'!B22</f>
        <v>0.23764705882352943</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0.2172801344514744</v>
      </c>
      <c r="C29" s="507">
        <f ca="1">'EF ele_warmte'!B22</f>
        <v>0.23764705882352943</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7352</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1509</v>
      </c>
      <c r="C14" s="331"/>
      <c r="D14" s="331"/>
      <c r="E14" s="331"/>
      <c r="F14" s="331"/>
    </row>
    <row r="15" spans="1:6">
      <c r="A15" s="1290" t="s">
        <v>183</v>
      </c>
      <c r="B15" s="1291">
        <v>13</v>
      </c>
      <c r="C15" s="331"/>
      <c r="D15" s="331"/>
      <c r="E15" s="331"/>
      <c r="F15" s="331"/>
    </row>
    <row r="16" spans="1:6">
      <c r="A16" s="1290" t="s">
        <v>6</v>
      </c>
      <c r="B16" s="1291">
        <v>602</v>
      </c>
      <c r="C16" s="331"/>
      <c r="D16" s="331"/>
      <c r="E16" s="331"/>
      <c r="F16" s="331"/>
    </row>
    <row r="17" spans="1:6">
      <c r="A17" s="1290" t="s">
        <v>7</v>
      </c>
      <c r="B17" s="1291">
        <v>216</v>
      </c>
      <c r="C17" s="331"/>
      <c r="D17" s="331"/>
      <c r="E17" s="331"/>
      <c r="F17" s="331"/>
    </row>
    <row r="18" spans="1:6">
      <c r="A18" s="1290" t="s">
        <v>8</v>
      </c>
      <c r="B18" s="1291">
        <v>467</v>
      </c>
      <c r="C18" s="331"/>
      <c r="D18" s="331"/>
      <c r="E18" s="331"/>
      <c r="F18" s="331"/>
    </row>
    <row r="19" spans="1:6">
      <c r="A19" s="1290" t="s">
        <v>9</v>
      </c>
      <c r="B19" s="1291">
        <v>549</v>
      </c>
      <c r="C19" s="331"/>
      <c r="D19" s="331"/>
      <c r="E19" s="331"/>
      <c r="F19" s="331"/>
    </row>
    <row r="20" spans="1:6">
      <c r="A20" s="1290" t="s">
        <v>10</v>
      </c>
      <c r="B20" s="1291">
        <v>358</v>
      </c>
      <c r="C20" s="331"/>
      <c r="D20" s="331"/>
      <c r="E20" s="331"/>
      <c r="F20" s="331"/>
    </row>
    <row r="21" spans="1:6">
      <c r="A21" s="1290" t="s">
        <v>11</v>
      </c>
      <c r="B21" s="1291">
        <v>499</v>
      </c>
      <c r="C21" s="331"/>
      <c r="D21" s="331"/>
      <c r="E21" s="331"/>
      <c r="F21" s="331"/>
    </row>
    <row r="22" spans="1:6">
      <c r="A22" s="1290" t="s">
        <v>12</v>
      </c>
      <c r="B22" s="1291">
        <v>1417</v>
      </c>
      <c r="C22" s="331"/>
      <c r="D22" s="331"/>
      <c r="E22" s="331"/>
      <c r="F22" s="331"/>
    </row>
    <row r="23" spans="1:6">
      <c r="A23" s="1290" t="s">
        <v>13</v>
      </c>
      <c r="B23" s="1291">
        <v>0</v>
      </c>
      <c r="C23" s="331"/>
      <c r="D23" s="331"/>
      <c r="E23" s="331"/>
      <c r="F23" s="331"/>
    </row>
    <row r="24" spans="1:6">
      <c r="A24" s="1290" t="s">
        <v>14</v>
      </c>
      <c r="B24" s="1291">
        <v>0</v>
      </c>
      <c r="C24" s="331"/>
      <c r="D24" s="331"/>
      <c r="E24" s="331"/>
      <c r="F24" s="331"/>
    </row>
    <row r="25" spans="1:6">
      <c r="A25" s="1290" t="s">
        <v>15</v>
      </c>
      <c r="B25" s="1291">
        <v>0</v>
      </c>
      <c r="C25" s="331"/>
      <c r="D25" s="331"/>
      <c r="E25" s="331"/>
      <c r="F25" s="331"/>
    </row>
    <row r="26" spans="1:6">
      <c r="A26" s="1290" t="s">
        <v>16</v>
      </c>
      <c r="B26" s="1291">
        <v>340</v>
      </c>
      <c r="C26" s="331"/>
      <c r="D26" s="331"/>
      <c r="E26" s="331"/>
      <c r="F26" s="331"/>
    </row>
    <row r="27" spans="1:6">
      <c r="A27" s="1290" t="s">
        <v>17</v>
      </c>
      <c r="B27" s="1291">
        <v>240</v>
      </c>
      <c r="C27" s="331"/>
      <c r="D27" s="331"/>
      <c r="E27" s="331"/>
      <c r="F27" s="331"/>
    </row>
    <row r="28" spans="1:6" s="43" customFormat="1">
      <c r="A28" s="1292" t="s">
        <v>18</v>
      </c>
      <c r="B28" s="1293">
        <v>17194</v>
      </c>
      <c r="C28" s="337"/>
      <c r="D28" s="337"/>
      <c r="E28" s="337"/>
      <c r="F28" s="337"/>
    </row>
    <row r="29" spans="1:6">
      <c r="A29" s="1292" t="s">
        <v>966</v>
      </c>
      <c r="B29" s="1293">
        <v>73</v>
      </c>
      <c r="C29" s="337"/>
      <c r="D29" s="337"/>
      <c r="E29" s="337"/>
      <c r="F29" s="337"/>
    </row>
    <row r="30" spans="1:6">
      <c r="A30" s="1285" t="s">
        <v>967</v>
      </c>
      <c r="B30" s="1294">
        <v>13</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0</v>
      </c>
      <c r="F36" s="1291">
        <v>0</v>
      </c>
    </row>
    <row r="37" spans="1:6">
      <c r="A37" s="1290" t="s">
        <v>24</v>
      </c>
      <c r="B37" s="1290" t="s">
        <v>27</v>
      </c>
      <c r="C37" s="1291">
        <v>0</v>
      </c>
      <c r="D37" s="1291">
        <v>0</v>
      </c>
      <c r="E37" s="1291">
        <v>0</v>
      </c>
      <c r="F37" s="1291">
        <v>0</v>
      </c>
    </row>
    <row r="38" spans="1:6">
      <c r="A38" s="1290" t="s">
        <v>24</v>
      </c>
      <c r="B38" s="1290" t="s">
        <v>28</v>
      </c>
      <c r="C38" s="1291">
        <v>0</v>
      </c>
      <c r="D38" s="1291">
        <v>0</v>
      </c>
      <c r="E38" s="1291">
        <v>2</v>
      </c>
      <c r="F38" s="1291">
        <v>313687</v>
      </c>
    </row>
    <row r="39" spans="1:6">
      <c r="A39" s="1290" t="s">
        <v>29</v>
      </c>
      <c r="B39" s="1290" t="s">
        <v>30</v>
      </c>
      <c r="C39" s="1291">
        <v>3194</v>
      </c>
      <c r="D39" s="1291">
        <v>51254939</v>
      </c>
      <c r="E39" s="1291">
        <v>7758</v>
      </c>
      <c r="F39" s="1291">
        <v>31941345</v>
      </c>
    </row>
    <row r="40" spans="1:6">
      <c r="A40" s="1290" t="s">
        <v>29</v>
      </c>
      <c r="B40" s="1290" t="s">
        <v>28</v>
      </c>
      <c r="C40" s="1291">
        <v>0</v>
      </c>
      <c r="D40" s="1291">
        <v>0</v>
      </c>
      <c r="E40" s="1291">
        <v>0</v>
      </c>
      <c r="F40" s="1291">
        <v>0</v>
      </c>
    </row>
    <row r="41" spans="1:6">
      <c r="A41" s="1290" t="s">
        <v>31</v>
      </c>
      <c r="B41" s="1290" t="s">
        <v>32</v>
      </c>
      <c r="C41" s="1291">
        <v>29</v>
      </c>
      <c r="D41" s="1291">
        <v>6115136</v>
      </c>
      <c r="E41" s="1291">
        <v>91</v>
      </c>
      <c r="F41" s="1291">
        <v>4642596</v>
      </c>
    </row>
    <row r="42" spans="1:6">
      <c r="A42" s="1290" t="s">
        <v>31</v>
      </c>
      <c r="B42" s="1290" t="s">
        <v>33</v>
      </c>
      <c r="C42" s="1291">
        <v>0</v>
      </c>
      <c r="D42" s="1291">
        <v>0</v>
      </c>
      <c r="E42" s="1291">
        <v>3</v>
      </c>
      <c r="F42" s="1291">
        <v>5096862</v>
      </c>
    </row>
    <row r="43" spans="1:6">
      <c r="A43" s="1290" t="s">
        <v>31</v>
      </c>
      <c r="B43" s="1290" t="s">
        <v>34</v>
      </c>
      <c r="C43" s="1291">
        <v>0</v>
      </c>
      <c r="D43" s="1291">
        <v>0</v>
      </c>
      <c r="E43" s="1291">
        <v>0</v>
      </c>
      <c r="F43" s="1291">
        <v>0</v>
      </c>
    </row>
    <row r="44" spans="1:6">
      <c r="A44" s="1290" t="s">
        <v>31</v>
      </c>
      <c r="B44" s="1290" t="s">
        <v>35</v>
      </c>
      <c r="C44" s="1291">
        <v>5</v>
      </c>
      <c r="D44" s="1291">
        <v>976784</v>
      </c>
      <c r="E44" s="1291">
        <v>29</v>
      </c>
      <c r="F44" s="1291">
        <v>30124294</v>
      </c>
    </row>
    <row r="45" spans="1:6">
      <c r="A45" s="1290" t="s">
        <v>31</v>
      </c>
      <c r="B45" s="1290" t="s">
        <v>36</v>
      </c>
      <c r="C45" s="1291">
        <v>0</v>
      </c>
      <c r="D45" s="1291">
        <v>0</v>
      </c>
      <c r="E45" s="1291">
        <v>9</v>
      </c>
      <c r="F45" s="1291">
        <v>101569068</v>
      </c>
    </row>
    <row r="46" spans="1:6">
      <c r="A46" s="1290" t="s">
        <v>31</v>
      </c>
      <c r="B46" s="1290" t="s">
        <v>37</v>
      </c>
      <c r="C46" s="1291">
        <v>0</v>
      </c>
      <c r="D46" s="1291">
        <v>0</v>
      </c>
      <c r="E46" s="1291">
        <v>0</v>
      </c>
      <c r="F46" s="1291">
        <v>0</v>
      </c>
    </row>
    <row r="47" spans="1:6">
      <c r="A47" s="1290" t="s">
        <v>31</v>
      </c>
      <c r="B47" s="1290" t="s">
        <v>38</v>
      </c>
      <c r="C47" s="1291">
        <v>5</v>
      </c>
      <c r="D47" s="1291">
        <v>339984</v>
      </c>
      <c r="E47" s="1291">
        <v>5</v>
      </c>
      <c r="F47" s="1291">
        <v>182612</v>
      </c>
    </row>
    <row r="48" spans="1:6">
      <c r="A48" s="1290" t="s">
        <v>31</v>
      </c>
      <c r="B48" s="1290" t="s">
        <v>28</v>
      </c>
      <c r="C48" s="1291">
        <v>4</v>
      </c>
      <c r="D48" s="1291">
        <v>20101861</v>
      </c>
      <c r="E48" s="1291">
        <v>4</v>
      </c>
      <c r="F48" s="1291">
        <v>800699</v>
      </c>
    </row>
    <row r="49" spans="1:6">
      <c r="A49" s="1290" t="s">
        <v>31</v>
      </c>
      <c r="B49" s="1290" t="s">
        <v>39</v>
      </c>
      <c r="C49" s="1291">
        <v>0</v>
      </c>
      <c r="D49" s="1291">
        <v>0</v>
      </c>
      <c r="E49" s="1291">
        <v>0</v>
      </c>
      <c r="F49" s="1291">
        <v>0</v>
      </c>
    </row>
    <row r="50" spans="1:6">
      <c r="A50" s="1290" t="s">
        <v>31</v>
      </c>
      <c r="B50" s="1290" t="s">
        <v>40</v>
      </c>
      <c r="C50" s="1291">
        <v>4</v>
      </c>
      <c r="D50" s="1291">
        <v>423314</v>
      </c>
      <c r="E50" s="1291">
        <v>12</v>
      </c>
      <c r="F50" s="1291">
        <v>607237</v>
      </c>
    </row>
    <row r="51" spans="1:6">
      <c r="A51" s="1290" t="s">
        <v>41</v>
      </c>
      <c r="B51" s="1290" t="s">
        <v>42</v>
      </c>
      <c r="C51" s="1291">
        <v>0</v>
      </c>
      <c r="D51" s="1291">
        <v>0</v>
      </c>
      <c r="E51" s="1291">
        <v>25</v>
      </c>
      <c r="F51" s="1291">
        <v>464629</v>
      </c>
    </row>
    <row r="52" spans="1:6">
      <c r="A52" s="1290" t="s">
        <v>41</v>
      </c>
      <c r="B52" s="1290" t="s">
        <v>28</v>
      </c>
      <c r="C52" s="1291">
        <v>1</v>
      </c>
      <c r="D52" s="1291">
        <v>24038</v>
      </c>
      <c r="E52" s="1291">
        <v>0</v>
      </c>
      <c r="F52" s="1291">
        <v>0</v>
      </c>
    </row>
    <row r="53" spans="1:6">
      <c r="A53" s="1290" t="s">
        <v>43</v>
      </c>
      <c r="B53" s="1290" t="s">
        <v>44</v>
      </c>
      <c r="C53" s="1291">
        <v>0</v>
      </c>
      <c r="D53" s="1291">
        <v>0</v>
      </c>
      <c r="E53" s="1291">
        <v>0</v>
      </c>
      <c r="F53" s="1291">
        <v>0</v>
      </c>
    </row>
    <row r="54" spans="1:6">
      <c r="A54" s="1290" t="s">
        <v>45</v>
      </c>
      <c r="B54" s="1290" t="s">
        <v>46</v>
      </c>
      <c r="C54" s="1291">
        <v>0</v>
      </c>
      <c r="D54" s="1291">
        <v>0</v>
      </c>
      <c r="E54" s="1291">
        <v>95</v>
      </c>
      <c r="F54" s="1291">
        <v>1570797</v>
      </c>
    </row>
    <row r="55" spans="1:6">
      <c r="A55" s="1290" t="s">
        <v>45</v>
      </c>
      <c r="B55" s="1290" t="s">
        <v>28</v>
      </c>
      <c r="C55" s="1291">
        <v>0</v>
      </c>
      <c r="D55" s="1291">
        <v>0</v>
      </c>
      <c r="E55" s="1291">
        <v>0</v>
      </c>
      <c r="F55" s="1291">
        <v>0</v>
      </c>
    </row>
    <row r="56" spans="1:6">
      <c r="A56" s="1290" t="s">
        <v>47</v>
      </c>
      <c r="B56" s="1290" t="s">
        <v>28</v>
      </c>
      <c r="C56" s="1291">
        <v>34</v>
      </c>
      <c r="D56" s="1291">
        <v>2084571</v>
      </c>
      <c r="E56" s="1291">
        <v>174</v>
      </c>
      <c r="F56" s="1291">
        <v>1450459</v>
      </c>
    </row>
    <row r="57" spans="1:6">
      <c r="A57" s="1290" t="s">
        <v>48</v>
      </c>
      <c r="B57" s="1290" t="s">
        <v>49</v>
      </c>
      <c r="C57" s="1291">
        <v>32</v>
      </c>
      <c r="D57" s="1291">
        <v>1661010</v>
      </c>
      <c r="E57" s="1291">
        <v>130</v>
      </c>
      <c r="F57" s="1291">
        <v>3487811</v>
      </c>
    </row>
    <row r="58" spans="1:6">
      <c r="A58" s="1290" t="s">
        <v>48</v>
      </c>
      <c r="B58" s="1290" t="s">
        <v>50</v>
      </c>
      <c r="C58" s="1291">
        <v>15</v>
      </c>
      <c r="D58" s="1291">
        <v>2538852</v>
      </c>
      <c r="E58" s="1291">
        <v>29</v>
      </c>
      <c r="F58" s="1291">
        <v>1354515</v>
      </c>
    </row>
    <row r="59" spans="1:6">
      <c r="A59" s="1290" t="s">
        <v>48</v>
      </c>
      <c r="B59" s="1290" t="s">
        <v>51</v>
      </c>
      <c r="C59" s="1291">
        <v>82</v>
      </c>
      <c r="D59" s="1291">
        <v>4396035</v>
      </c>
      <c r="E59" s="1291">
        <v>203</v>
      </c>
      <c r="F59" s="1291">
        <v>8898013</v>
      </c>
    </row>
    <row r="60" spans="1:6">
      <c r="A60" s="1290" t="s">
        <v>48</v>
      </c>
      <c r="B60" s="1290" t="s">
        <v>52</v>
      </c>
      <c r="C60" s="1291">
        <v>39</v>
      </c>
      <c r="D60" s="1291">
        <v>2702636</v>
      </c>
      <c r="E60" s="1291">
        <v>70</v>
      </c>
      <c r="F60" s="1291">
        <v>2363900</v>
      </c>
    </row>
    <row r="61" spans="1:6">
      <c r="A61" s="1290" t="s">
        <v>48</v>
      </c>
      <c r="B61" s="1290" t="s">
        <v>53</v>
      </c>
      <c r="C61" s="1291">
        <v>71</v>
      </c>
      <c r="D61" s="1291">
        <v>5704493</v>
      </c>
      <c r="E61" s="1291">
        <v>211</v>
      </c>
      <c r="F61" s="1291">
        <v>5573214</v>
      </c>
    </row>
    <row r="62" spans="1:6">
      <c r="A62" s="1290" t="s">
        <v>48</v>
      </c>
      <c r="B62" s="1290" t="s">
        <v>54</v>
      </c>
      <c r="C62" s="1291">
        <v>8</v>
      </c>
      <c r="D62" s="1291">
        <v>956957</v>
      </c>
      <c r="E62" s="1291">
        <v>9</v>
      </c>
      <c r="F62" s="1291">
        <v>269564</v>
      </c>
    </row>
    <row r="63" spans="1:6">
      <c r="A63" s="1290" t="s">
        <v>48</v>
      </c>
      <c r="B63" s="1290" t="s">
        <v>28</v>
      </c>
      <c r="C63" s="1291">
        <v>0</v>
      </c>
      <c r="D63" s="1291">
        <v>0</v>
      </c>
      <c r="E63" s="1291">
        <v>0</v>
      </c>
      <c r="F63" s="1291">
        <v>0</v>
      </c>
    </row>
    <row r="64" spans="1:6">
      <c r="A64" s="1290" t="s">
        <v>55</v>
      </c>
      <c r="B64" s="1290" t="s">
        <v>56</v>
      </c>
      <c r="C64" s="1291">
        <v>0</v>
      </c>
      <c r="D64" s="1291">
        <v>0</v>
      </c>
      <c r="E64" s="1291">
        <v>0</v>
      </c>
      <c r="F64" s="1291">
        <v>0</v>
      </c>
    </row>
    <row r="65" spans="1:6">
      <c r="A65" s="1290" t="s">
        <v>55</v>
      </c>
      <c r="B65" s="1290" t="s">
        <v>28</v>
      </c>
      <c r="C65" s="1291">
        <v>1</v>
      </c>
      <c r="D65" s="1291">
        <v>54607</v>
      </c>
      <c r="E65" s="1291">
        <v>2</v>
      </c>
      <c r="F65" s="1291">
        <v>9006</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6</v>
      </c>
      <c r="D68" s="1294">
        <v>479964</v>
      </c>
      <c r="E68" s="1294">
        <v>15</v>
      </c>
      <c r="F68" s="1294">
        <v>4939677</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45304905</v>
      </c>
      <c r="E73" s="455"/>
      <c r="F73" s="331"/>
    </row>
    <row r="74" spans="1:6">
      <c r="A74" s="1290" t="s">
        <v>63</v>
      </c>
      <c r="B74" s="1290" t="s">
        <v>773</v>
      </c>
      <c r="C74" s="1304" t="s">
        <v>774</v>
      </c>
      <c r="D74" s="1305">
        <v>2833440.4904638138</v>
      </c>
      <c r="E74" s="455"/>
      <c r="F74" s="331"/>
    </row>
    <row r="75" spans="1:6">
      <c r="A75" s="1290" t="s">
        <v>64</v>
      </c>
      <c r="B75" s="1290" t="s">
        <v>771</v>
      </c>
      <c r="C75" s="1304" t="s">
        <v>775</v>
      </c>
      <c r="D75" s="1305">
        <v>42183685</v>
      </c>
      <c r="E75" s="455"/>
      <c r="F75" s="331"/>
    </row>
    <row r="76" spans="1:6">
      <c r="A76" s="1290" t="s">
        <v>64</v>
      </c>
      <c r="B76" s="1290" t="s">
        <v>773</v>
      </c>
      <c r="C76" s="1304" t="s">
        <v>776</v>
      </c>
      <c r="D76" s="1305">
        <v>1196047.4904638135</v>
      </c>
      <c r="E76" s="455"/>
      <c r="F76" s="331"/>
    </row>
    <row r="77" spans="1:6">
      <c r="A77" s="1290" t="s">
        <v>65</v>
      </c>
      <c r="B77" s="1290" t="s">
        <v>771</v>
      </c>
      <c r="C77" s="1304" t="s">
        <v>777</v>
      </c>
      <c r="D77" s="1305">
        <v>45782534</v>
      </c>
      <c r="E77" s="455"/>
      <c r="F77" s="331"/>
    </row>
    <row r="78" spans="1:6">
      <c r="A78" s="1285" t="s">
        <v>65</v>
      </c>
      <c r="B78" s="1285" t="s">
        <v>773</v>
      </c>
      <c r="C78" s="1285" t="s">
        <v>778</v>
      </c>
      <c r="D78" s="1306">
        <v>10225857</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590559.01907237282</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2388.4628350345374</v>
      </c>
      <c r="C91" s="331"/>
      <c r="D91" s="331"/>
      <c r="E91" s="331"/>
      <c r="F91" s="331"/>
    </row>
    <row r="92" spans="1:6">
      <c r="A92" s="1285" t="s">
        <v>68</v>
      </c>
      <c r="B92" s="1286">
        <v>1027.0401863548223</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1159</v>
      </c>
      <c r="C97" s="331"/>
      <c r="D97" s="331"/>
      <c r="E97" s="331"/>
      <c r="F97" s="331"/>
    </row>
    <row r="98" spans="1:6">
      <c r="A98" s="1290" t="s">
        <v>71</v>
      </c>
      <c r="B98" s="1291">
        <v>3</v>
      </c>
      <c r="C98" s="331"/>
      <c r="D98" s="331"/>
      <c r="E98" s="331"/>
      <c r="F98" s="331"/>
    </row>
    <row r="99" spans="1:6">
      <c r="A99" s="1290" t="s">
        <v>72</v>
      </c>
      <c r="B99" s="1291">
        <v>69</v>
      </c>
      <c r="C99" s="331"/>
      <c r="D99" s="331"/>
      <c r="E99" s="331"/>
      <c r="F99" s="331"/>
    </row>
    <row r="100" spans="1:6">
      <c r="A100" s="1290" t="s">
        <v>73</v>
      </c>
      <c r="B100" s="1291">
        <v>285</v>
      </c>
      <c r="C100" s="331"/>
      <c r="D100" s="331"/>
      <c r="E100" s="331"/>
      <c r="F100" s="331"/>
    </row>
    <row r="101" spans="1:6">
      <c r="A101" s="1290" t="s">
        <v>74</v>
      </c>
      <c r="B101" s="1291">
        <v>73</v>
      </c>
      <c r="C101" s="331"/>
      <c r="D101" s="331"/>
      <c r="E101" s="331"/>
      <c r="F101" s="331"/>
    </row>
    <row r="102" spans="1:6">
      <c r="A102" s="1290" t="s">
        <v>75</v>
      </c>
      <c r="B102" s="1291">
        <v>75</v>
      </c>
      <c r="C102" s="331"/>
      <c r="D102" s="331"/>
      <c r="E102" s="331"/>
      <c r="F102" s="331"/>
    </row>
    <row r="103" spans="1:6">
      <c r="A103" s="1290" t="s">
        <v>76</v>
      </c>
      <c r="B103" s="1291">
        <v>140</v>
      </c>
      <c r="C103" s="331"/>
      <c r="D103" s="331"/>
      <c r="E103" s="331"/>
      <c r="F103" s="331"/>
    </row>
    <row r="104" spans="1:6">
      <c r="A104" s="1290" t="s">
        <v>77</v>
      </c>
      <c r="B104" s="1291">
        <v>4386</v>
      </c>
      <c r="C104" s="331"/>
      <c r="D104" s="331"/>
      <c r="E104" s="331"/>
      <c r="F104" s="331"/>
    </row>
    <row r="105" spans="1:6">
      <c r="A105" s="1285" t="s">
        <v>78</v>
      </c>
      <c r="B105" s="1294">
        <v>4</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14</v>
      </c>
      <c r="C123" s="1291">
        <v>24</v>
      </c>
      <c r="D123" s="331"/>
      <c r="E123" s="331"/>
      <c r="F123" s="331"/>
    </row>
    <row r="124" spans="1:6" s="43" customFormat="1">
      <c r="A124" s="1292" t="s">
        <v>88</v>
      </c>
      <c r="B124" s="1313">
        <v>0</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60</v>
      </c>
      <c r="C129" s="331"/>
      <c r="D129" s="331"/>
      <c r="E129" s="331"/>
      <c r="F129" s="331"/>
    </row>
    <row r="130" spans="1:6">
      <c r="A130" s="1290" t="s">
        <v>294</v>
      </c>
      <c r="B130" s="1291">
        <v>0</v>
      </c>
      <c r="C130" s="331"/>
      <c r="D130" s="331"/>
      <c r="E130" s="331"/>
      <c r="F130" s="331"/>
    </row>
    <row r="131" spans="1:6">
      <c r="A131" s="1290" t="s">
        <v>295</v>
      </c>
      <c r="B131" s="1291">
        <v>0</v>
      </c>
      <c r="C131" s="331"/>
      <c r="D131" s="331"/>
      <c r="E131" s="331"/>
      <c r="F131" s="331"/>
    </row>
    <row r="132" spans="1:6">
      <c r="A132" s="1285" t="s">
        <v>296</v>
      </c>
      <c r="B132" s="1286">
        <v>12</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202810.86118102664</v>
      </c>
      <c r="C3" s="43" t="s">
        <v>169</v>
      </c>
      <c r="D3" s="43"/>
      <c r="E3" s="156"/>
      <c r="F3" s="43"/>
      <c r="G3" s="43"/>
      <c r="H3" s="43"/>
      <c r="I3" s="43"/>
      <c r="J3" s="43"/>
      <c r="K3" s="96"/>
    </row>
    <row r="4" spans="1:11">
      <c r="A4" s="362" t="s">
        <v>170</v>
      </c>
      <c r="B4" s="49">
        <f>IF(ISERROR('SEAP template'!B78+'SEAP template'!C78),0,'SEAP template'!B78+'SEAP template'!C78)</f>
        <v>3439.3530213893596</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5.6678823529411773</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0.2172801344514744</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8.0969747899159685</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34.071428571428577</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0.23764705882352943</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1570.797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1570.797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0.2172801344514744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341.30298335597263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31941.345000000001</v>
      </c>
      <c r="C5" s="17">
        <f>IF(ISERROR('Eigen informatie GS &amp; warmtenet'!B57),0,'Eigen informatie GS &amp; warmtenet'!B57)</f>
        <v>0</v>
      </c>
      <c r="D5" s="30">
        <f>(SUM(HH_hh_gas_kWh,HH_rest_gas_kWh)/1000)*0.902</f>
        <v>46231.954978000002</v>
      </c>
      <c r="E5" s="17">
        <f>B46*B57</f>
        <v>17355.333655504561</v>
      </c>
      <c r="F5" s="17">
        <f>B51*B62</f>
        <v>57804.96117981377</v>
      </c>
      <c r="G5" s="18"/>
      <c r="H5" s="17"/>
      <c r="I5" s="17"/>
      <c r="J5" s="17">
        <f>B50*B61+C50*C61</f>
        <v>0</v>
      </c>
      <c r="K5" s="17"/>
      <c r="L5" s="17"/>
      <c r="M5" s="17"/>
      <c r="N5" s="17">
        <f>B48*B59+C48*C59</f>
        <v>16323.95884833705</v>
      </c>
      <c r="O5" s="17">
        <f>B69*B70*B71</f>
        <v>131.32000000000002</v>
      </c>
      <c r="P5" s="17">
        <f>B77*B78*B79/1000-B77*B78*B79/1000/B80</f>
        <v>495.73333333333335</v>
      </c>
    </row>
    <row r="6" spans="1:16">
      <c r="A6" s="16" t="s">
        <v>631</v>
      </c>
      <c r="B6" s="776">
        <f>kWh_PV_kleiner_dan_10kW</f>
        <v>2388.4628350345374</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34329.807835034539</v>
      </c>
      <c r="C8" s="21">
        <f>C5</f>
        <v>0</v>
      </c>
      <c r="D8" s="21">
        <f>D5</f>
        <v>46231.954978000002</v>
      </c>
      <c r="E8" s="21">
        <f>E5</f>
        <v>17355.333655504561</v>
      </c>
      <c r="F8" s="21">
        <f>F5</f>
        <v>57804.96117981377</v>
      </c>
      <c r="G8" s="21"/>
      <c r="H8" s="21"/>
      <c r="I8" s="21"/>
      <c r="J8" s="21">
        <f>J5</f>
        <v>0</v>
      </c>
      <c r="K8" s="21"/>
      <c r="L8" s="21">
        <f>L5</f>
        <v>0</v>
      </c>
      <c r="M8" s="21">
        <f>M5</f>
        <v>0</v>
      </c>
      <c r="N8" s="21">
        <f>N5</f>
        <v>16323.95884833705</v>
      </c>
      <c r="O8" s="21">
        <f>O5</f>
        <v>131.32000000000002</v>
      </c>
      <c r="P8" s="21">
        <f>P5</f>
        <v>495.73333333333335</v>
      </c>
    </row>
    <row r="9" spans="1:16">
      <c r="B9" s="19"/>
      <c r="C9" s="19"/>
      <c r="D9" s="260"/>
      <c r="E9" s="19"/>
      <c r="F9" s="19"/>
      <c r="G9" s="19"/>
      <c r="H9" s="19"/>
      <c r="I9" s="19"/>
      <c r="J9" s="19"/>
      <c r="K9" s="19"/>
      <c r="L9" s="19"/>
      <c r="M9" s="19"/>
      <c r="N9" s="19"/>
      <c r="O9" s="19"/>
      <c r="P9" s="19"/>
    </row>
    <row r="10" spans="1:16">
      <c r="A10" s="24" t="s">
        <v>213</v>
      </c>
      <c r="B10" s="25">
        <f ca="1">'EF ele_warmte'!B12</f>
        <v>0.2172801344514744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7459.1852620895834</v>
      </c>
      <c r="C12" s="23">
        <f ca="1">C10*C8</f>
        <v>0</v>
      </c>
      <c r="D12" s="23">
        <f>D8*D10</f>
        <v>9338.8549055560015</v>
      </c>
      <c r="E12" s="23">
        <f>E10*E8</f>
        <v>3939.6607397995353</v>
      </c>
      <c r="F12" s="23">
        <f>F10*F8</f>
        <v>15433.924635010277</v>
      </c>
      <c r="G12" s="23"/>
      <c r="H12" s="23"/>
      <c r="I12" s="23"/>
      <c r="J12" s="23">
        <f>J10*J8</f>
        <v>0</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1159</v>
      </c>
      <c r="C18" s="167" t="s">
        <v>110</v>
      </c>
      <c r="D18" s="229"/>
      <c r="E18" s="15"/>
    </row>
    <row r="19" spans="1:7">
      <c r="A19" s="172" t="s">
        <v>71</v>
      </c>
      <c r="B19" s="37">
        <f>aantalw2001_ander</f>
        <v>3</v>
      </c>
      <c r="C19" s="167" t="s">
        <v>110</v>
      </c>
      <c r="D19" s="230"/>
      <c r="E19" s="15"/>
    </row>
    <row r="20" spans="1:7">
      <c r="A20" s="172" t="s">
        <v>72</v>
      </c>
      <c r="B20" s="37">
        <f>aantalw2001_propaan</f>
        <v>69</v>
      </c>
      <c r="C20" s="168">
        <f>IF(ISERROR(B20/SUM($B$20,$B$21,$B$22)*100),0,B20/SUM($B$20,$B$21,$B$22)*100)</f>
        <v>16.159250585480095</v>
      </c>
      <c r="D20" s="230"/>
      <c r="E20" s="15"/>
    </row>
    <row r="21" spans="1:7">
      <c r="A21" s="172" t="s">
        <v>73</v>
      </c>
      <c r="B21" s="37">
        <f>aantalw2001_elektriciteit</f>
        <v>285</v>
      </c>
      <c r="C21" s="168">
        <f>IF(ISERROR(B21/SUM($B$20,$B$21,$B$22)*100),0,B21/SUM($B$20,$B$21,$B$22)*100)</f>
        <v>66.744730679156902</v>
      </c>
      <c r="D21" s="230"/>
      <c r="E21" s="15"/>
    </row>
    <row r="22" spans="1:7">
      <c r="A22" s="172" t="s">
        <v>74</v>
      </c>
      <c r="B22" s="37">
        <f>aantalw2001_hout</f>
        <v>73</v>
      </c>
      <c r="C22" s="168">
        <f>IF(ISERROR(B22/SUM($B$20,$B$21,$B$22)*100),0,B22/SUM($B$20,$B$21,$B$22)*100)</f>
        <v>17.096018735362996</v>
      </c>
      <c r="D22" s="230"/>
      <c r="E22" s="15"/>
    </row>
    <row r="23" spans="1:7">
      <c r="A23" s="172" t="s">
        <v>75</v>
      </c>
      <c r="B23" s="37">
        <f>aantalw2001_niet_gespec</f>
        <v>75</v>
      </c>
      <c r="C23" s="167" t="s">
        <v>110</v>
      </c>
      <c r="D23" s="229"/>
      <c r="E23" s="15"/>
    </row>
    <row r="24" spans="1:7">
      <c r="A24" s="172" t="s">
        <v>76</v>
      </c>
      <c r="B24" s="37">
        <f>aantalw2001_steenkool</f>
        <v>140</v>
      </c>
      <c r="C24" s="167" t="s">
        <v>110</v>
      </c>
      <c r="D24" s="230"/>
      <c r="E24" s="15"/>
    </row>
    <row r="25" spans="1:7">
      <c r="A25" s="172" t="s">
        <v>77</v>
      </c>
      <c r="B25" s="37">
        <f>aantalw2001_stookolie</f>
        <v>4386</v>
      </c>
      <c r="C25" s="167" t="s">
        <v>110</v>
      </c>
      <c r="D25" s="229"/>
      <c r="E25" s="52"/>
    </row>
    <row r="26" spans="1:7">
      <c r="A26" s="172" t="s">
        <v>78</v>
      </c>
      <c r="B26" s="37">
        <f>aantalw2001_WP</f>
        <v>4</v>
      </c>
      <c r="C26" s="167" t="s">
        <v>110</v>
      </c>
      <c r="D26" s="229"/>
      <c r="E26" s="15"/>
    </row>
    <row r="27" spans="1:7" s="15" customFormat="1">
      <c r="A27" s="172"/>
      <c r="B27" s="29"/>
      <c r="C27" s="36"/>
      <c r="D27" s="229"/>
    </row>
    <row r="28" spans="1:7" s="15" customFormat="1">
      <c r="A28" s="231" t="s">
        <v>711</v>
      </c>
      <c r="B28" s="37">
        <f>aantalHuishoudens</f>
        <v>7352</v>
      </c>
      <c r="C28" s="36"/>
      <c r="D28" s="229"/>
    </row>
    <row r="29" spans="1:7" s="15" customFormat="1">
      <c r="A29" s="231" t="s">
        <v>712</v>
      </c>
      <c r="B29" s="37">
        <f>SUM(HH_hh_gas_aantal,HH_rest_gas_aantal)</f>
        <v>3194</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3194</v>
      </c>
      <c r="C32" s="168">
        <f>IF(ISERROR(B32/SUM($B$32,$B$34,$B$35,$B$36,$B$38,$B$39)*100),0,B32/SUM($B$32,$B$34,$B$35,$B$36,$B$38,$B$39)*100)</f>
        <v>43.598143598143594</v>
      </c>
      <c r="D32" s="234"/>
      <c r="G32" s="15"/>
    </row>
    <row r="33" spans="1:7">
      <c r="A33" s="172" t="s">
        <v>71</v>
      </c>
      <c r="B33" s="34" t="s">
        <v>110</v>
      </c>
      <c r="C33" s="168"/>
      <c r="D33" s="234"/>
      <c r="G33" s="15"/>
    </row>
    <row r="34" spans="1:7">
      <c r="A34" s="172" t="s">
        <v>72</v>
      </c>
      <c r="B34" s="33">
        <f>IF((($B$28-$B$32-$B$39-$B$77-$B$38)*C20/100)&lt;0,0,($B$28-$B$32-$B$39-$B$77-$B$38)*C20/100)</f>
        <v>254.91217798594852</v>
      </c>
      <c r="C34" s="168">
        <f>IF(ISERROR(B34/SUM($B$32,$B$34,$B$35,$B$36,$B$38,$B$39)*100),0,B34/SUM($B$32,$B$34,$B$35,$B$36,$B$38,$B$39)*100)</f>
        <v>3.4795547090629064</v>
      </c>
      <c r="D34" s="234"/>
      <c r="G34" s="15"/>
    </row>
    <row r="35" spans="1:7">
      <c r="A35" s="172" t="s">
        <v>73</v>
      </c>
      <c r="B35" s="33">
        <f>IF((($B$28-$B$32-$B$39-$B$77-$B$38)*C21/100)&lt;0,0,($B$28-$B$32-$B$39-$B$77-$B$38)*C21/100)</f>
        <v>1052.8981264637002</v>
      </c>
      <c r="C35" s="168">
        <f>IF(ISERROR(B35/SUM($B$32,$B$34,$B$35,$B$36,$B$38,$B$39)*100),0,B35/SUM($B$32,$B$34,$B$35,$B$36,$B$38,$B$39)*100)</f>
        <v>14.372073798303306</v>
      </c>
      <c r="D35" s="234"/>
      <c r="G35" s="15"/>
    </row>
    <row r="36" spans="1:7">
      <c r="A36" s="172" t="s">
        <v>74</v>
      </c>
      <c r="B36" s="33">
        <f>IF((($B$28-$B$32-$B$39-$B$77-$B$38)*C22/100)&lt;0,0,($B$28-$B$32-$B$39-$B$77-$B$38)*C22/100)</f>
        <v>269.6896955503513</v>
      </c>
      <c r="C36" s="168">
        <f>IF(ISERROR(B36/SUM($B$32,$B$34,$B$35,$B$36,$B$38,$B$39)*100),0,B36/SUM($B$32,$B$34,$B$35,$B$36,$B$38,$B$39)*100)</f>
        <v>3.6812680255303212</v>
      </c>
      <c r="D36" s="234"/>
      <c r="G36" s="15"/>
    </row>
    <row r="37" spans="1:7">
      <c r="A37" s="172" t="s">
        <v>75</v>
      </c>
      <c r="B37" s="34" t="s">
        <v>110</v>
      </c>
      <c r="C37" s="168"/>
      <c r="D37" s="174"/>
      <c r="G37" s="15"/>
    </row>
    <row r="38" spans="1:7">
      <c r="A38" s="172" t="s">
        <v>76</v>
      </c>
      <c r="B38" s="33">
        <f>IF((B24-(B29-B18)*0.1)&lt;0,0,B24-(B29-B18)*0.1)</f>
        <v>0</v>
      </c>
      <c r="C38" s="168">
        <f>IF(ISERROR(B38/SUM($B$32,$B$34,$B$35,$B$36,$B$38,$B$39)*100),0,B38/SUM($B$32,$B$34,$B$35,$B$36,$B$38,$B$39)*100)</f>
        <v>0</v>
      </c>
      <c r="D38" s="235"/>
      <c r="G38" s="15"/>
    </row>
    <row r="39" spans="1:7">
      <c r="A39" s="172" t="s">
        <v>77</v>
      </c>
      <c r="B39" s="33">
        <f>IF((B25-(B29-B18))&lt;0,0,B25-(B29-B18)*0.9)</f>
        <v>2554.5</v>
      </c>
      <c r="C39" s="168">
        <f>IF(ISERROR(B39/SUM($B$32,$B$34,$B$35,$B$36,$B$38,$B$39)*100),0,B39/SUM($B$32,$B$34,$B$35,$B$36,$B$38,$B$39)*100)</f>
        <v>34.86895986895987</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3194</v>
      </c>
      <c r="C44" s="34" t="s">
        <v>110</v>
      </c>
      <c r="D44" s="175"/>
    </row>
    <row r="45" spans="1:7">
      <c r="A45" s="172" t="s">
        <v>71</v>
      </c>
      <c r="B45" s="33" t="str">
        <f t="shared" si="0"/>
        <v>-</v>
      </c>
      <c r="C45" s="34" t="s">
        <v>110</v>
      </c>
      <c r="D45" s="175"/>
    </row>
    <row r="46" spans="1:7">
      <c r="A46" s="172" t="s">
        <v>72</v>
      </c>
      <c r="B46" s="33">
        <f t="shared" si="0"/>
        <v>254.91217798594852</v>
      </c>
      <c r="C46" s="34" t="s">
        <v>110</v>
      </c>
      <c r="D46" s="175"/>
    </row>
    <row r="47" spans="1:7">
      <c r="A47" s="172" t="s">
        <v>73</v>
      </c>
      <c r="B47" s="33">
        <f t="shared" si="0"/>
        <v>1052.8981264637002</v>
      </c>
      <c r="C47" s="34" t="s">
        <v>110</v>
      </c>
      <c r="D47" s="175"/>
    </row>
    <row r="48" spans="1:7">
      <c r="A48" s="172" t="s">
        <v>74</v>
      </c>
      <c r="B48" s="33">
        <f t="shared" si="0"/>
        <v>269.6896955503513</v>
      </c>
      <c r="C48" s="33">
        <f>B48*10</f>
        <v>2696.8969555035128</v>
      </c>
      <c r="D48" s="235"/>
    </row>
    <row r="49" spans="1:6">
      <c r="A49" s="172" t="s">
        <v>75</v>
      </c>
      <c r="B49" s="33" t="str">
        <f t="shared" si="0"/>
        <v>-</v>
      </c>
      <c r="C49" s="34" t="s">
        <v>110</v>
      </c>
      <c r="D49" s="235"/>
    </row>
    <row r="50" spans="1:6">
      <c r="A50" s="172" t="s">
        <v>76</v>
      </c>
      <c r="B50" s="33">
        <f t="shared" si="0"/>
        <v>0</v>
      </c>
      <c r="C50" s="33">
        <f>B50*2</f>
        <v>0</v>
      </c>
      <c r="D50" s="235"/>
    </row>
    <row r="51" spans="1:6">
      <c r="A51" s="172" t="s">
        <v>77</v>
      </c>
      <c r="B51" s="33">
        <f t="shared" si="0"/>
        <v>2554.5</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84</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26</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21947.017</v>
      </c>
      <c r="C5" s="17">
        <f>IF(ISERROR('Eigen informatie GS &amp; warmtenet'!B58),0,'Eigen informatie GS &amp; warmtenet'!B58)</f>
        <v>0</v>
      </c>
      <c r="D5" s="30">
        <f>SUM(D6:D12)</f>
        <v>16199.904666</v>
      </c>
      <c r="E5" s="17">
        <f>SUM(E6:E12)</f>
        <v>396.14994107881046</v>
      </c>
      <c r="F5" s="17">
        <f>SUM(F6:F12)</f>
        <v>4082.0948512844593</v>
      </c>
      <c r="G5" s="18"/>
      <c r="H5" s="17"/>
      <c r="I5" s="17"/>
      <c r="J5" s="17">
        <f>SUM(J6:J12)</f>
        <v>0</v>
      </c>
      <c r="K5" s="17"/>
      <c r="L5" s="17"/>
      <c r="M5" s="17"/>
      <c r="N5" s="17">
        <f>SUM(N6:N12)</f>
        <v>863.60681032526395</v>
      </c>
      <c r="O5" s="17">
        <f>B38*B39*B40</f>
        <v>0</v>
      </c>
      <c r="P5" s="17">
        <f>B46*B47*B48/1000-B46*B47*B48/1000/B49</f>
        <v>0</v>
      </c>
      <c r="R5" s="32"/>
    </row>
    <row r="6" spans="1:18">
      <c r="A6" s="32" t="s">
        <v>53</v>
      </c>
      <c r="B6" s="37">
        <f>B26</f>
        <v>5573.2139999999999</v>
      </c>
      <c r="C6" s="33"/>
      <c r="D6" s="37">
        <f>IF(ISERROR(TER_kantoor_gas_kWh/1000),0,TER_kantoor_gas_kWh/1000)*0.902</f>
        <v>5145.4526860000005</v>
      </c>
      <c r="E6" s="33">
        <f>$C$26*'E Balans VL '!I12/100/3.6*1000000</f>
        <v>195.08441361182003</v>
      </c>
      <c r="F6" s="33">
        <f>$C$26*('E Balans VL '!L12+'E Balans VL '!N12)/100/3.6*1000000</f>
        <v>845.01889813206139</v>
      </c>
      <c r="G6" s="34"/>
      <c r="H6" s="33"/>
      <c r="I6" s="33"/>
      <c r="J6" s="33">
        <f>$C$26*('E Balans VL '!D12+'E Balans VL '!E12)/100/3.6*1000000</f>
        <v>0</v>
      </c>
      <c r="K6" s="33"/>
      <c r="L6" s="33"/>
      <c r="M6" s="33"/>
      <c r="N6" s="33">
        <f>$C$26*'E Balans VL '!Y12/100/3.6*1000000</f>
        <v>43.07919985202517</v>
      </c>
      <c r="O6" s="33"/>
      <c r="P6" s="33"/>
      <c r="R6" s="32"/>
    </row>
    <row r="7" spans="1:18">
      <c r="A7" s="32" t="s">
        <v>52</v>
      </c>
      <c r="B7" s="37">
        <f t="shared" ref="B7:B12" si="0">B27</f>
        <v>2363.9</v>
      </c>
      <c r="C7" s="33"/>
      <c r="D7" s="37">
        <f>IF(ISERROR(TER_horeca_gas_kWh/1000),0,TER_horeca_gas_kWh/1000)*0.902</f>
        <v>2437.7776720000002</v>
      </c>
      <c r="E7" s="33">
        <f>$C$27*'E Balans VL '!I9/100/3.6*1000000</f>
        <v>133.35539221495861</v>
      </c>
      <c r="F7" s="33">
        <f>$C$27*('E Balans VL '!L9+'E Balans VL '!N9)/100/3.6*1000000</f>
        <v>411.8044619905649</v>
      </c>
      <c r="G7" s="34"/>
      <c r="H7" s="33"/>
      <c r="I7" s="33"/>
      <c r="J7" s="33">
        <f>$C$27*('E Balans VL '!D9+'E Balans VL '!E9)/100/3.6*1000000</f>
        <v>0</v>
      </c>
      <c r="K7" s="33"/>
      <c r="L7" s="33"/>
      <c r="M7" s="33"/>
      <c r="N7" s="33">
        <f>$C$27*'E Balans VL '!Y9/100/3.6*1000000</f>
        <v>0</v>
      </c>
      <c r="O7" s="33"/>
      <c r="P7" s="33"/>
      <c r="R7" s="32"/>
    </row>
    <row r="8" spans="1:18">
      <c r="A8" s="6" t="s">
        <v>51</v>
      </c>
      <c r="B8" s="37">
        <f t="shared" si="0"/>
        <v>8898.0130000000008</v>
      </c>
      <c r="C8" s="33"/>
      <c r="D8" s="37">
        <f>IF(ISERROR(TER_handel_gas_kWh/1000),0,TER_handel_gas_kWh/1000)*0.902</f>
        <v>3965.2235700000001</v>
      </c>
      <c r="E8" s="33">
        <f>$C$28*'E Balans VL '!I13/100/3.6*1000000</f>
        <v>45.681494716990606</v>
      </c>
      <c r="F8" s="33">
        <f>$C$28*('E Balans VL '!L13+'E Balans VL '!N13)/100/3.6*1000000</f>
        <v>1371.9361161853481</v>
      </c>
      <c r="G8" s="34"/>
      <c r="H8" s="33"/>
      <c r="I8" s="33"/>
      <c r="J8" s="33">
        <f>$C$28*('E Balans VL '!D13+'E Balans VL '!E13)/100/3.6*1000000</f>
        <v>0</v>
      </c>
      <c r="K8" s="33"/>
      <c r="L8" s="33"/>
      <c r="M8" s="33"/>
      <c r="N8" s="33">
        <f>$C$28*'E Balans VL '!Y13/100/3.6*1000000</f>
        <v>4.1617092949686336</v>
      </c>
      <c r="O8" s="33"/>
      <c r="P8" s="33"/>
      <c r="R8" s="32"/>
    </row>
    <row r="9" spans="1:18">
      <c r="A9" s="32" t="s">
        <v>50</v>
      </c>
      <c r="B9" s="37">
        <f t="shared" si="0"/>
        <v>1354.5150000000001</v>
      </c>
      <c r="C9" s="33"/>
      <c r="D9" s="37">
        <f>IF(ISERROR(TER_gezond_gas_kWh/1000),0,TER_gezond_gas_kWh/1000)*0.902</f>
        <v>2290.044504</v>
      </c>
      <c r="E9" s="33">
        <f>$C$29*'E Balans VL '!I10/100/3.6*1000000</f>
        <v>0.561436820989899</v>
      </c>
      <c r="F9" s="33">
        <f>$C$29*('E Balans VL '!L10+'E Balans VL '!N10)/100/3.6*1000000</f>
        <v>333.59761816357195</v>
      </c>
      <c r="G9" s="34"/>
      <c r="H9" s="33"/>
      <c r="I9" s="33"/>
      <c r="J9" s="33">
        <f>$C$29*('E Balans VL '!D10+'E Balans VL '!E10)/100/3.6*1000000</f>
        <v>0</v>
      </c>
      <c r="K9" s="33"/>
      <c r="L9" s="33"/>
      <c r="M9" s="33"/>
      <c r="N9" s="33">
        <f>$C$29*'E Balans VL '!Y10/100/3.6*1000000</f>
        <v>11.706362194099</v>
      </c>
      <c r="O9" s="33"/>
      <c r="P9" s="33"/>
      <c r="R9" s="32"/>
    </row>
    <row r="10" spans="1:18">
      <c r="A10" s="32" t="s">
        <v>49</v>
      </c>
      <c r="B10" s="37">
        <f t="shared" si="0"/>
        <v>3487.8110000000001</v>
      </c>
      <c r="C10" s="33"/>
      <c r="D10" s="37">
        <f>IF(ISERROR(TER_ander_gas_kWh/1000),0,TER_ander_gas_kWh/1000)*0.902</f>
        <v>1498.2310199999999</v>
      </c>
      <c r="E10" s="33">
        <f>$C$30*'E Balans VL '!I14/100/3.6*1000000</f>
        <v>21.261781909705572</v>
      </c>
      <c r="F10" s="33">
        <f>$C$30*('E Balans VL '!L14+'E Balans VL '!N14)/100/3.6*1000000</f>
        <v>924.66647369105237</v>
      </c>
      <c r="G10" s="34"/>
      <c r="H10" s="33"/>
      <c r="I10" s="33"/>
      <c r="J10" s="33">
        <f>$C$30*('E Balans VL '!D14+'E Balans VL '!E14)/100/3.6*1000000</f>
        <v>0</v>
      </c>
      <c r="K10" s="33"/>
      <c r="L10" s="33"/>
      <c r="M10" s="33"/>
      <c r="N10" s="33">
        <f>$C$30*'E Balans VL '!Y14/100/3.6*1000000</f>
        <v>803.86506945154906</v>
      </c>
      <c r="O10" s="33"/>
      <c r="P10" s="33"/>
      <c r="R10" s="32"/>
    </row>
    <row r="11" spans="1:18">
      <c r="A11" s="32" t="s">
        <v>54</v>
      </c>
      <c r="B11" s="37">
        <f t="shared" si="0"/>
        <v>269.56400000000002</v>
      </c>
      <c r="C11" s="33"/>
      <c r="D11" s="37">
        <f>IF(ISERROR(TER_onderwijs_gas_kWh/1000),0,TER_onderwijs_gas_kWh/1000)*0.902</f>
        <v>863.17521399999998</v>
      </c>
      <c r="E11" s="33">
        <f>$C$31*'E Balans VL '!I11/100/3.6*1000000</f>
        <v>0.20542180434576468</v>
      </c>
      <c r="F11" s="33">
        <f>$C$31*('E Balans VL '!L11+'E Balans VL '!N11)/100/3.6*1000000</f>
        <v>195.07128312186083</v>
      </c>
      <c r="G11" s="34"/>
      <c r="H11" s="33"/>
      <c r="I11" s="33"/>
      <c r="J11" s="33">
        <f>$C$31*('E Balans VL '!D11+'E Balans VL '!E11)/100/3.6*1000000</f>
        <v>0</v>
      </c>
      <c r="K11" s="33"/>
      <c r="L11" s="33"/>
      <c r="M11" s="33"/>
      <c r="N11" s="33">
        <f>$C$31*'E Balans VL '!Y11/100/3.6*1000000</f>
        <v>0.79446953262205666</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495</v>
      </c>
      <c r="B13" s="248">
        <f ca="1">'lokale energieproductie'!N38+'lokale energieproductie'!N31</f>
        <v>23.85</v>
      </c>
      <c r="C13" s="248">
        <f ca="1">'lokale energieproductie'!O38+'lokale energieproductie'!O31</f>
        <v>34.071428571428577</v>
      </c>
      <c r="D13" s="309">
        <f ca="1">('lokale energieproductie'!P31+'lokale energieproductie'!P38)*(-1)</f>
        <v>-68.142857142857153</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21970.866999999998</v>
      </c>
      <c r="C16" s="21">
        <f ca="1">C5+C13+C14</f>
        <v>34.071428571428577</v>
      </c>
      <c r="D16" s="21">
        <f t="shared" ref="D16:N16" ca="1" si="1">MAX((D5+D13+D14),0)</f>
        <v>16131.761808857143</v>
      </c>
      <c r="E16" s="21">
        <f t="shared" si="1"/>
        <v>396.14994107881046</v>
      </c>
      <c r="F16" s="21">
        <f t="shared" ca="1" si="1"/>
        <v>4082.0948512844593</v>
      </c>
      <c r="G16" s="21">
        <f t="shared" si="1"/>
        <v>0</v>
      </c>
      <c r="H16" s="21">
        <f t="shared" si="1"/>
        <v>0</v>
      </c>
      <c r="I16" s="21">
        <f t="shared" si="1"/>
        <v>0</v>
      </c>
      <c r="J16" s="21">
        <f t="shared" si="1"/>
        <v>0</v>
      </c>
      <c r="K16" s="21">
        <f t="shared" si="1"/>
        <v>0</v>
      </c>
      <c r="L16" s="21">
        <f t="shared" ca="1" si="1"/>
        <v>0</v>
      </c>
      <c r="M16" s="21">
        <f t="shared" si="1"/>
        <v>0</v>
      </c>
      <c r="N16" s="21">
        <f t="shared" ca="1" si="1"/>
        <v>863.60681032526395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0.2172801344514744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4773.8329357754619</v>
      </c>
      <c r="C20" s="23">
        <f t="shared" ref="C20:P20" ca="1" si="2">C16*C18</f>
        <v>8.0969747899159685</v>
      </c>
      <c r="D20" s="23">
        <f t="shared" ca="1" si="2"/>
        <v>3258.6158853891434</v>
      </c>
      <c r="E20" s="23">
        <f t="shared" si="2"/>
        <v>89.926036624889974</v>
      </c>
      <c r="F20" s="23">
        <f t="shared" ca="1" si="2"/>
        <v>1089.9193252929506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5573.2139999999999</v>
      </c>
      <c r="C26" s="39">
        <f>IF(ISERROR(B26*3.6/1000000/'E Balans VL '!Z12*100),0,B26*3.6/1000000/'E Balans VL '!Z12*100)</f>
        <v>0.11727904615028478</v>
      </c>
      <c r="D26" s="238" t="s">
        <v>718</v>
      </c>
      <c r="F26" s="6"/>
    </row>
    <row r="27" spans="1:18">
      <c r="A27" s="232" t="s">
        <v>52</v>
      </c>
      <c r="B27" s="33">
        <f>IF(ISERROR(TER_horeca_ele_kWh/1000),0,TER_horeca_ele_kWh/1000)</f>
        <v>2363.9</v>
      </c>
      <c r="C27" s="39">
        <f>IF(ISERROR(B27*3.6/1000000/'E Balans VL '!Z9*100),0,B27*3.6/1000000/'E Balans VL '!Z9*100)</f>
        <v>0.20014477050251372</v>
      </c>
      <c r="D27" s="238" t="s">
        <v>718</v>
      </c>
      <c r="F27" s="6"/>
    </row>
    <row r="28" spans="1:18">
      <c r="A28" s="172" t="s">
        <v>51</v>
      </c>
      <c r="B28" s="33">
        <f>IF(ISERROR(TER_handel_ele_kWh/1000),0,TER_handel_ele_kWh/1000)</f>
        <v>8898.0130000000008</v>
      </c>
      <c r="C28" s="39">
        <f>IF(ISERROR(B28*3.6/1000000/'E Balans VL '!Z13*100),0,B28*3.6/1000000/'E Balans VL '!Z13*100)</f>
        <v>0.24634025949625366</v>
      </c>
      <c r="D28" s="238" t="s">
        <v>718</v>
      </c>
      <c r="F28" s="6"/>
    </row>
    <row r="29" spans="1:18">
      <c r="A29" s="232" t="s">
        <v>50</v>
      </c>
      <c r="B29" s="33">
        <f>IF(ISERROR(TER_gezond_ele_kWh/1000),0,TER_gezond_ele_kWh/1000)</f>
        <v>1354.5150000000001</v>
      </c>
      <c r="C29" s="39">
        <f>IF(ISERROR(B29*3.6/1000000/'E Balans VL '!Z10*100),0,B29*3.6/1000000/'E Balans VL '!Z10*100)</f>
        <v>0.17607193345044972</v>
      </c>
      <c r="D29" s="238" t="s">
        <v>718</v>
      </c>
      <c r="F29" s="6"/>
    </row>
    <row r="30" spans="1:18">
      <c r="A30" s="232" t="s">
        <v>49</v>
      </c>
      <c r="B30" s="33">
        <f>IF(ISERROR(TER_ander_ele_kWh/1000),0,TER_ander_ele_kWh/1000)</f>
        <v>3487.8110000000001</v>
      </c>
      <c r="C30" s="39">
        <f>IF(ISERROR(B30*3.6/1000000/'E Balans VL '!Z14*100),0,B30*3.6/1000000/'E Balans VL '!Z14*100)</f>
        <v>0.27033733817028793</v>
      </c>
      <c r="D30" s="238" t="s">
        <v>718</v>
      </c>
      <c r="F30" s="6"/>
    </row>
    <row r="31" spans="1:18">
      <c r="A31" s="232" t="s">
        <v>54</v>
      </c>
      <c r="B31" s="33">
        <f>IF(ISERROR(TER_onderwijs_ele_kWh/1000),0,TER_onderwijs_ele_kWh/1000)</f>
        <v>269.56400000000002</v>
      </c>
      <c r="C31" s="39">
        <f>IF(ISERROR(B31*3.6/1000000/'E Balans VL '!Z11*100),0,B31*3.6/1000000/'E Balans VL '!Z11*100)</f>
        <v>5.1572186473356492E-2</v>
      </c>
      <c r="D31" s="238" t="s">
        <v>718</v>
      </c>
    </row>
    <row r="32" spans="1:18">
      <c r="A32" s="232" t="s">
        <v>259</v>
      </c>
      <c r="B32" s="33">
        <f>IF(ISERROR(TER_rest_ele_kWh/1000),0,TER_rest_ele_kWh/1000)</f>
        <v>0</v>
      </c>
      <c r="C32" s="39">
        <f>IF(ISERROR(B32*3.6/1000000/'E Balans VL '!Z8*100),0,B32*3.6/1000000/'E Balans VL '!Z8*100)</f>
        <v>0</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0</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0</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143023.36799999999</v>
      </c>
      <c r="C5" s="17">
        <f>IF(ISERROR('Eigen informatie GS &amp; warmtenet'!B59),0,'Eigen informatie GS &amp; warmtenet'!B59)</f>
        <v>0</v>
      </c>
      <c r="D5" s="30">
        <f>SUM(D6:D15)</f>
        <v>25217.285258000004</v>
      </c>
      <c r="E5" s="17">
        <f>SUM(E6:E15)</f>
        <v>2844.5646113992002</v>
      </c>
      <c r="F5" s="17">
        <f>SUM(F6:F15)</f>
        <v>18042.63882097858</v>
      </c>
      <c r="G5" s="18"/>
      <c r="H5" s="17"/>
      <c r="I5" s="17"/>
      <c r="J5" s="17">
        <f>SUM(J6:J15)</f>
        <v>1206.8121276640343</v>
      </c>
      <c r="K5" s="17"/>
      <c r="L5" s="17"/>
      <c r="M5" s="17"/>
      <c r="N5" s="17">
        <f>SUM(N6:N15)</f>
        <v>504.1230795296882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30124.294000000002</v>
      </c>
      <c r="C8" s="33"/>
      <c r="D8" s="37">
        <f>IF( ISERROR(IND_metaal_Gas_kWH/1000),0,IND_metaal_Gas_kWH/1000)*0.902</f>
        <v>881.059168</v>
      </c>
      <c r="E8" s="33">
        <f>C30*'E Balans VL '!I18/100/3.6*1000000</f>
        <v>211.67676731402148</v>
      </c>
      <c r="F8" s="33">
        <f>C30*'E Balans VL '!L18/100/3.6*1000000+C30*'E Balans VL '!N18/100/3.6*1000000</f>
        <v>3307.4712367326147</v>
      </c>
      <c r="G8" s="34"/>
      <c r="H8" s="33"/>
      <c r="I8" s="33"/>
      <c r="J8" s="40">
        <f>C30*'E Balans VL '!D18/100/3.6*1000000+C30*'E Balans VL '!E18/100/3.6*1000000</f>
        <v>621.52911487543724</v>
      </c>
      <c r="K8" s="33"/>
      <c r="L8" s="33"/>
      <c r="M8" s="33"/>
      <c r="N8" s="33">
        <f>C30*'E Balans VL '!Y18/100/3.6*1000000</f>
        <v>112.90802346132679</v>
      </c>
      <c r="O8" s="33"/>
      <c r="P8" s="33"/>
      <c r="R8" s="32"/>
    </row>
    <row r="9" spans="1:18">
      <c r="A9" s="6" t="s">
        <v>32</v>
      </c>
      <c r="B9" s="37">
        <f t="shared" si="0"/>
        <v>4642.5959999999995</v>
      </c>
      <c r="C9" s="33"/>
      <c r="D9" s="37">
        <f>IF( ISERROR(IND_andere_gas_kWh/1000),0,IND_andere_gas_kWh/1000)*0.902</f>
        <v>5515.8526720000009</v>
      </c>
      <c r="E9" s="33">
        <f>C31*'E Balans VL '!I19/100/3.6*1000000</f>
        <v>77.978087181687357</v>
      </c>
      <c r="F9" s="33">
        <f>C31*'E Balans VL '!L19/100/3.6*1000000+C31*'E Balans VL '!N19/100/3.6*1000000</f>
        <v>3629.3171302756296</v>
      </c>
      <c r="G9" s="34"/>
      <c r="H9" s="33"/>
      <c r="I9" s="33"/>
      <c r="J9" s="40">
        <f>C31*'E Balans VL '!D19/100/3.6*1000000+C31*'E Balans VL '!E19/100/3.6*1000000</f>
        <v>0.41872117721810914</v>
      </c>
      <c r="K9" s="33"/>
      <c r="L9" s="33"/>
      <c r="M9" s="33"/>
      <c r="N9" s="33">
        <f>C31*'E Balans VL '!Y19/100/3.6*1000000</f>
        <v>344.09084749546139</v>
      </c>
      <c r="O9" s="33"/>
      <c r="P9" s="33"/>
      <c r="R9" s="32"/>
    </row>
    <row r="10" spans="1:18">
      <c r="A10" s="6" t="s">
        <v>40</v>
      </c>
      <c r="B10" s="37">
        <f t="shared" si="0"/>
        <v>607.23699999999997</v>
      </c>
      <c r="C10" s="33"/>
      <c r="D10" s="37">
        <f>IF( ISERROR(IND_voed_gas_kWh/1000),0,IND_voed_gas_kWh/1000)*0.902</f>
        <v>381.82922800000006</v>
      </c>
      <c r="E10" s="33">
        <f>C32*'E Balans VL '!I20/100/3.6*1000000</f>
        <v>5.5401780506767828</v>
      </c>
      <c r="F10" s="33">
        <f>C32*'E Balans VL '!L20/100/3.6*1000000+C32*'E Balans VL '!N20/100/3.6*1000000</f>
        <v>97.966321361835639</v>
      </c>
      <c r="G10" s="34"/>
      <c r="H10" s="33"/>
      <c r="I10" s="33"/>
      <c r="J10" s="40">
        <f>C32*'E Balans VL '!D20/100/3.6*1000000+C32*'E Balans VL '!E20/100/3.6*1000000</f>
        <v>2.5010000898484166</v>
      </c>
      <c r="K10" s="33"/>
      <c r="L10" s="33"/>
      <c r="M10" s="33"/>
      <c r="N10" s="33">
        <f>C32*'E Balans VL '!Y20/100/3.6*1000000</f>
        <v>8.8833984901869094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101569.068</v>
      </c>
      <c r="C12" s="33"/>
      <c r="D12" s="37">
        <f>IF( ISERROR(IND_min_gas_kWh/1000),0,IND_min_gas_kWh/1000)*0.902</f>
        <v>0</v>
      </c>
      <c r="E12" s="33">
        <f>C34*'E Balans VL '!I22/100/3.6*1000000</f>
        <v>2519.2430923474767</v>
      </c>
      <c r="F12" s="33">
        <f>C34*'E Balans VL '!L22/100/3.6*1000000+C34*'E Balans VL '!N22/100/3.6*1000000</f>
        <v>10792.685998446268</v>
      </c>
      <c r="G12" s="34"/>
      <c r="H12" s="33"/>
      <c r="I12" s="33"/>
      <c r="J12" s="40">
        <f>C34*'E Balans VL '!D22/100/3.6*1000000+C34*'E Balans VL '!E22/100/3.6*1000000</f>
        <v>576.97190313000965</v>
      </c>
      <c r="K12" s="33"/>
      <c r="L12" s="33"/>
      <c r="M12" s="33"/>
      <c r="N12" s="33">
        <f>C34*'E Balans VL '!Y22/100/3.6*1000000</f>
        <v>0</v>
      </c>
      <c r="O12" s="33"/>
      <c r="P12" s="33"/>
      <c r="R12" s="32"/>
    </row>
    <row r="13" spans="1:18">
      <c r="A13" s="6" t="s">
        <v>38</v>
      </c>
      <c r="B13" s="37">
        <f t="shared" si="0"/>
        <v>182.61199999999999</v>
      </c>
      <c r="C13" s="33"/>
      <c r="D13" s="37">
        <f>IF( ISERROR(IND_papier_gas_kWh/1000),0,IND_papier_gas_kWh/1000)*0.902</f>
        <v>306.66556800000001</v>
      </c>
      <c r="E13" s="33">
        <f>C35*'E Balans VL '!I23/100/3.6*1000000</f>
        <v>5.6184946651249508</v>
      </c>
      <c r="F13" s="33">
        <f>C35*'E Balans VL '!L23/100/3.6*1000000+C35*'E Balans VL '!N23/100/3.6*1000000</f>
        <v>38.774909512341374</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5096.8620000000001</v>
      </c>
      <c r="C14" s="33"/>
      <c r="D14" s="37">
        <f>IF( ISERROR(IND_chemie_gas_kWh/1000),0,IND_chemie_gas_kWh/1000)*0.902</f>
        <v>0</v>
      </c>
      <c r="E14" s="33">
        <f>C36*'E Balans VL '!I24/100/3.6*1000000</f>
        <v>17.281872728793829</v>
      </c>
      <c r="F14" s="33">
        <f>C36*'E Balans VL '!L24/100/3.6*1000000+C36*'E Balans VL '!N24/100/3.6*1000000</f>
        <v>16.357065056760835</v>
      </c>
      <c r="G14" s="34"/>
      <c r="H14" s="33"/>
      <c r="I14" s="33"/>
      <c r="J14" s="40">
        <f>C36*'E Balans VL '!D24/100/3.6*1000000+C36*'E Balans VL '!E24/100/3.6*1000000</f>
        <v>0</v>
      </c>
      <c r="K14" s="33"/>
      <c r="L14" s="33"/>
      <c r="M14" s="33"/>
      <c r="N14" s="33">
        <f>C36*'E Balans VL '!Y24/100/3.6*1000000</f>
        <v>23.831545437821401</v>
      </c>
      <c r="O14" s="33"/>
      <c r="P14" s="33"/>
      <c r="R14" s="32"/>
    </row>
    <row r="15" spans="1:18">
      <c r="A15" s="6" t="s">
        <v>269</v>
      </c>
      <c r="B15" s="37">
        <f t="shared" si="0"/>
        <v>800.69899999999996</v>
      </c>
      <c r="C15" s="33"/>
      <c r="D15" s="37">
        <f>IF( ISERROR(IND_rest_gas_kWh/1000),0,IND_rest_gas_kWh/1000)*0.902</f>
        <v>18131.878622</v>
      </c>
      <c r="E15" s="33">
        <f>C37*'E Balans VL '!I15/100/3.6*1000000</f>
        <v>7.2261191114185452</v>
      </c>
      <c r="F15" s="33">
        <f>C37*'E Balans VL '!L15/100/3.6*1000000+C37*'E Balans VL '!N15/100/3.6*1000000</f>
        <v>160.06615959313118</v>
      </c>
      <c r="G15" s="34"/>
      <c r="H15" s="33"/>
      <c r="I15" s="33"/>
      <c r="J15" s="40">
        <f>C37*'E Balans VL '!D15/100/3.6*1000000+C37*'E Balans VL '!E15/100/3.6*1000000</f>
        <v>5.3913883915207759</v>
      </c>
      <c r="K15" s="33"/>
      <c r="L15" s="33"/>
      <c r="M15" s="33"/>
      <c r="N15" s="33">
        <f>C37*'E Balans VL '!Y15/100/3.6*1000000</f>
        <v>14.409264644891737</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143023.36799999999</v>
      </c>
      <c r="C18" s="21">
        <f>C5+C16</f>
        <v>0</v>
      </c>
      <c r="D18" s="21">
        <f>MAX((D5+D16),0)</f>
        <v>25217.285258000004</v>
      </c>
      <c r="E18" s="21">
        <f>MAX((E5+E16),0)</f>
        <v>2844.5646113992002</v>
      </c>
      <c r="F18" s="21">
        <f>MAX((F5+F16),0)</f>
        <v>18042.63882097858</v>
      </c>
      <c r="G18" s="21"/>
      <c r="H18" s="21"/>
      <c r="I18" s="21"/>
      <c r="J18" s="21">
        <f>MAX((J5+J16),0)</f>
        <v>1206.8121276640343</v>
      </c>
      <c r="K18" s="21"/>
      <c r="L18" s="21">
        <f>MAX((L5+L16),0)</f>
        <v>0</v>
      </c>
      <c r="M18" s="21"/>
      <c r="N18" s="21">
        <f>MAX((N5+N16),0)</f>
        <v>504.1230795296882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0.2172801344514744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31076.136628742697</v>
      </c>
      <c r="C22" s="23">
        <f ca="1">C18*C20</f>
        <v>0</v>
      </c>
      <c r="D22" s="23">
        <f>D18*D20</f>
        <v>5093.8916221160007</v>
      </c>
      <c r="E22" s="23">
        <f>E18*E20</f>
        <v>645.71616678761848</v>
      </c>
      <c r="F22" s="23">
        <f>F18*F20</f>
        <v>4817.3845652012815</v>
      </c>
      <c r="G22" s="23"/>
      <c r="H22" s="23"/>
      <c r="I22" s="23"/>
      <c r="J22" s="23">
        <f>J18*J20</f>
        <v>427.21149319306812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30124.294000000002</v>
      </c>
      <c r="C30" s="39">
        <f>IF(ISERROR(B30*3.6/1000000/'E Balans VL '!Z18*100),0,B30*3.6/1000000/'E Balans VL '!Z18*100)</f>
        <v>2.0053926470154213</v>
      </c>
      <c r="D30" s="238" t="s">
        <v>718</v>
      </c>
    </row>
    <row r="31" spans="1:18">
      <c r="A31" s="6" t="s">
        <v>32</v>
      </c>
      <c r="B31" s="37">
        <f>IF( ISERROR(IND_ander_ele_kWh/1000),0,IND_ander_ele_kWh/1000)</f>
        <v>4642.5959999999995</v>
      </c>
      <c r="C31" s="39">
        <f>IF(ISERROR(B31*3.6/1000000/'E Balans VL '!Z19*100),0,B31*3.6/1000000/'E Balans VL '!Z19*100)</f>
        <v>0.20578788231879769</v>
      </c>
      <c r="D31" s="238" t="s">
        <v>718</v>
      </c>
    </row>
    <row r="32" spans="1:18">
      <c r="A32" s="172" t="s">
        <v>40</v>
      </c>
      <c r="B32" s="37">
        <f>IF( ISERROR(IND_voed_ele_kWh/1000),0,IND_voed_ele_kWh/1000)</f>
        <v>607.23699999999997</v>
      </c>
      <c r="C32" s="39">
        <f>IF(ISERROR(B32*3.6/1000000/'E Balans VL '!Z20*100),0,B32*3.6/1000000/'E Balans VL '!Z20*100)</f>
        <v>2.0283457737502227E-2</v>
      </c>
      <c r="D32" s="238" t="s">
        <v>718</v>
      </c>
    </row>
    <row r="33" spans="1:5">
      <c r="A33" s="172" t="s">
        <v>39</v>
      </c>
      <c r="B33" s="37">
        <f>IF( ISERROR(IND_textiel_ele_kWh/1000),0,IND_textiel_ele_kWh/1000)</f>
        <v>0</v>
      </c>
      <c r="C33" s="39">
        <f>IF(ISERROR(B33*3.6/1000000/'E Balans VL '!Z21*100),0,B33*3.6/1000000/'E Balans VL '!Z21*100)</f>
        <v>0</v>
      </c>
      <c r="D33" s="238" t="s">
        <v>718</v>
      </c>
    </row>
    <row r="34" spans="1:5">
      <c r="A34" s="172" t="s">
        <v>36</v>
      </c>
      <c r="B34" s="37">
        <f>IF( ISERROR(IND_min_ele_kWh/1000),0,IND_min_ele_kWh/1000)</f>
        <v>101569.068</v>
      </c>
      <c r="C34" s="39">
        <f>IF(ISERROR(B34*3.6/1000000/'E Balans VL '!Z22*100),0,B34*3.6/1000000/'E Balans VL '!Z22*100)</f>
        <v>19.754068053206701</v>
      </c>
      <c r="D34" s="238" t="s">
        <v>718</v>
      </c>
    </row>
    <row r="35" spans="1:5">
      <c r="A35" s="172" t="s">
        <v>38</v>
      </c>
      <c r="B35" s="37">
        <f>IF( ISERROR(IND_papier_ele_kWh/1000),0,IND_papier_ele_kWh/1000)</f>
        <v>182.61199999999999</v>
      </c>
      <c r="C35" s="39">
        <f>IF(ISERROR(B35*3.6/1000000/'E Balans VL '!Z22*100),0,B35*3.6/1000000/'E Balans VL '!Z22*100)</f>
        <v>3.551602812120104E-2</v>
      </c>
      <c r="D35" s="238" t="s">
        <v>718</v>
      </c>
    </row>
    <row r="36" spans="1:5">
      <c r="A36" s="172" t="s">
        <v>33</v>
      </c>
      <c r="B36" s="37">
        <f>IF( ISERROR(IND_chemie_ele_kWh/1000),0,IND_chemie_ele_kWh/1000)</f>
        <v>5096.8620000000001</v>
      </c>
      <c r="C36" s="39">
        <f>IF(ISERROR(B36*3.6/1000000/'E Balans VL '!Z24*100),0,B36*3.6/1000000/'E Balans VL '!Z24*100)</f>
        <v>0.11968804763992597</v>
      </c>
      <c r="D36" s="238" t="s">
        <v>718</v>
      </c>
    </row>
    <row r="37" spans="1:5">
      <c r="A37" s="172" t="s">
        <v>269</v>
      </c>
      <c r="B37" s="37">
        <f>IF( ISERROR(IND_rest_ele_kWh/1000),0,IND_rest_ele_kWh/1000)</f>
        <v>800.69899999999996</v>
      </c>
      <c r="C37" s="39">
        <f>IF(ISERROR(B37*3.6/1000000/'E Balans VL '!Z15*100),0,B37*3.6/1000000/'E Balans VL '!Z15*100)</f>
        <v>5.9558961097473115E-3</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464.62900000000002</v>
      </c>
      <c r="C5" s="17">
        <f>'Eigen informatie GS &amp; warmtenet'!B60</f>
        <v>0</v>
      </c>
      <c r="D5" s="30">
        <f>IF(ISERROR(SUM(LB_lb_gas_kWh,LB_rest_gas_kWh)/1000),0,SUM(LB_lb_gas_kWh,LB_rest_gas_kWh)/1000)*0.902</f>
        <v>21.682276000000002</v>
      </c>
      <c r="E5" s="17">
        <f>B17*'E Balans VL '!I25/3.6*1000000/100</f>
        <v>4.8656954760765423</v>
      </c>
      <c r="F5" s="17">
        <f>B17*('E Balans VL '!L25/3.6*1000000+'E Balans VL '!N25/3.6*1000000)/100</f>
        <v>1988.9651630609605</v>
      </c>
      <c r="G5" s="18"/>
      <c r="H5" s="17"/>
      <c r="I5" s="17"/>
      <c r="J5" s="17">
        <f>('E Balans VL '!D25+'E Balans VL '!E25)/3.6*1000000*landbouw!B17/100</f>
        <v>41.495534240772649</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464.62900000000002</v>
      </c>
      <c r="C8" s="21">
        <f>C5+C6</f>
        <v>0</v>
      </c>
      <c r="D8" s="21">
        <f>MAX((D5+D6),0)</f>
        <v>21.682276000000002</v>
      </c>
      <c r="E8" s="21">
        <f>MAX((E5+E6),0)</f>
        <v>4.8656954760765423</v>
      </c>
      <c r="F8" s="21">
        <f>MAX((F5+F6),0)</f>
        <v>1988.9651630609605</v>
      </c>
      <c r="G8" s="21"/>
      <c r="H8" s="21"/>
      <c r="I8" s="21"/>
      <c r="J8" s="21">
        <f>MAX((J5+J6),0)</f>
        <v>41.495534240772649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0.2172801344514744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100.9546515900541</v>
      </c>
      <c r="C12" s="23">
        <f ca="1">C8*C10</f>
        <v>0</v>
      </c>
      <c r="D12" s="23">
        <f>D8*D10</f>
        <v>4.3798197520000004</v>
      </c>
      <c r="E12" s="23">
        <f>E8*E10</f>
        <v>1.1045128730693752</v>
      </c>
      <c r="F12" s="23">
        <f>F8*F10</f>
        <v>531.05369853727655</v>
      </c>
      <c r="G12" s="23"/>
      <c r="H12" s="23"/>
      <c r="I12" s="23"/>
      <c r="J12" s="23">
        <f>J8*J10</f>
        <v>14.689419121233517</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7.1515372097156665E-2</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173.27614689662215</v>
      </c>
      <c r="C26" s="248">
        <f>B26*'GWP N2O_CH4'!B5</f>
        <v>3638.7990848290651</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38.15836635362691</v>
      </c>
      <c r="C27" s="248">
        <f>B27*'GWP N2O_CH4'!B5</f>
        <v>801.32569342616512</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2.1263446563347714</v>
      </c>
      <c r="C28" s="248">
        <f>B28*'GWP N2O_CH4'!B4</f>
        <v>659.16684346377917</v>
      </c>
      <c r="D28" s="50"/>
    </row>
    <row r="29" spans="1:4">
      <c r="A29" s="41" t="s">
        <v>276</v>
      </c>
      <c r="B29" s="248">
        <f>B34*'ha_N2O bodem landbouw'!B4</f>
        <v>13.576567110005533</v>
      </c>
      <c r="C29" s="248">
        <f>B29*'GWP N2O_CH4'!B4</f>
        <v>4208.7358041017151</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2.2437060254435373E-3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3.3600455717560199E-6</v>
      </c>
      <c r="C5" s="443" t="s">
        <v>210</v>
      </c>
      <c r="D5" s="428">
        <f>SUM(D6:D11)</f>
        <v>1.9373916500570903E-5</v>
      </c>
      <c r="E5" s="428">
        <f>SUM(E6:E11)</f>
        <v>2.089298671092775E-3</v>
      </c>
      <c r="F5" s="441" t="s">
        <v>210</v>
      </c>
      <c r="G5" s="428">
        <f>SUM(G6:G11)</f>
        <v>0.40536105088158503</v>
      </c>
      <c r="H5" s="428">
        <f>SUM(H6:H11)</f>
        <v>6.7242573535217204E-2</v>
      </c>
      <c r="I5" s="443" t="s">
        <v>210</v>
      </c>
      <c r="J5" s="443" t="s">
        <v>210</v>
      </c>
      <c r="K5" s="443" t="s">
        <v>210</v>
      </c>
      <c r="L5" s="443" t="s">
        <v>210</v>
      </c>
      <c r="M5" s="428">
        <f>SUM(M6:M11)</f>
        <v>2.0557463985039021E-2</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1.1422320218750249E-6</v>
      </c>
      <c r="C6" s="429"/>
      <c r="D6" s="429">
        <f>vkm_GW_PW*SUMIFS(TableVerdeelsleutelVkm[CNG],TableVerdeelsleutelVkm[Voertuigtype],"Lichte voertuigen")*SUMIFS(TableECFTransport[EnergieConsumptieFactor (PJ per km)],TableECFTransport[Index],CONCATENATE($A6,"_CNG_CNG"))</f>
        <v>5.4178980274635709E-6</v>
      </c>
      <c r="E6" s="431">
        <f>vkm_GW_PW*SUMIFS(TableVerdeelsleutelVkm[LPG],TableVerdeelsleutelVkm[Voertuigtype],"Lichte voertuigen")*SUMIFS(TableECFTransport[EnergieConsumptieFactor (PJ per km)],TableECFTransport[Index],CONCATENATE($A6,"_LPG_LPG"))</f>
        <v>5.6063942726894747E-4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7.5937244281472874E-2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1.8907524313891515E-2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4.1415342179552768E-3</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2.6617542441874538E-2</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7.392307671702161E-7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1.1466956512628998E-3</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1.0635394955069249E-6</v>
      </c>
      <c r="C8" s="429"/>
      <c r="D8" s="431">
        <f>vkm_NGW_PW*SUMIFS(TableVerdeelsleutelVkm[CNG],TableVerdeelsleutelVkm[Voertuigtype],"Lichte voertuigen")*SUMIFS(TableECFTransport[EnergieConsumptieFactor (PJ per km)],TableECFTransport[Index],CONCATENATE($A8,"_CNG_CNG"))</f>
        <v>8.5345843293707749E-6</v>
      </c>
      <c r="E8" s="431">
        <f>vkm_NGW_PW*SUMIFS(TableVerdeelsleutelVkm[LPG],TableVerdeelsleutelVkm[Voertuigtype],"Lichte voertuigen")*SUMIFS(TableECFTransport[EnergieConsumptieFactor (PJ per km)],TableECFTransport[Index],CONCATENATE($A8,"_LPG_LPG"))</f>
        <v>8.2747348483318121E-4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0.10742565566420154</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2.8215117578768805E-2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5.9264117893916505E-3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1.5551717527397282E-2</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5.2004049125977169E-7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6.6997901354688835E-4</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1.1542740543740699E-6</v>
      </c>
      <c r="C10" s="429"/>
      <c r="D10" s="431">
        <f>vkm_SW_PW*SUMIFS(TableVerdeelsleutelVkm[CNG],TableVerdeelsleutelVkm[Voertuigtype],"Lichte voertuigen")*SUMIFS(TableECFTransport[EnergieConsumptieFactor (PJ per km)],TableECFTransport[Index],CONCATENATE($A10,"_CNG_CNG"))</f>
        <v>5.421434143736558E-6</v>
      </c>
      <c r="E10" s="431">
        <f>vkm_SW_PW*SUMIFS(TableVerdeelsleutelVkm[LPG],TableVerdeelsleutelVkm[Voertuigtype],"Lichte voertuigen")*SUMIFS(TableECFTransport[EnergieConsumptieFactor (PJ per km)],TableECFTransport[Index],CONCATENATE($A10,"_LPG_LPG"))</f>
        <v>7.0118575899064627E-4</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8.7341559114613998E-2</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2.0115974262565579E-2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4.6884416673614341E-3</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9.2487331852024776E-2</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2.6981087328786425E-6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3.9844016455208714E-3</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0.93334599215444991</v>
      </c>
      <c r="C14" s="21"/>
      <c r="D14" s="21">
        <f t="shared" ref="D14:M14" si="0">((D5)*10^9/3600)+D12</f>
        <v>5.3816434723808069</v>
      </c>
      <c r="E14" s="21">
        <f t="shared" si="0"/>
        <v>580.36074197021526</v>
      </c>
      <c r="F14" s="21"/>
      <c r="G14" s="21">
        <f t="shared" si="0"/>
        <v>112600.29191155139</v>
      </c>
      <c r="H14" s="21">
        <f t="shared" si="0"/>
        <v>18678.492648671447</v>
      </c>
      <c r="I14" s="21"/>
      <c r="J14" s="21"/>
      <c r="K14" s="21"/>
      <c r="L14" s="21"/>
      <c r="M14" s="21">
        <f t="shared" si="0"/>
        <v>5710.4066625108389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0.2172801344514744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0.20279754266506364</v>
      </c>
      <c r="C18" s="23"/>
      <c r="D18" s="23">
        <f t="shared" ref="D18:M18" si="1">D14*D16</f>
        <v>1.087091981420923</v>
      </c>
      <c r="E18" s="23">
        <f t="shared" si="1"/>
        <v>131.74188842723888</v>
      </c>
      <c r="F18" s="23"/>
      <c r="G18" s="23">
        <f t="shared" si="1"/>
        <v>30064.277940384225</v>
      </c>
      <c r="H18" s="23">
        <f t="shared" si="1"/>
        <v>4650.94466951919</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7.7907477671584364E-3</v>
      </c>
      <c r="H50" s="320">
        <f t="shared" si="2"/>
        <v>0</v>
      </c>
      <c r="I50" s="320">
        <f t="shared" si="2"/>
        <v>0</v>
      </c>
      <c r="J50" s="320">
        <f t="shared" si="2"/>
        <v>0</v>
      </c>
      <c r="K50" s="320">
        <f t="shared" si="2"/>
        <v>0</v>
      </c>
      <c r="L50" s="320">
        <f t="shared" si="2"/>
        <v>0</v>
      </c>
      <c r="M50" s="320">
        <f t="shared" si="2"/>
        <v>3.3129124126772932E-4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7.7907477671584364E-3</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3.3129124126772932E-4</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2164.0966019884545</v>
      </c>
      <c r="H54" s="21">
        <f t="shared" si="3"/>
        <v>0</v>
      </c>
      <c r="I54" s="21">
        <f t="shared" si="3"/>
        <v>0</v>
      </c>
      <c r="J54" s="21">
        <f t="shared" si="3"/>
        <v>0</v>
      </c>
      <c r="K54" s="21">
        <f t="shared" si="3"/>
        <v>0</v>
      </c>
      <c r="L54" s="21">
        <f t="shared" si="3"/>
        <v>0</v>
      </c>
      <c r="M54" s="21">
        <f t="shared" si="3"/>
        <v>92.025344796591483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0.2172801344514744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577.81379273091738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28" sqref="M28"/>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3415.5030213893597</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23.85</v>
      </c>
      <c r="C8" s="554">
        <f>B48</f>
        <v>28.058823529411768</v>
      </c>
      <c r="D8" s="975"/>
      <c r="E8" s="975">
        <f>E48</f>
        <v>0</v>
      </c>
      <c r="F8" s="976"/>
      <c r="G8" s="555"/>
      <c r="H8" s="975">
        <f>I48</f>
        <v>0</v>
      </c>
      <c r="I8" s="975">
        <f>G48+F48</f>
        <v>0</v>
      </c>
      <c r="J8" s="975">
        <f>H48+D48+C48</f>
        <v>0</v>
      </c>
      <c r="K8" s="975"/>
      <c r="L8" s="975"/>
      <c r="M8" s="975"/>
      <c r="N8" s="556"/>
      <c r="O8" s="557">
        <f>C8*$C$12+D8*$D$12+E8*$E$12+F8*$F$12+G8*$G$12+H8*$H$12+I8*$I$12+J8*$J$12</f>
        <v>5.6678823529411773</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3439.3530213893596</v>
      </c>
      <c r="C10" s="566">
        <f t="shared" ref="C10:L10" si="0">SUM(C8:C9)</f>
        <v>28.058823529411768</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5.6678823529411773</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34.071428571428577</v>
      </c>
      <c r="C17" s="578">
        <f>B49</f>
        <v>40.084033613445385</v>
      </c>
      <c r="D17" s="579"/>
      <c r="E17" s="579">
        <f>E49</f>
        <v>0</v>
      </c>
      <c r="F17" s="580"/>
      <c r="G17" s="581"/>
      <c r="H17" s="578">
        <f>I49</f>
        <v>0</v>
      </c>
      <c r="I17" s="579">
        <f>G49+F49</f>
        <v>0</v>
      </c>
      <c r="J17" s="579">
        <f>H49+D49+C49</f>
        <v>0</v>
      </c>
      <c r="K17" s="579"/>
      <c r="L17" s="579"/>
      <c r="M17" s="579"/>
      <c r="N17" s="971"/>
      <c r="O17" s="582">
        <f>C17*$C$22+E17*$E$22+H17*$H$22+I17*$I$22+J17*$J$22+D17*$D$22+F17*$F$22+G17*$G$22+K17*$K$22+L17*$L$22</f>
        <v>8.0969747899159685</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34.071428571428577</v>
      </c>
      <c r="C20" s="565">
        <f>SUM(C17:C19)</f>
        <v>40.084033613445385</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8.0969747899159685</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63.75">
      <c r="A28" s="590"/>
      <c r="B28" s="785">
        <v>71057</v>
      </c>
      <c r="C28" s="785">
        <v>3980</v>
      </c>
      <c r="D28" s="638" t="s">
        <v>971</v>
      </c>
      <c r="E28" s="637" t="s">
        <v>972</v>
      </c>
      <c r="F28" s="637" t="s">
        <v>973</v>
      </c>
      <c r="G28" s="637" t="s">
        <v>974</v>
      </c>
      <c r="H28" s="637" t="s">
        <v>975</v>
      </c>
      <c r="I28" s="637" t="s">
        <v>972</v>
      </c>
      <c r="J28" s="784">
        <v>39072</v>
      </c>
      <c r="K28" s="784">
        <v>39203</v>
      </c>
      <c r="L28" s="637" t="s">
        <v>976</v>
      </c>
      <c r="M28" s="637">
        <v>5.3</v>
      </c>
      <c r="N28" s="637">
        <v>23.85</v>
      </c>
      <c r="O28" s="637">
        <v>34.071428571428577</v>
      </c>
      <c r="P28" s="637">
        <v>68.142857142857153</v>
      </c>
      <c r="Q28" s="637">
        <v>0</v>
      </c>
      <c r="R28" s="637">
        <v>0</v>
      </c>
      <c r="S28" s="637">
        <v>0</v>
      </c>
      <c r="T28" s="637">
        <v>0</v>
      </c>
      <c r="U28" s="637">
        <v>0</v>
      </c>
      <c r="V28" s="637">
        <v>0</v>
      </c>
      <c r="W28" s="637">
        <v>0</v>
      </c>
      <c r="X28" s="637">
        <v>1600</v>
      </c>
      <c r="Y28" s="637" t="s">
        <v>49</v>
      </c>
      <c r="Z28" s="639" t="s">
        <v>155</v>
      </c>
    </row>
    <row r="29" spans="1:26" s="573" customFormat="1">
      <c r="A29" s="593" t="s">
        <v>279</v>
      </c>
      <c r="B29" s="594"/>
      <c r="C29" s="594"/>
      <c r="D29" s="594"/>
      <c r="E29" s="594"/>
      <c r="F29" s="594"/>
      <c r="G29" s="594"/>
      <c r="H29" s="594"/>
      <c r="I29" s="594"/>
      <c r="J29" s="594"/>
      <c r="K29" s="594"/>
      <c r="L29" s="595"/>
      <c r="M29" s="595">
        <f>SUM(M28:M28)</f>
        <v>5.3</v>
      </c>
      <c r="N29" s="595">
        <f>SUM(N28:N28)</f>
        <v>23.85</v>
      </c>
      <c r="O29" s="595">
        <f>SUM(O28:O28)</f>
        <v>34.071428571428577</v>
      </c>
      <c r="P29" s="595">
        <f>SUM(P28:P28)</f>
        <v>68.142857142857153</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5.3</v>
      </c>
      <c r="N31" s="595">
        <f ca="1">SUMIF($Z$28:AD28,"tertiair",N28:N28)</f>
        <v>23.85</v>
      </c>
      <c r="O31" s="595">
        <f ca="1">SUMIF($Z$28:AE28,"tertiair",O28:O28)</f>
        <v>34.071428571428577</v>
      </c>
      <c r="P31" s="595">
        <f ca="1">SUMIF($Z$28:AF28,"tertiair",P28:P28)</f>
        <v>68.142857142857153</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0.58823529411764708</v>
      </c>
      <c r="C45" s="620">
        <f>IF(ISERROR(N29/(O29+N29)),0,N29/(N29+O29))</f>
        <v>0.41176470588235292</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28.058823529411768</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40.084033613445385</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2020-06-20T16:44:25Z</dcterms:modified>
</cp:coreProperties>
</file>