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C18" i="16" s="1"/>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C11" i="14"/>
  <c r="B4" i="48"/>
  <c r="B11" i="16"/>
  <c r="O4" i="48"/>
  <c r="O22" i="48" s="1"/>
  <c r="P11" i="14"/>
  <c r="D4" i="48"/>
  <c r="D22" i="48" s="1"/>
  <c r="E11" i="14"/>
  <c r="B8" i="9"/>
  <c r="B6" i="48" s="1"/>
  <c r="Q6" i="48" s="1"/>
  <c r="P4" i="48"/>
  <c r="P22" i="48" s="1"/>
  <c r="Q11" i="14"/>
  <c r="Q10" i="14"/>
  <c r="P5" i="48"/>
  <c r="C19" i="14"/>
  <c r="B10" i="48"/>
  <c r="H12" i="22"/>
  <c r="I18" i="14"/>
  <c r="H13" i="48"/>
  <c r="H31" i="48" s="1"/>
  <c r="C8" i="48"/>
  <c r="D13" i="14"/>
  <c r="B16" i="16"/>
  <c r="D8" i="17"/>
  <c r="E8" i="16"/>
  <c r="F19" i="19"/>
  <c r="L19" i="19"/>
  <c r="L12" i="13"/>
  <c r="M12" i="13"/>
  <c r="N16" i="16"/>
  <c r="D12" i="22"/>
  <c r="D31" i="20"/>
  <c r="E12" i="22"/>
  <c r="B12" i="22"/>
  <c r="B13" i="16"/>
  <c r="C35" i="16"/>
  <c r="D14" i="15"/>
  <c r="K19" i="19"/>
  <c r="I19" i="19"/>
  <c r="P18" i="16"/>
  <c r="J8" i="17"/>
  <c r="J12" i="17" s="1"/>
  <c r="K54" i="14" s="1"/>
  <c r="K56" i="14" s="1"/>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E5" i="17"/>
  <c r="C8" i="17"/>
  <c r="P22" i="16" l="1"/>
  <c r="Q43" i="14" s="1"/>
  <c r="P8" i="48"/>
  <c r="P26" i="48" s="1"/>
  <c r="Q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B47" i="13" s="1"/>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N12" i="16"/>
  <c r="J12" i="16"/>
  <c r="F12" i="16"/>
  <c r="E12" i="16"/>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<sst xmlns="http://schemas.openxmlformats.org/spreadsheetml/2006/main" count="2513" uniqueCount="971">
  <si>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</si>
  <si>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</si>
  <si>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</si>
  <si>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</si>
  <si>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</si>
  <si>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</si>
  <si>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</si>
  <si>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</si>
  <si>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</si>
  <si>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</si>
  <si>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</si>
  <si>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</si>
  <si>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</si>
  <si>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</si>
  <si>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</si>
  <si>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</si>
  <si>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</si>
  <si>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</si>
  <si>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</si>
  <si>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</si>
  <si>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</si>
  <si>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</si>
  <si>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</si>
  <si>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</si>
  <si>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</si>
  <si>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</si>
  <si>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</si>
  <si>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</si>
  <si>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</si>
  <si>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</si>
  <si>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</si>
  <si>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</si>
  <si>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</si>
  <si>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</si>
  <si>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</si>
  <si>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</si>
  <si>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</si>
  <si>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</si>
  <si>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</si>
  <si>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</si>
  <si>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</si>
  <si>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</si>
  <si>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</si>
  <si>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</si>
  <si>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</si>
  <si>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</si>
  <si>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</si>
  <si>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</si>
  <si>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</si>
  <si>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</si>
  <si>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</si>
  <si>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</si>
  <si>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</si>
  <si>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</si>
  <si>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</si>
  <si>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</si>
  <si>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</si>
  <si>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</si>
  <si>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</si>
  <si>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</si>
  <si>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</si>
  <si>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</si>
  <si>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</si>
  <si>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</si>
  <si>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</si>
  <si>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</si>
  <si>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</si>
  <si>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</si>
  <si>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</si>
  <si>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</si>
  <si>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</si>
  <si>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</si>
  <si>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</si>
  <si>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</si>
  <si>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</si>
  <si>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</si>
  <si>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</si>
  <si>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</si>
  <si>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</si>
  <si>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</si>
  <si>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</si>
  <si>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</si>
  <si>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</si>
  <si>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</si>
  <si>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</si>
  <si>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</si>
  <si>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</si>
  <si>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</si>
  <si>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</si>
  <si>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</si>
  <si>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</si>
  <si>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</si>
  <si>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</si>
  <si>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</si>
  <si>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</si>
  <si>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</si>
  <si>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</si>
  <si>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</si>
  <si>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</si>
  <si>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</si>
  <si>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</si>
  <si>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</si>
  <si>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</si>
  <si>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</si>
  <si>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</si>
  <si>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</si>
  <si>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</si>
  <si>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</si>
  <si>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</si>
  <si>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</si>
  <si>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</si>
  <si>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</si>
  <si>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</si>
  <si>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</si>
  <si>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</si>
  <si>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</si>
  <si>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</si>
  <si>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</si>
  <si>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</si>
  <si>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</si>
  <si>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</si>
  <si>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</si>
  <si>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</si>
  <si>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</si>
  <si>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</si>
  <si>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</si>
  <si>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</si>
  <si>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</si>
  <si>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</si>
  <si>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</si>
  <si>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</si>
  <si>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</si>
  <si>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</si>
  <si>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</si>
  <si>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</si>
  <si>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</si>
  <si>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</si>
  <si>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</si>
  <si>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</si>
  <si>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</si>
  <si>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</si>
  <si>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</si>
  <si>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</si>
  <si>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</si>
  <si>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</si>
  <si>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</si>
  <si>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</si>
  <si>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</si>
  <si>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</si>
  <si>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</si>
  <si>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</si>
  <si>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</si>
  <si>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</si>
  <si>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</si>
  <si>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</si>
  <si>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</si>
  <si>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</si>
  <si>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</si>
  <si>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</si>
  <si>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</si>
  <si>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</si>
  <si>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</si>
  <si>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</si>
  <si>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</si>
  <si>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</si>
  <si>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</si>
  <si>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</si>
  <si>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</si>
  <si>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</si>
  <si>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</si>
  <si>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</si>
  <si>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</si>
  <si>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</si>
  <si>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</si>
  <si>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</si>
  <si>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</si>
  <si>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</si>
  <si>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</si>
  <si>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</si>
  <si>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</si>
  <si>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</si>
  <si>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</si>
  <si>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</si>
  <si>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</si>
  <si>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</si>
  <si>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</si>
  <si>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</si>
  <si>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</si>
  <si>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</si>
  <si>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</si>
  <si>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</si>
  <si>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</si>
  <si>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</si>
  <si>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</si>
  <si>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</si>
  <si>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</si>
  <si>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</si>
  <si>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</si>
  <si>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</si>
  <si>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</si>
  <si>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</si>
  <si>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</si>
  <si>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</si>
  <si>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</si>
  <si>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</si>
  <si>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</si>
  <si>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</si>
  <si>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</si>
  <si>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</si>
  <si>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</si>
  <si>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</si>
  <si>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</si>
  <si>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</si>
  <si>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</si>
  <si>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</si>
  <si>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</si>
  <si>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</si>
  <si>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</si>
  <si>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</si>
  <si>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</si>
  <si>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</si>
  <si>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</si>
  <si>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</si>
  <si>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</si>
  <si>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</si>
  <si>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</si>
  <si>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</si>
  <si>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</si>
  <si>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</si>
  <si>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</si>
  <si>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</si>
  <si>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</si>
  <si>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</si>
  <si>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</si>
  <si>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</si>
  <si>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</si>
  <si>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</si>
  <si>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</si>
  <si>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</si>
  <si>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</si>
  <si>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</si>
  <si>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</si>
  <si>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</si>
  <si>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</si>
  <si>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</si>
  <si>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</si>
  <si>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</si>
  <si>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</si>
  <si>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</si>
  <si>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</si>
  <si>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</si>
  <si>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</si>
  <si>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</si>
  <si>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</si>
  <si>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</si>
  <si>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</si>
  <si>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</si>
  <si>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</si>
  <si>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</si>
  <si>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</si>
  <si>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</si>
  <si>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</si>
  <si>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</si>
  <si>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</si>
  <si>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</si>
  <si>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</si>
  <si>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</si>
  <si>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</si>
  <si>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</si>
  <si>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</si>
  <si>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</si>
  <si>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</si>
  <si>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</si>
  <si>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</si>
  <si>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</si>
  <si>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</si>
  <si>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</si>
  <si>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</si>
  <si>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</si>
  <si>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</si>
  <si>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</si>
  <si>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</si>
  <si>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</si>
  <si>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</si>
  <si>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</si>
  <si>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</si>
  <si>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</si>
  <si>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</si>
  <si>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</si>
  <si>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</si>
  <si>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</si>
  <si>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</si>
  <si>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</si>
  <si>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</si>
  <si>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</si>
  <si>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</si>
  <si>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</si>
  <si>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</si>
  <si>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</si>
  <si>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</si>
  <si>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</si>
  <si>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</si>
  <si>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</si>
  <si>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</si>
  <si>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</si>
  <si>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</si>
  <si>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</si>
  <si>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</si>
  <si>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</si>
  <si>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</si>
  <si>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</si>
  <si>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</si>
  <si>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</si>
  <si>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</si>
  <si>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</si>
  <si>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</si>
  <si>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</si>
  <si>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</si>
  <si>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</si>
  <si>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</si>
  <si>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</si>
  <si>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</si>
  <si>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</si>
  <si>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</si>
  <si>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</si>
  <si>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</si>
  <si>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</si>
  <si>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</si>
  <si>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</si>
  <si>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</si>
  <si>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</si>
  <si>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</si>
  <si>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</si>
  <si>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</si>
  <si>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</si>
  <si>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</si>
  <si>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</si>
  <si>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</si>
  <si>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</si>
  <si>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</si>
  <si>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</si>
  <si>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</si>
  <si>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</si>
  <si>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</si>
  <si>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</si>
  <si>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</si>
  <si>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</si>
  <si>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</si>
  <si>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</si>
  <si>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</si>
  <si>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</si>
  <si>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</si>
  <si>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</si>
  <si>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</si>
  <si>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</si>
  <si>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</si>
  <si>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</si>
  <si>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</si>
  <si>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</si>
  <si>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</si>
  <si>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</si>
  <si>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</si>
  <si>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</si>
  <si>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</si>
  <si>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</si>
  <si>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</si>
  <si>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</si>
  <si>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</si>
  <si>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</si>
  <si>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</si>
  <si>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</si>
  <si>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</si>
  <si>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</si>
  <si>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</si>
  <si>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</si>
  <si>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</si>
  <si>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</si>
  <si>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</si>
  <si>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</si>
  <si>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</si>
  <si>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</si>
  <si>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</si>
  <si>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</si>
  <si>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</si>
  <si>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</si>
  <si>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</si>
  <si>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</si>
  <si>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</si>
  <si>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</si>
  <si>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</si>
  <si>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</si>
  <si>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</si>
  <si>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</si>
  <si>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</si>
  <si>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</si>
  <si>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</si>
  <si>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</si>
  <si>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</si>
  <si>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</si>
  <si>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</si>
  <si>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</si>
  <si>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</si>
  <si>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</si>
  <si>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</si>
  <si>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</si>
  <si>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</si>
  <si>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</si>
  <si>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</si>
  <si>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</si>
  <si>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</si>
  <si>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</si>
  <si>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</si>
  <si>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</si>
  <si>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</si>
  <si>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</si>
  <si>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</si>
  <si>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</si>
  <si>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</si>
  <si>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</si>
  <si>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</si>
  <si>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</si>
  <si>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</si>
  <si>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</si>
  <si>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</si>
  <si>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</si>
  <si>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</si>
  <si>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</si>
  <si>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</si>
  <si>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</si>
  <si>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</si>
  <si>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</si>
  <si>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</si>
  <si>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</si>
  <si>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</si>
  <si>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</si>
  <si>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</si>
  <si>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</si>
  <si>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</si>
  <si>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</si>
  <si>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</si>
  <si>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</si>
  <si>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</si>
  <si>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</si>
  <si>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</si>
  <si>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</si>
  <si>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</si>
  <si>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</si>
  <si>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</si>
  <si>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</si>
  <si>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</si>
  <si>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</si>
  <si>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</si>
  <si>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</si>
  <si>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</si>
  <si>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</si>
  <si>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</si>
  <si>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</si>
  <si>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</si>
  <si>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</si>
  <si>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</si>
  <si>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</si>
  <si>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</si>
  <si>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</si>
  <si>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</si>
  <si>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</si>
  <si>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</si>
  <si>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</si>
  <si>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</si>
  <si>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</si>
  <si>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</si>
  <si>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</si>
  <si>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</si>
  <si>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</si>
  <si>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</si>
  <si>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</si>
  <si>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</si>
  <si>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</si>
  <si>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</si>
  <si>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</si>
  <si>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</si>
  <si>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</si>
  <si>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</si>
  <si>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</si>
  <si>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</si>
  <si>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</si>
  <si>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</si>
  <si>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</si>
  <si>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</si>
  <si>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</si>
  <si>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</si>
  <si>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</si>
  <si>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</si>
  <si>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</si>
  <si>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</si>
  <si>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</si>
  <si>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</si>
  <si>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</si>
  <si>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</si>
  <si>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</si>
  <si>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</si>
  <si>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</si>
  <si>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</si>
  <si>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</si>
  <si>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</si>
  <si>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</si>
  <si>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</si>
  <si>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</si>
  <si>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</si>
  <si>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</si>
  <si>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</si>
  <si>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</si>
  <si>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</si>
  <si>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</si>
  <si>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</si>
  <si>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</si>
  <si>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</si>
  <si>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</si>
  <si>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</si>
  <si>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</si>
  <si>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</si>
  <si>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</si>
  <si>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</si>
  <si>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</si>
  <si>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</si>
  <si>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</si>
  <si>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</si>
  <si>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</si>
  <si>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</si>
  <si>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</si>
  <si>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</si>
  <si>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</si>
  <si>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</si>
  <si>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</si>
  <si>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</si>
  <si>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</si>
  <si>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</si>
  <si>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</si>
  <si>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</si>
  <si>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</si>
  <si>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</si>
  <si>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</si>
  <si>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</si>
  <si>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</si>
  <si>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</si>
  <si>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</si>
  <si>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</si>
  <si>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</si>
  <si>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</si>
  <si>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</si>
  <si>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</si>
  <si>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</si>
  <si>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</si>
  <si>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</si>
  <si>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</si>
  <si>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</si>
  <si>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</si>
  <si>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</si>
  <si>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</si>
  <si>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</si>
  <si>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</si>
  <si>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</si>
  <si>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</si>
  <si>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</si>
  <si>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</si>
  <si>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</si>
  <si>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</si>
  <si>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</si>
  <si>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</si>
  <si>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</si>
  <si>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</si>
  <si>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</si>
  <si>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</si>
  <si>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</si>
  <si>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</si>
  <si>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</si>
  <si>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</si>
  <si>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</si>
  <si>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</si>
  <si>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</si>
  <si>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</si>
  <si>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</si>
  <si>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</si>
  <si>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</si>
  <si>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</si>
  <si>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</si>
  <si>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</si>
  <si>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</si>
  <si>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</si>
  <si>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</si>
  <si>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</si>
  <si>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</si>
  <si>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</si>
  <si>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</si>
  <si>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</si>
  <si>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</si>
  <si>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</si>
  <si>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</si>
  <si>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</si>
  <si>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</si>
  <si>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</si>
  <si>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</si>
  <si>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</si>
  <si>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</si>
  <si>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</si>
  <si>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</si>
  <si>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</si>
  <si>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</si>
  <si>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</si>
  <si>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</si>
  <si>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</si>
  <si>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</si>
  <si>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</si>
  <si>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</si>
  <si>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</si>
  <si>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</si>
  <si>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</si>
  <si>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</si>
  <si>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</si>
  <si>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</si>
  <si>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</si>
  <si>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</si>
  <si>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</si>
  <si>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</si>
  <si>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</si>
  <si>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</si>
  <si>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</si>
  <si>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</si>
  <si>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</si>
  <si>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</si>
  <si>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</si>
  <si>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</si>
  <si>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</si>
  <si>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</si>
  <si>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</si>
  <si>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</si>
  <si>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</si>
  <si>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</si>
  <si>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</si>
  <si>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</si>
  <si>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</si>
  <si>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</si>
  <si>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</si>
  <si>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</si>
  <si>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</si>
  <si>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</si>
  <si>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</si>
  <si>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</si>
  <si>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</si>
  <si>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</si>
  <si>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</si>
  <si>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</si>
  <si>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</si>
  <si>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</si>
  <si>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</si>
  <si>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</si>
  <si>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</si>
  <si>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</si>
  <si>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</si>
  <si>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</si>
  <si>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</si>
  <si>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</si>
  <si>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</si>
  <si>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</si>
  <si>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</si>
  <si>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</si>
  <si>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</si>
  <si>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</si>
  <si>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</si>
  <si>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</si>
  <si>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</si>
  <si>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</si>
  <si>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</si>
  <si>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</si>
  <si>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</si>
  <si>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</si>
  <si>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</si>
  <si>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</si>
  <si>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</si>
  <si>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</si>
  <si>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</si>
  <si>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</si>
  <si>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</si>
  <si>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</si>
  <si>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</si>
  <si>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</si>
  <si>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</si>
  <si>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</si>
  <si>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</si>
  <si>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</si>
  <si>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</si>
  <si>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</si>
  <si>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</si>
  <si>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</si>
  <si>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</si>
  <si>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</si>
  <si>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</si>
  <si>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</si>
  <si>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</si>
  <si>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</si>
  <si>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</si>
  <si>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</si>
  <si>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</si>
  <si>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</si>
  <si>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</si>
  <si>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</si>
  <si>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</si>
  <si>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</si>
  <si>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</si>
  <si>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</si>
  <si>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</si>
  <si>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</si>
  <si>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</si>
  <si>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</si>
  <si>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</si>
  <si>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</si>
  <si>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</si>
  <si>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</si>
  <si>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</si>
  <si>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</si>
  <si>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</si>
  <si>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</si>
  <si>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</si>
  <si>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</si>
  <si>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</si>
  <si>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</si>
  <si>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</si>
  <si>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</si>
  <si>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</si>
  <si>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</si>
  <si>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</si>
  <si>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</si>
  <si>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</si>
  <si>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</si>
  <si>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</si>
  <si>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</si>
  <si>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</si>
  <si>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</si>
  <si>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</si>
  <si>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</si>
  <si>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</si>
  <si>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</si>
  <si>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</si>
  <si>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</si>
  <si>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</si>
  <si>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</si>
  <si>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</si>
  <si>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</si>
  <si>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</si>
  <si>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</si>
  <si>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</si>
  <si>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</si>
  <si>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</si>
  <si>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</si>
  <si>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</si>
  <si>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</si>
  <si>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</si>
  <si>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</si>
  <si>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</si>
  <si>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</si>
  <si>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</si>
  <si>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</si>
  <si>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</si>
  <si>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</si>
  <si>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</si>
  <si>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</si>
  <si>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</si>
  <si>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</si>
  <si>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</si>
  <si>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</si>
  <si>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</si>
  <si>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</si>
  <si>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</si>
  <si>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</si>
  <si>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</si>
  <si>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</si>
  <si>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</si>
  <si>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</si>
  <si>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</si>
  <si>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</si>
  <si>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</si>
  <si>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</si>
  <si>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</si>
  <si>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</si>
  <si>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</si>
  <si>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</si>
  <si>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</si>
  <si>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</si>
  <si>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</si>
  <si>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</si>
  <si>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</si>
  <si>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</si>
  <si>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</si>
  <si>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</si>
  <si>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</si>
  <si>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</si>
  <si>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</si>
  <si>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</si>
  <si>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</si>
  <si>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</si>
  <si>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</si>
  <si>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</si>
  <si>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</si>
  <si>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</si>
  <si>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</si>
  <si>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</si>
  <si>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</si>
  <si>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</si>
  <si>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</si>
  <si>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</si>
  <si>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</si>
  <si>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</si>
  <si>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</si>
  <si>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</si>
  <si>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</si>
  <si>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</si>
  <si>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</si>
  <si>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</si>
  <si>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</si>
  <si>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</si>
  <si>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</si>
  <si>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</si>
  <si>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</si>
  <si>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</si>
  <si>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</si>
  <si>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</si>
  <si>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</si>
  <si>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</si>
  <si>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</si>
  <si>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</si>
  <si>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</si>
  <si>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</si>
  <si>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</si>
  <si>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</si>
  <si>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</si>
  <si>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</si>
  <si>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</si>
  <si>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</si>
  <si>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</si>
  <si>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</si>
  <si>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</si>
  <si>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</si>
  <si>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</si>
  <si>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</si>
  <si>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</si>
  <si>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</si>
  <si>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</si>
  <si>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</si>
  <si>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</si>
  <si>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</si>
  <si>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</si>
  <si>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</si>
  <si>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</si>
  <si>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</si>
  <si>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</si>
  <si>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</si>
  <si>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</si>
  <si>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</si>
  <si>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</si>
  <si>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</si>
  <si>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</si>
  <si>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</si>
  <si>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</si>
  <si>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</si>
  <si>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</si>
  <si>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</si>
  <si>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</si>
  <si>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</si>
  <si>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</si>
  <si>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</si>
  <si>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</si>
  <si>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</si>
  <si>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</si>
  <si>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</si>
  <si>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</si>
  <si>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</si>
  <si>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</si>
  <si>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</si>
  <si>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</si>
  <si>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</si>
  <si>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</si>
  <si>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</si>
  <si>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</si>
  <si>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</si>
  <si>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</si>
  <si>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</si>
  <si>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</si>
  <si>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</si>
  <si>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</si>
  <si>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</si>
  <si>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</si>
  <si>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</si>
  <si>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</si>
  <si>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</si>
  <si>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</si>
  <si>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</si>
  <si>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</si>
  <si>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</si>
  <si>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</si>
  <si>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</si>
  <si>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</si>
  <si>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</si>
  <si>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</si>
  <si>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</si>
  <si>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</si>
  <si>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</si>
  <si>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</si>
  <si>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</si>
  <si>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</si>
  <si>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</si>
  <si>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</si>
  <si>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</si>
  <si>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</si>
  <si>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</si>
  <si>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</si>
  <si>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</si>
  <si>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</si>
  <si>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</si>
  <si>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</si>
  <si>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</si>
  <si>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</si>
  <si>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</si>
  <si>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</si>
  <si>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</si>
  <si>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</si>
  <si>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</si>
  <si>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</si>
  <si>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</si>
  <si>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</si>
  <si>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</si>
  <si>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</si>
  <si>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</si>
  <si>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</si>
  <si>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</si>
  <si>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</si>
  <si>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</si>
  <si>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</si>
  <si>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</si>
  <si>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</si>
  <si>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</si>
  <si>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</si>
  <si>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</si>
  <si>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</si>
  <si>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</si>
  <si>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</si>
  <si>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</si>
  <si>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</si>
  <si>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</si>
  <si>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</si>
  <si>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</si>
  <si>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</si>
  <si>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</si>
  <si>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</si>
  <si>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</si>
  <si>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</si>
  <si>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</si>
  <si>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</si>
  <si>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</si>
  <si>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</si>
  <si>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</si>
  <si>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</si>
  <si>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</si>
  <si>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</si>
  <si>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</si>
  <si>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</si>
  <si>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46025</t>
  </si>
  <si>
    <t>TEMSE</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</si>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</sst>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46025</v>
      </c>
      <c r="B6" s="394"/>
      <c r="C6" s="395"/>
    </row>
    <row r="7" spans="1:7" s="392" customFormat="1" ht="15.75" customHeight="1">
      <c r="A7" s="396" t="str">
        <f>txtMunicipality</f>
        <v>TEMSE</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0.20844791162119158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0.20844791162119158</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11607</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1867</v>
      </c>
      <c r="C14" s="331"/>
      <c r="D14" s="331"/>
      <c r="E14" s="331"/>
      <c r="F14" s="331"/>
    </row>
    <row r="15" spans="1:6">
      <c r="A15" s="1290" t="s">
        <v>183</v>
      </c>
      <c r="B15" s="1291">
        <v>636</v>
      </c>
      <c r="C15" s="331"/>
      <c r="D15" s="331"/>
      <c r="E15" s="331"/>
      <c r="F15" s="331"/>
    </row>
    <row r="16" spans="1:6">
      <c r="A16" s="1290" t="s">
        <v>6</v>
      </c>
      <c r="B16" s="1291">
        <v>1086</v>
      </c>
      <c r="C16" s="331"/>
      <c r="D16" s="331"/>
      <c r="E16" s="331"/>
      <c r="F16" s="331"/>
    </row>
    <row r="17" spans="1:6">
      <c r="A17" s="1290" t="s">
        <v>7</v>
      </c>
      <c r="B17" s="1291">
        <v>708</v>
      </c>
      <c r="C17" s="331"/>
      <c r="D17" s="331"/>
      <c r="E17" s="331"/>
      <c r="F17" s="331"/>
    </row>
    <row r="18" spans="1:6">
      <c r="A18" s="1290" t="s">
        <v>8</v>
      </c>
      <c r="B18" s="1291">
        <v>1163</v>
      </c>
      <c r="C18" s="331"/>
      <c r="D18" s="331"/>
      <c r="E18" s="331"/>
      <c r="F18" s="331"/>
    </row>
    <row r="19" spans="1:6">
      <c r="A19" s="1290" t="s">
        <v>9</v>
      </c>
      <c r="B19" s="1291">
        <v>999</v>
      </c>
      <c r="C19" s="331"/>
      <c r="D19" s="331"/>
      <c r="E19" s="331"/>
      <c r="F19" s="331"/>
    </row>
    <row r="20" spans="1:6">
      <c r="A20" s="1290" t="s">
        <v>10</v>
      </c>
      <c r="B20" s="1291">
        <v>629</v>
      </c>
      <c r="C20" s="331"/>
      <c r="D20" s="331"/>
      <c r="E20" s="331"/>
      <c r="F20" s="331"/>
    </row>
    <row r="21" spans="1:6">
      <c r="A21" s="1290" t="s">
        <v>11</v>
      </c>
      <c r="B21" s="1291">
        <v>3622</v>
      </c>
      <c r="C21" s="331"/>
      <c r="D21" s="331"/>
      <c r="E21" s="331"/>
      <c r="F21" s="331"/>
    </row>
    <row r="22" spans="1:6">
      <c r="A22" s="1290" t="s">
        <v>12</v>
      </c>
      <c r="B22" s="1291">
        <v>8939</v>
      </c>
      <c r="C22" s="331"/>
      <c r="D22" s="331"/>
      <c r="E22" s="331"/>
      <c r="F22" s="331"/>
    </row>
    <row r="23" spans="1:6">
      <c r="A23" s="1290" t="s">
        <v>13</v>
      </c>
      <c r="B23" s="1291">
        <v>204</v>
      </c>
      <c r="C23" s="331"/>
      <c r="D23" s="331"/>
      <c r="E23" s="331"/>
      <c r="F23" s="331"/>
    </row>
    <row r="24" spans="1:6">
      <c r="A24" s="1290" t="s">
        <v>14</v>
      </c>
      <c r="B24" s="1291">
        <v>17</v>
      </c>
      <c r="C24" s="331"/>
      <c r="D24" s="331"/>
      <c r="E24" s="331"/>
      <c r="F24" s="331"/>
    </row>
    <row r="25" spans="1:6">
      <c r="A25" s="1290" t="s">
        <v>15</v>
      </c>
      <c r="B25" s="1291">
        <v>1288</v>
      </c>
      <c r="C25" s="331"/>
      <c r="D25" s="331"/>
      <c r="E25" s="331"/>
      <c r="F25" s="331"/>
    </row>
    <row r="26" spans="1:6">
      <c r="A26" s="1290" t="s">
        <v>16</v>
      </c>
      <c r="B26" s="1291">
        <v>245</v>
      </c>
      <c r="C26" s="331"/>
      <c r="D26" s="331"/>
      <c r="E26" s="331"/>
      <c r="F26" s="331"/>
    </row>
    <row r="27" spans="1:6">
      <c r="A27" s="1290" t="s">
        <v>17</v>
      </c>
      <c r="B27" s="1291">
        <v>0</v>
      </c>
      <c r="C27" s="331"/>
      <c r="D27" s="331"/>
      <c r="E27" s="331"/>
      <c r="F27" s="331"/>
    </row>
    <row r="28" spans="1:6" s="43" customFormat="1">
      <c r="A28" s="1292" t="s">
        <v>18</v>
      </c>
      <c r="B28" s="1293">
        <v>48026</v>
      </c>
      <c r="C28" s="337"/>
      <c r="D28" s="337"/>
      <c r="E28" s="337"/>
      <c r="F28" s="337"/>
    </row>
    <row r="29" spans="1:6">
      <c r="A29" s="1292" t="s">
        <v>966</v>
      </c>
      <c r="B29" s="1293">
        <v>139</v>
      </c>
      <c r="C29" s="337"/>
      <c r="D29" s="337"/>
      <c r="E29" s="337"/>
      <c r="F29" s="337"/>
    </row>
    <row r="30" spans="1:6">
      <c r="A30" s="1285" t="s">
        <v>967</v>
      </c>
      <c r="B30" s="1294">
        <v>20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3</v>
      </c>
      <c r="F36" s="1291">
        <v>14519.096251516001</v>
      </c>
    </row>
    <row r="37" spans="1:6">
      <c r="A37" s="1290" t="s">
        <v>24</v>
      </c>
      <c r="B37" s="1290" t="s">
        <v>27</v>
      </c>
      <c r="C37" s="1291">
        <v>0</v>
      </c>
      <c r="D37" s="1291">
        <v>0</v>
      </c>
      <c r="E37" s="1291">
        <v>0</v>
      </c>
      <c r="F37" s="1291">
        <v>0</v>
      </c>
    </row>
    <row r="38" spans="1:6">
      <c r="A38" s="1290" t="s">
        <v>24</v>
      </c>
      <c r="B38" s="1290" t="s">
        <v>28</v>
      </c>
      <c r="C38" s="1291">
        <v>1</v>
      </c>
      <c r="D38" s="1291">
        <v>164555.37078654001</v>
      </c>
      <c r="E38" s="1291">
        <v>2</v>
      </c>
      <c r="F38" s="1291">
        <v>31550.200688520101</v>
      </c>
    </row>
    <row r="39" spans="1:6">
      <c r="A39" s="1290" t="s">
        <v>29</v>
      </c>
      <c r="B39" s="1290" t="s">
        <v>30</v>
      </c>
      <c r="C39" s="1291">
        <v>8303</v>
      </c>
      <c r="D39" s="1291">
        <v>127664321.04828601</v>
      </c>
      <c r="E39" s="1291">
        <v>11253</v>
      </c>
      <c r="F39" s="1291">
        <v>49780808.105694503</v>
      </c>
    </row>
    <row r="40" spans="1:6">
      <c r="A40" s="1290" t="s">
        <v>29</v>
      </c>
      <c r="B40" s="1290" t="s">
        <v>28</v>
      </c>
      <c r="C40" s="1291">
        <v>0</v>
      </c>
      <c r="D40" s="1291">
        <v>0</v>
      </c>
      <c r="E40" s="1291">
        <v>0</v>
      </c>
      <c r="F40" s="1291">
        <v>0</v>
      </c>
    </row>
    <row r="41" spans="1:6">
      <c r="A41" s="1290" t="s">
        <v>31</v>
      </c>
      <c r="B41" s="1290" t="s">
        <v>32</v>
      </c>
      <c r="C41" s="1291">
        <v>115</v>
      </c>
      <c r="D41" s="1291">
        <v>7624240.4917737003</v>
      </c>
      <c r="E41" s="1291">
        <v>235</v>
      </c>
      <c r="F41" s="1291">
        <v>3944339.9827670599</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17</v>
      </c>
      <c r="D44" s="1291">
        <v>1191850.9746620599</v>
      </c>
      <c r="E44" s="1291">
        <v>17</v>
      </c>
      <c r="F44" s="1291">
        <v>1484397.10832049</v>
      </c>
    </row>
    <row r="45" spans="1:6">
      <c r="A45" s="1290" t="s">
        <v>31</v>
      </c>
      <c r="B45" s="1290" t="s">
        <v>36</v>
      </c>
      <c r="C45" s="1291">
        <v>0</v>
      </c>
      <c r="D45" s="1291">
        <v>0</v>
      </c>
      <c r="E45" s="1291">
        <v>6</v>
      </c>
      <c r="F45" s="1291">
        <v>519470.902646776</v>
      </c>
    </row>
    <row r="46" spans="1:6">
      <c r="A46" s="1290" t="s">
        <v>31</v>
      </c>
      <c r="B46" s="1290" t="s">
        <v>37</v>
      </c>
      <c r="C46" s="1291">
        <v>0</v>
      </c>
      <c r="D46" s="1291">
        <v>0</v>
      </c>
      <c r="E46" s="1291">
        <v>0</v>
      </c>
      <c r="F46" s="1291">
        <v>0</v>
      </c>
    </row>
    <row r="47" spans="1:6">
      <c r="A47" s="1290" t="s">
        <v>31</v>
      </c>
      <c r="B47" s="1290" t="s">
        <v>38</v>
      </c>
      <c r="C47" s="1291">
        <v>3</v>
      </c>
      <c r="D47" s="1291">
        <v>28370.535978078598</v>
      </c>
      <c r="E47" s="1291">
        <v>4</v>
      </c>
      <c r="F47" s="1291">
        <v>55645.965364417003</v>
      </c>
    </row>
    <row r="48" spans="1:6">
      <c r="A48" s="1290" t="s">
        <v>31</v>
      </c>
      <c r="B48" s="1290" t="s">
        <v>28</v>
      </c>
      <c r="C48" s="1291">
        <v>40</v>
      </c>
      <c r="D48" s="1291">
        <v>17404217.923730701</v>
      </c>
      <c r="E48" s="1291">
        <v>53</v>
      </c>
      <c r="F48" s="1291">
        <v>29790967.288226601</v>
      </c>
    </row>
    <row r="49" spans="1:6">
      <c r="A49" s="1290" t="s">
        <v>31</v>
      </c>
      <c r="B49" s="1290" t="s">
        <v>39</v>
      </c>
      <c r="C49" s="1291">
        <v>0</v>
      </c>
      <c r="D49" s="1291">
        <v>0</v>
      </c>
      <c r="E49" s="1291">
        <v>3</v>
      </c>
      <c r="F49" s="1291">
        <v>961262.08476887504</v>
      </c>
    </row>
    <row r="50" spans="1:6">
      <c r="A50" s="1290" t="s">
        <v>31</v>
      </c>
      <c r="B50" s="1290" t="s">
        <v>40</v>
      </c>
      <c r="C50" s="1291">
        <v>23</v>
      </c>
      <c r="D50" s="1291">
        <v>7125759.3057945697</v>
      </c>
      <c r="E50" s="1291">
        <v>29</v>
      </c>
      <c r="F50" s="1291">
        <v>3345656.1094638198</v>
      </c>
    </row>
    <row r="51" spans="1:6">
      <c r="A51" s="1290" t="s">
        <v>41</v>
      </c>
      <c r="B51" s="1290" t="s">
        <v>42</v>
      </c>
      <c r="C51" s="1291">
        <v>3</v>
      </c>
      <c r="D51" s="1291">
        <v>99400.839925067805</v>
      </c>
      <c r="E51" s="1291">
        <v>74</v>
      </c>
      <c r="F51" s="1291">
        <v>1426458.37628558</v>
      </c>
    </row>
    <row r="52" spans="1:6">
      <c r="A52" s="1290" t="s">
        <v>41</v>
      </c>
      <c r="B52" s="1290" t="s">
        <v>28</v>
      </c>
      <c r="C52" s="1291">
        <v>5</v>
      </c>
      <c r="D52" s="1291">
        <v>156519.852927581</v>
      </c>
      <c r="E52" s="1291">
        <v>6</v>
      </c>
      <c r="F52" s="1291">
        <v>106031.265282304</v>
      </c>
    </row>
    <row r="53" spans="1:6">
      <c r="A53" s="1290" t="s">
        <v>43</v>
      </c>
      <c r="B53" s="1290" t="s">
        <v>44</v>
      </c>
      <c r="C53" s="1291">
        <v>344</v>
      </c>
      <c r="D53" s="1291">
        <v>6313350.9689135002</v>
      </c>
      <c r="E53" s="1291">
        <v>563</v>
      </c>
      <c r="F53" s="1291">
        <v>2818782.7090128502</v>
      </c>
    </row>
    <row r="54" spans="1:6">
      <c r="A54" s="1290" t="s">
        <v>45</v>
      </c>
      <c r="B54" s="1290" t="s">
        <v>46</v>
      </c>
      <c r="C54" s="1291">
        <v>0</v>
      </c>
      <c r="D54" s="1291">
        <v>0</v>
      </c>
      <c r="E54" s="1291">
        <v>1</v>
      </c>
      <c r="F54" s="1291">
        <v>1619307</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52</v>
      </c>
      <c r="D57" s="1291">
        <v>1691839.8874919401</v>
      </c>
      <c r="E57" s="1291">
        <v>167</v>
      </c>
      <c r="F57" s="1291">
        <v>3860987.1940215998</v>
      </c>
    </row>
    <row r="58" spans="1:6">
      <c r="A58" s="1290" t="s">
        <v>48</v>
      </c>
      <c r="B58" s="1290" t="s">
        <v>50</v>
      </c>
      <c r="C58" s="1291">
        <v>25</v>
      </c>
      <c r="D58" s="1291">
        <v>2711413.2972546602</v>
      </c>
      <c r="E58" s="1291">
        <v>38</v>
      </c>
      <c r="F58" s="1291">
        <v>1862075.03212187</v>
      </c>
    </row>
    <row r="59" spans="1:6">
      <c r="A59" s="1290" t="s">
        <v>48</v>
      </c>
      <c r="B59" s="1290" t="s">
        <v>51</v>
      </c>
      <c r="C59" s="1291">
        <v>208</v>
      </c>
      <c r="D59" s="1291">
        <v>13331995.574318601</v>
      </c>
      <c r="E59" s="1291">
        <v>361</v>
      </c>
      <c r="F59" s="1291">
        <v>14251257.7824551</v>
      </c>
    </row>
    <row r="60" spans="1:6">
      <c r="A60" s="1290" t="s">
        <v>48</v>
      </c>
      <c r="B60" s="1290" t="s">
        <v>52</v>
      </c>
      <c r="C60" s="1291">
        <v>71</v>
      </c>
      <c r="D60" s="1291">
        <v>2785768.8981842799</v>
      </c>
      <c r="E60" s="1291">
        <v>90</v>
      </c>
      <c r="F60" s="1291">
        <v>2198058.0945851202</v>
      </c>
    </row>
    <row r="61" spans="1:6">
      <c r="A61" s="1290" t="s">
        <v>48</v>
      </c>
      <c r="B61" s="1290" t="s">
        <v>53</v>
      </c>
      <c r="C61" s="1291">
        <v>265</v>
      </c>
      <c r="D61" s="1291">
        <v>17603362.574084502</v>
      </c>
      <c r="E61" s="1291">
        <v>491</v>
      </c>
      <c r="F61" s="1291">
        <v>14436685.8173986</v>
      </c>
    </row>
    <row r="62" spans="1:6">
      <c r="A62" s="1290" t="s">
        <v>48</v>
      </c>
      <c r="B62" s="1290" t="s">
        <v>54</v>
      </c>
      <c r="C62" s="1291">
        <v>12</v>
      </c>
      <c r="D62" s="1291">
        <v>3070194.08334522</v>
      </c>
      <c r="E62" s="1291">
        <v>16</v>
      </c>
      <c r="F62" s="1291">
        <v>475985.56013686402</v>
      </c>
    </row>
    <row r="63" spans="1:6">
      <c r="A63" s="1290" t="s">
        <v>48</v>
      </c>
      <c r="B63" s="1290" t="s">
        <v>28</v>
      </c>
      <c r="C63" s="1291">
        <v>95</v>
      </c>
      <c r="D63" s="1291">
        <v>8479530.0578473806</v>
      </c>
      <c r="E63" s="1291">
        <v>102</v>
      </c>
      <c r="F63" s="1291">
        <v>4804304.7346080001</v>
      </c>
    </row>
    <row r="64" spans="1:6">
      <c r="A64" s="1290" t="s">
        <v>55</v>
      </c>
      <c r="B64" s="1290" t="s">
        <v>56</v>
      </c>
      <c r="C64" s="1291">
        <v>0</v>
      </c>
      <c r="D64" s="1291">
        <v>0</v>
      </c>
      <c r="E64" s="1291">
        <v>0</v>
      </c>
      <c r="F64" s="1291">
        <v>0</v>
      </c>
    </row>
    <row r="65" spans="1:6">
      <c r="A65" s="1290" t="s">
        <v>55</v>
      </c>
      <c r="B65" s="1290" t="s">
        <v>28</v>
      </c>
      <c r="C65" s="1291">
        <v>2</v>
      </c>
      <c r="D65" s="1291">
        <v>29472.9136074325</v>
      </c>
      <c r="E65" s="1291">
        <v>2</v>
      </c>
      <c r="F65" s="1291">
        <v>45704.662770265</v>
      </c>
    </row>
    <row r="66" spans="1:6">
      <c r="A66" s="1290" t="s">
        <v>55</v>
      </c>
      <c r="B66" s="1290" t="s">
        <v>57</v>
      </c>
      <c r="C66" s="1291">
        <v>0</v>
      </c>
      <c r="D66" s="1291">
        <v>0</v>
      </c>
      <c r="E66" s="1291">
        <v>3</v>
      </c>
      <c r="F66" s="1291">
        <v>37595.287069591497</v>
      </c>
    </row>
    <row r="67" spans="1:6">
      <c r="A67" s="1292" t="s">
        <v>55</v>
      </c>
      <c r="B67" s="1292" t="s">
        <v>58</v>
      </c>
      <c r="C67" s="1291">
        <v>0</v>
      </c>
      <c r="D67" s="1291">
        <v>0</v>
      </c>
      <c r="E67" s="1291">
        <v>0</v>
      </c>
      <c r="F67" s="1291">
        <v>0</v>
      </c>
    </row>
    <row r="68" spans="1:6">
      <c r="A68" s="1285" t="s">
        <v>55</v>
      </c>
      <c r="B68" s="1285" t="s">
        <v>59</v>
      </c>
      <c r="C68" s="1294">
        <v>9</v>
      </c>
      <c r="D68" s="1294">
        <v>583412.14908082702</v>
      </c>
      <c r="E68" s="1294">
        <v>18</v>
      </c>
      <c r="F68" s="1294">
        <v>500134.410870925</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100995453</v>
      </c>
      <c r="E73" s="455"/>
      <c r="F73" s="331"/>
    </row>
    <row r="74" spans="1:6">
      <c r="A74" s="1290" t="s">
        <v>63</v>
      </c>
      <c r="B74" s="1290" t="s">
        <v>773</v>
      </c>
      <c r="C74" s="1304" t="s">
        <v>774</v>
      </c>
      <c r="D74" s="1305">
        <v>10731820.630361224</v>
      </c>
      <c r="E74" s="455"/>
      <c r="F74" s="331"/>
    </row>
    <row r="75" spans="1:6">
      <c r="A75" s="1290" t="s">
        <v>64</v>
      </c>
      <c r="B75" s="1290" t="s">
        <v>771</v>
      </c>
      <c r="C75" s="1304" t="s">
        <v>775</v>
      </c>
      <c r="D75" s="1305">
        <v>75854074</v>
      </c>
      <c r="E75" s="455"/>
      <c r="F75" s="331"/>
    </row>
    <row r="76" spans="1:6">
      <c r="A76" s="1290" t="s">
        <v>64</v>
      </c>
      <c r="B76" s="1290" t="s">
        <v>773</v>
      </c>
      <c r="C76" s="1304" t="s">
        <v>776</v>
      </c>
      <c r="D76" s="1305">
        <v>3569258.6303612231</v>
      </c>
      <c r="E76" s="455"/>
      <c r="F76" s="331"/>
    </row>
    <row r="77" spans="1:6">
      <c r="A77" s="1290" t="s">
        <v>65</v>
      </c>
      <c r="B77" s="1290" t="s">
        <v>771</v>
      </c>
      <c r="C77" s="1304" t="s">
        <v>777</v>
      </c>
      <c r="D77" s="1305">
        <v>119285142</v>
      </c>
      <c r="E77" s="455"/>
      <c r="F77" s="331"/>
    </row>
    <row r="78" spans="1:6">
      <c r="A78" s="1285" t="s">
        <v>65</v>
      </c>
      <c r="B78" s="1285" t="s">
        <v>773</v>
      </c>
      <c r="C78" s="1285" t="s">
        <v>778</v>
      </c>
      <c r="D78" s="1306">
        <v>29187696</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711316.73927755363</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2364.6772438738049</v>
      </c>
      <c r="C91" s="331"/>
      <c r="D91" s="331"/>
      <c r="E91" s="331"/>
      <c r="F91" s="331"/>
    </row>
    <row r="92" spans="1:6">
      <c r="A92" s="1285" t="s">
        <v>68</v>
      </c>
      <c r="B92" s="1286">
        <v>5593.0759980254707</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5711</v>
      </c>
      <c r="C97" s="331"/>
      <c r="D97" s="331"/>
      <c r="E97" s="331"/>
      <c r="F97" s="331"/>
    </row>
    <row r="98" spans="1:6">
      <c r="A98" s="1290" t="s">
        <v>71</v>
      </c>
      <c r="B98" s="1291">
        <v>8</v>
      </c>
      <c r="C98" s="331"/>
      <c r="D98" s="331"/>
      <c r="E98" s="331"/>
      <c r="F98" s="331"/>
    </row>
    <row r="99" spans="1:6">
      <c r="A99" s="1290" t="s">
        <v>72</v>
      </c>
      <c r="B99" s="1291">
        <v>124</v>
      </c>
      <c r="C99" s="331"/>
      <c r="D99" s="331"/>
      <c r="E99" s="331"/>
      <c r="F99" s="331"/>
    </row>
    <row r="100" spans="1:6">
      <c r="A100" s="1290" t="s">
        <v>73</v>
      </c>
      <c r="B100" s="1291">
        <v>1048</v>
      </c>
      <c r="C100" s="331"/>
      <c r="D100" s="331"/>
      <c r="E100" s="331"/>
      <c r="F100" s="331"/>
    </row>
    <row r="101" spans="1:6">
      <c r="A101" s="1290" t="s">
        <v>74</v>
      </c>
      <c r="B101" s="1291">
        <v>153</v>
      </c>
      <c r="C101" s="331"/>
      <c r="D101" s="331"/>
      <c r="E101" s="331"/>
      <c r="F101" s="331"/>
    </row>
    <row r="102" spans="1:6">
      <c r="A102" s="1290" t="s">
        <v>75</v>
      </c>
      <c r="B102" s="1291">
        <v>273</v>
      </c>
      <c r="C102" s="331"/>
      <c r="D102" s="331"/>
      <c r="E102" s="331"/>
      <c r="F102" s="331"/>
    </row>
    <row r="103" spans="1:6">
      <c r="A103" s="1290" t="s">
        <v>76</v>
      </c>
      <c r="B103" s="1291">
        <v>408</v>
      </c>
      <c r="C103" s="331"/>
      <c r="D103" s="331"/>
      <c r="E103" s="331"/>
      <c r="F103" s="331"/>
    </row>
    <row r="104" spans="1:6">
      <c r="A104" s="1290" t="s">
        <v>77</v>
      </c>
      <c r="B104" s="1291">
        <v>2212</v>
      </c>
      <c r="C104" s="331"/>
      <c r="D104" s="331"/>
      <c r="E104" s="331"/>
      <c r="F104" s="331"/>
    </row>
    <row r="105" spans="1:6">
      <c r="A105" s="1285" t="s">
        <v>78</v>
      </c>
      <c r="B105" s="1294">
        <v>10</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23</v>
      </c>
      <c r="C123" s="1291">
        <v>11</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45</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5</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140109.23229547005</v>
      </c>
      <c r="C3" s="43" t="s">
        <v>169</v>
      </c>
      <c r="D3" s="43"/>
      <c r="E3" s="156"/>
      <c r="F3" s="43"/>
      <c r="G3" s="43"/>
      <c r="H3" s="43"/>
      <c r="I3" s="43"/>
      <c r="J3" s="43"/>
      <c r="K3" s="96"/>
    </row>
    <row r="4" spans="1:11">
      <c r="A4" s="362" t="s">
        <v>170</v>
      </c>
      <c r="B4" s="49">
        <f>IF(ISERROR('SEAP template'!B78+'SEAP template'!C78),0,'SEAP template'!B78+'SEAP template'!C78)</f>
        <v>7957.753241899276</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0.20844791162119158</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1619.307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1619.307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0.20844791162119158</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337.54116242357691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49780.808105694501</v>
      </c>
      <c r="C5" s="17">
        <f>IF(ISERROR('Eigen informatie GS &amp; warmtenet'!B57),0,'Eigen informatie GS &amp; warmtenet'!B57)</f>
        <v>0</v>
      </c>
      <c r="D5" s="30">
        <f>(SUM(HH_hh_gas_kWh,HH_rest_gas_kWh)/1000)*0.902</f>
        <v>115153.21758555398</v>
      </c>
      <c r="E5" s="17">
        <f>B46*B57</f>
        <v>19925.253161814042</v>
      </c>
      <c r="F5" s="17">
        <f>B51*B62</f>
        <v>0</v>
      </c>
      <c r="G5" s="18"/>
      <c r="H5" s="17"/>
      <c r="I5" s="17"/>
      <c r="J5" s="17">
        <f>B50*B61+C50*C61</f>
        <v>4294.4452025469654</v>
      </c>
      <c r="K5" s="17"/>
      <c r="L5" s="17"/>
      <c r="M5" s="17"/>
      <c r="N5" s="17">
        <f>B48*B59+C48*C59</f>
        <v>21857.090386705702</v>
      </c>
      <c r="O5" s="17">
        <f>B69*B70*B71</f>
        <v>87.546666666666681</v>
      </c>
      <c r="P5" s="17">
        <f>B77*B78*B79/1000-B77*B78*B79/1000/B80</f>
        <v>533.86666666666667</v>
      </c>
    </row>
    <row r="6" spans="1:16">
      <c r="A6" s="16" t="s">
        <v>631</v>
      </c>
      <c r="B6" s="776">
        <f>kWh_PV_kleiner_dan_10kW</f>
        <v>2364.6772438738049</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52145.485349568306</v>
      </c>
      <c r="C8" s="21">
        <f>C5</f>
        <v>0</v>
      </c>
      <c r="D8" s="21">
        <f>D5</f>
        <v>115153.21758555398</v>
      </c>
      <c r="E8" s="21">
        <f>E5</f>
        <v>19925.253161814042</v>
      </c>
      <c r="F8" s="21">
        <f>F5</f>
        <v>0</v>
      </c>
      <c r="G8" s="21"/>
      <c r="H8" s="21"/>
      <c r="I8" s="21"/>
      <c r="J8" s="21">
        <f>J5</f>
        <v>4294.4452025469654</v>
      </c>
      <c r="K8" s="21"/>
      <c r="L8" s="21">
        <f>L5</f>
        <v>0</v>
      </c>
      <c r="M8" s="21">
        <f>M5</f>
        <v>0</v>
      </c>
      <c r="N8" s="21">
        <f>N5</f>
        <v>21857.090386705702</v>
      </c>
      <c r="O8" s="21">
        <f>O5</f>
        <v>87.546666666666681</v>
      </c>
      <c r="P8" s="21">
        <f>P5</f>
        <v>533.86666666666667</v>
      </c>
    </row>
    <row r="9" spans="1:16">
      <c r="B9" s="19"/>
      <c r="C9" s="19"/>
      <c r="D9" s="260"/>
      <c r="E9" s="19"/>
      <c r="F9" s="19"/>
      <c r="G9" s="19"/>
      <c r="H9" s="19"/>
      <c r="I9" s="19"/>
      <c r="J9" s="19"/>
      <c r="K9" s="19"/>
      <c r="L9" s="19"/>
      <c r="M9" s="19"/>
      <c r="N9" s="19"/>
      <c r="O9" s="19"/>
      <c r="P9" s="19"/>
    </row>
    <row r="10" spans="1:16">
      <c r="A10" s="24" t="s">
        <v>213</v>
      </c>
      <c r="B10" s="25">
        <f ca="1">'EF ele_warmte'!B12</f>
        <v>0.20844791162119158</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10869.617521590955</v>
      </c>
      <c r="C12" s="23">
        <f ca="1">C10*C8</f>
        <v>0</v>
      </c>
      <c r="D12" s="23">
        <f>D8*D10</f>
        <v>23260.949952281906</v>
      </c>
      <c r="E12" s="23">
        <f>E10*E8</f>
        <v>4523.0324677317876</v>
      </c>
      <c r="F12" s="23">
        <f>F10*F8</f>
        <v>0</v>
      </c>
      <c r="G12" s="23"/>
      <c r="H12" s="23"/>
      <c r="I12" s="23"/>
      <c r="J12" s="23">
        <f>J10*J8</f>
        <v>1520.2336017016257</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5711</v>
      </c>
      <c r="C18" s="167" t="s">
        <v>110</v>
      </c>
      <c r="D18" s="229"/>
      <c r="E18" s="15"/>
    </row>
    <row r="19" spans="1:7">
      <c r="A19" s="172" t="s">
        <v>71</v>
      </c>
      <c r="B19" s="37">
        <f>aantalw2001_ander</f>
        <v>8</v>
      </c>
      <c r="C19" s="167" t="s">
        <v>110</v>
      </c>
      <c r="D19" s="230"/>
      <c r="E19" s="15"/>
    </row>
    <row r="20" spans="1:7">
      <c r="A20" s="172" t="s">
        <v>72</v>
      </c>
      <c r="B20" s="37">
        <f>aantalw2001_propaan</f>
        <v>124</v>
      </c>
      <c r="C20" s="168">
        <f>IF(ISERROR(B20/SUM($B$20,$B$21,$B$22)*100),0,B20/SUM($B$20,$B$21,$B$22)*100)</f>
        <v>9.3584905660377355</v>
      </c>
      <c r="D20" s="230"/>
      <c r="E20" s="15"/>
    </row>
    <row r="21" spans="1:7">
      <c r="A21" s="172" t="s">
        <v>73</v>
      </c>
      <c r="B21" s="37">
        <f>aantalw2001_elektriciteit</f>
        <v>1048</v>
      </c>
      <c r="C21" s="168">
        <f>IF(ISERROR(B21/SUM($B$20,$B$21,$B$22)*100),0,B21/SUM($B$20,$B$21,$B$22)*100)</f>
        <v>79.094339622641513</v>
      </c>
      <c r="D21" s="230"/>
      <c r="E21" s="15"/>
    </row>
    <row r="22" spans="1:7">
      <c r="A22" s="172" t="s">
        <v>74</v>
      </c>
      <c r="B22" s="37">
        <f>aantalw2001_hout</f>
        <v>153</v>
      </c>
      <c r="C22" s="168">
        <f>IF(ISERROR(B22/SUM($B$20,$B$21,$B$22)*100),0,B22/SUM($B$20,$B$21,$B$22)*100)</f>
        <v>11.547169811320755</v>
      </c>
      <c r="D22" s="230"/>
      <c r="E22" s="15"/>
    </row>
    <row r="23" spans="1:7">
      <c r="A23" s="172" t="s">
        <v>75</v>
      </c>
      <c r="B23" s="37">
        <f>aantalw2001_niet_gespec</f>
        <v>273</v>
      </c>
      <c r="C23" s="167" t="s">
        <v>110</v>
      </c>
      <c r="D23" s="229"/>
      <c r="E23" s="15"/>
    </row>
    <row r="24" spans="1:7">
      <c r="A24" s="172" t="s">
        <v>76</v>
      </c>
      <c r="B24" s="37">
        <f>aantalw2001_steenkool</f>
        <v>408</v>
      </c>
      <c r="C24" s="167" t="s">
        <v>110</v>
      </c>
      <c r="D24" s="230"/>
      <c r="E24" s="15"/>
    </row>
    <row r="25" spans="1:7">
      <c r="A25" s="172" t="s">
        <v>77</v>
      </c>
      <c r="B25" s="37">
        <f>aantalw2001_stookolie</f>
        <v>2212</v>
      </c>
      <c r="C25" s="167" t="s">
        <v>110</v>
      </c>
      <c r="D25" s="229"/>
      <c r="E25" s="52"/>
    </row>
    <row r="26" spans="1:7">
      <c r="A26" s="172" t="s">
        <v>78</v>
      </c>
      <c r="B26" s="37">
        <f>aantalw2001_WP</f>
        <v>10</v>
      </c>
      <c r="C26" s="167" t="s">
        <v>110</v>
      </c>
      <c r="D26" s="229"/>
      <c r="E26" s="15"/>
    </row>
    <row r="27" spans="1:7" s="15" customFormat="1">
      <c r="A27" s="172"/>
      <c r="B27" s="29"/>
      <c r="C27" s="36"/>
      <c r="D27" s="229"/>
    </row>
    <row r="28" spans="1:7" s="15" customFormat="1">
      <c r="A28" s="231" t="s">
        <v>711</v>
      </c>
      <c r="B28" s="37">
        <f>aantalHuishoudens</f>
        <v>11607</v>
      </c>
      <c r="C28" s="36"/>
      <c r="D28" s="229"/>
    </row>
    <row r="29" spans="1:7" s="15" customFormat="1">
      <c r="A29" s="231" t="s">
        <v>712</v>
      </c>
      <c r="B29" s="37">
        <f>SUM(HH_hh_gas_aantal,HH_rest_gas_aantal)</f>
        <v>8303</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8303</v>
      </c>
      <c r="C32" s="168">
        <f>IF(ISERROR(B32/SUM($B$32,$B$34,$B$35,$B$36,$B$38,$B$39)*100),0,B32/SUM($B$32,$B$34,$B$35,$B$36,$B$38,$B$39)*100)</f>
        <v>71.707401329993971</v>
      </c>
      <c r="D32" s="234"/>
      <c r="G32" s="15"/>
    </row>
    <row r="33" spans="1:7">
      <c r="A33" s="172" t="s">
        <v>71</v>
      </c>
      <c r="B33" s="34" t="s">
        <v>110</v>
      </c>
      <c r="C33" s="168"/>
      <c r="D33" s="234"/>
      <c r="G33" s="15"/>
    </row>
    <row r="34" spans="1:7">
      <c r="A34" s="172" t="s">
        <v>72</v>
      </c>
      <c r="B34" s="33">
        <f>IF((($B$28-$B$32-$B$39-$B$77-$B$38)*C20/100)&lt;0,0,($B$28-$B$32-$B$39-$B$77-$B$38)*C20/100)</f>
        <v>292.65871698113205</v>
      </c>
      <c r="C34" s="168">
        <f>IF(ISERROR(B34/SUM($B$32,$B$34,$B$35,$B$36,$B$38,$B$39)*100),0,B34/SUM($B$32,$B$34,$B$35,$B$36,$B$38,$B$39)*100)</f>
        <v>2.5274956125842651</v>
      </c>
      <c r="D34" s="234"/>
      <c r="G34" s="15"/>
    </row>
    <row r="35" spans="1:7">
      <c r="A35" s="172" t="s">
        <v>73</v>
      </c>
      <c r="B35" s="33">
        <f>IF((($B$28-$B$32-$B$39-$B$77-$B$38)*C21/100)&lt;0,0,($B$28-$B$32-$B$39-$B$77-$B$38)*C21/100)</f>
        <v>2473.4381886792453</v>
      </c>
      <c r="C35" s="168">
        <f>IF(ISERROR(B35/SUM($B$32,$B$34,$B$35,$B$36,$B$38,$B$39)*100),0,B35/SUM($B$32,$B$34,$B$35,$B$36,$B$38,$B$39)*100)</f>
        <v>21.361414532163796</v>
      </c>
      <c r="D35" s="234"/>
      <c r="G35" s="15"/>
    </row>
    <row r="36" spans="1:7">
      <c r="A36" s="172" t="s">
        <v>74</v>
      </c>
      <c r="B36" s="33">
        <f>IF((($B$28-$B$32-$B$39-$B$77-$B$38)*C22/100)&lt;0,0,($B$28-$B$32-$B$39-$B$77-$B$38)*C22/100)</f>
        <v>361.1030943396226</v>
      </c>
      <c r="C36" s="168">
        <f>IF(ISERROR(B36/SUM($B$32,$B$34,$B$35,$B$36,$B$38,$B$39)*100),0,B36/SUM($B$32,$B$34,$B$35,$B$36,$B$38,$B$39)*100)</f>
        <v>3.1186034574628438</v>
      </c>
      <c r="D36" s="234"/>
      <c r="G36" s="15"/>
    </row>
    <row r="37" spans="1:7">
      <c r="A37" s="172" t="s">
        <v>75</v>
      </c>
      <c r="B37" s="34" t="s">
        <v>110</v>
      </c>
      <c r="C37" s="168"/>
      <c r="D37" s="174"/>
      <c r="G37" s="15"/>
    </row>
    <row r="38" spans="1:7">
      <c r="A38" s="172" t="s">
        <v>76</v>
      </c>
      <c r="B38" s="33">
        <f>IF((B24-(B29-B18)*0.1)&lt;0,0,B24-(B29-B18)*0.1)</f>
        <v>148.80000000000001</v>
      </c>
      <c r="C38" s="168">
        <f>IF(ISERROR(B38/SUM($B$32,$B$34,$B$35,$B$36,$B$38,$B$39)*100),0,B38/SUM($B$32,$B$34,$B$35,$B$36,$B$38,$B$39)*100)</f>
        <v>1.2850850677951466</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8303</v>
      </c>
      <c r="C44" s="34" t="s">
        <v>110</v>
      </c>
      <c r="D44" s="175"/>
    </row>
    <row r="45" spans="1:7">
      <c r="A45" s="172" t="s">
        <v>71</v>
      </c>
      <c r="B45" s="33" t="str">
        <f t="shared" si="0"/>
        <v>-</v>
      </c>
      <c r="C45" s="34" t="s">
        <v>110</v>
      </c>
      <c r="D45" s="175"/>
    </row>
    <row r="46" spans="1:7">
      <c r="A46" s="172" t="s">
        <v>72</v>
      </c>
      <c r="B46" s="33">
        <f t="shared" si="0"/>
        <v>292.65871698113205</v>
      </c>
      <c r="C46" s="34" t="s">
        <v>110</v>
      </c>
      <c r="D46" s="175"/>
    </row>
    <row r="47" spans="1:7">
      <c r="A47" s="172" t="s">
        <v>73</v>
      </c>
      <c r="B47" s="33">
        <f t="shared" si="0"/>
        <v>2473.4381886792453</v>
      </c>
      <c r="C47" s="34" t="s">
        <v>110</v>
      </c>
      <c r="D47" s="175"/>
    </row>
    <row r="48" spans="1:7">
      <c r="A48" s="172" t="s">
        <v>74</v>
      </c>
      <c r="B48" s="33">
        <f t="shared" si="0"/>
        <v>361.1030943396226</v>
      </c>
      <c r="C48" s="33">
        <f>B48*10</f>
        <v>3611.0309433962261</v>
      </c>
      <c r="D48" s="235"/>
    </row>
    <row r="49" spans="1:6">
      <c r="A49" s="172" t="s">
        <v>75</v>
      </c>
      <c r="B49" s="33" t="str">
        <f t="shared" si="0"/>
        <v>-</v>
      </c>
      <c r="C49" s="34" t="s">
        <v>110</v>
      </c>
      <c r="D49" s="235"/>
    </row>
    <row r="50" spans="1:6">
      <c r="A50" s="172" t="s">
        <v>76</v>
      </c>
      <c r="B50" s="33">
        <f t="shared" si="0"/>
        <v>148.80000000000001</v>
      </c>
      <c r="C50" s="33">
        <f>B50*2</f>
        <v>297.60000000000002</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56</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28</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41889.354215327148</v>
      </c>
      <c r="C5" s="17">
        <f>IF(ISERROR('Eigen informatie GS &amp; warmtenet'!B58),0,'Eigen informatie GS &amp; warmtenet'!B58)</f>
        <v>0</v>
      </c>
      <c r="D5" s="30">
        <f>SUM(D6:D12)</f>
        <v>44806.042144018982</v>
      </c>
      <c r="E5" s="17">
        <f>SUM(E6:E12)</f>
        <v>830.21440436490252</v>
      </c>
      <c r="F5" s="17">
        <f>SUM(F6:F12)</f>
        <v>7543.7759794513922</v>
      </c>
      <c r="G5" s="18"/>
      <c r="H5" s="17"/>
      <c r="I5" s="17"/>
      <c r="J5" s="17">
        <f>SUM(J6:J12)</f>
        <v>0</v>
      </c>
      <c r="K5" s="17"/>
      <c r="L5" s="17"/>
      <c r="M5" s="17"/>
      <c r="N5" s="17">
        <f>SUM(N6:N12)</f>
        <v>1161.8896204864068</v>
      </c>
      <c r="O5" s="17">
        <f>B38*B39*B40</f>
        <v>1.5633333333333335</v>
      </c>
      <c r="P5" s="17">
        <f>B46*B47*B48/1000-B46*B47*B48/1000/B49</f>
        <v>19.066666666666666</v>
      </c>
      <c r="R5" s="32"/>
    </row>
    <row r="6" spans="1:18">
      <c r="A6" s="32" t="s">
        <v>53</v>
      </c>
      <c r="B6" s="37">
        <f>B26</f>
        <v>14436.6858173986</v>
      </c>
      <c r="C6" s="33"/>
      <c r="D6" s="37">
        <f>IF(ISERROR(TER_kantoor_gas_kWh/1000),0,TER_kantoor_gas_kWh/1000)*0.902</f>
        <v>15878.233041824222</v>
      </c>
      <c r="E6" s="33">
        <f>$C$26*'E Balans VL '!I12/100/3.6*1000000</f>
        <v>505.34079387320929</v>
      </c>
      <c r="F6" s="33">
        <f>$C$26*('E Balans VL '!L12+'E Balans VL '!N12)/100/3.6*1000000</f>
        <v>2188.9115225248702</v>
      </c>
      <c r="G6" s="34"/>
      <c r="H6" s="33"/>
      <c r="I6" s="33"/>
      <c r="J6" s="33">
        <f>$C$26*('E Balans VL '!D12+'E Balans VL '!E12)/100/3.6*1000000</f>
        <v>0</v>
      </c>
      <c r="K6" s="33"/>
      <c r="L6" s="33"/>
      <c r="M6" s="33"/>
      <c r="N6" s="33">
        <f>$C$26*'E Balans VL '!Y12/100/3.6*1000000</f>
        <v>111.59106281018664</v>
      </c>
      <c r="O6" s="33"/>
      <c r="P6" s="33"/>
      <c r="R6" s="32"/>
    </row>
    <row r="7" spans="1:18">
      <c r="A7" s="32" t="s">
        <v>52</v>
      </c>
      <c r="B7" s="37">
        <f t="shared" ref="B7:B12" si="0">B27</f>
        <v>2198.0580945851202</v>
      </c>
      <c r="C7" s="33"/>
      <c r="D7" s="37">
        <f>IF(ISERROR(TER_horeca_gas_kWh/1000),0,TER_horeca_gas_kWh/1000)*0.902</f>
        <v>2512.7635461622203</v>
      </c>
      <c r="E7" s="33">
        <f>$C$27*'E Balans VL '!I9/100/3.6*1000000</f>
        <v>123.99970358926485</v>
      </c>
      <c r="F7" s="33">
        <f>$C$27*('E Balans VL '!L9+'E Balans VL '!N9)/100/3.6*1000000</f>
        <v>382.91388428640442</v>
      </c>
      <c r="G7" s="34"/>
      <c r="H7" s="33"/>
      <c r="I7" s="33"/>
      <c r="J7" s="33">
        <f>$C$27*('E Balans VL '!D9+'E Balans VL '!E9)/100/3.6*1000000</f>
        <v>0</v>
      </c>
      <c r="K7" s="33"/>
      <c r="L7" s="33"/>
      <c r="M7" s="33"/>
      <c r="N7" s="33">
        <f>$C$27*'E Balans VL '!Y9/100/3.6*1000000</f>
        <v>0</v>
      </c>
      <c r="O7" s="33"/>
      <c r="P7" s="33"/>
      <c r="R7" s="32"/>
    </row>
    <row r="8" spans="1:18">
      <c r="A8" s="6" t="s">
        <v>51</v>
      </c>
      <c r="B8" s="37">
        <f t="shared" si="0"/>
        <v>14251.257782455099</v>
      </c>
      <c r="C8" s="33"/>
      <c r="D8" s="37">
        <f>IF(ISERROR(TER_handel_gas_kWh/1000),0,TER_handel_gas_kWh/1000)*0.902</f>
        <v>12025.460008035378</v>
      </c>
      <c r="E8" s="33">
        <f>$C$28*'E Balans VL '!I13/100/3.6*1000000</f>
        <v>73.164509548333299</v>
      </c>
      <c r="F8" s="33">
        <f>$C$28*('E Balans VL '!L13+'E Balans VL '!N13)/100/3.6*1000000</f>
        <v>2197.3237455168546</v>
      </c>
      <c r="G8" s="34"/>
      <c r="H8" s="33"/>
      <c r="I8" s="33"/>
      <c r="J8" s="33">
        <f>$C$28*('E Balans VL '!D13+'E Balans VL '!E13)/100/3.6*1000000</f>
        <v>0</v>
      </c>
      <c r="K8" s="33"/>
      <c r="L8" s="33"/>
      <c r="M8" s="33"/>
      <c r="N8" s="33">
        <f>$C$28*'E Balans VL '!Y13/100/3.6*1000000</f>
        <v>6.6654872248711561</v>
      </c>
      <c r="O8" s="33"/>
      <c r="P8" s="33"/>
      <c r="R8" s="32"/>
    </row>
    <row r="9" spans="1:18">
      <c r="A9" s="32" t="s">
        <v>50</v>
      </c>
      <c r="B9" s="37">
        <f t="shared" si="0"/>
        <v>1862.07503212187</v>
      </c>
      <c r="C9" s="33"/>
      <c r="D9" s="37">
        <f>IF(ISERROR(TER_gezond_gas_kWh/1000),0,TER_gezond_gas_kWh/1000)*0.902</f>
        <v>2445.6947941237036</v>
      </c>
      <c r="E9" s="33">
        <f>$C$29*'E Balans VL '!I10/100/3.6*1000000</f>
        <v>0.77181683959141567</v>
      </c>
      <c r="F9" s="33">
        <f>$C$29*('E Balans VL '!L10+'E Balans VL '!N10)/100/3.6*1000000</f>
        <v>458.6023746933127</v>
      </c>
      <c r="G9" s="34"/>
      <c r="H9" s="33"/>
      <c r="I9" s="33"/>
      <c r="J9" s="33">
        <f>$C$29*('E Balans VL '!D10+'E Balans VL '!E10)/100/3.6*1000000</f>
        <v>0</v>
      </c>
      <c r="K9" s="33"/>
      <c r="L9" s="33"/>
      <c r="M9" s="33"/>
      <c r="N9" s="33">
        <f>$C$29*'E Balans VL '!Y10/100/3.6*1000000</f>
        <v>16.092937146216272</v>
      </c>
      <c r="O9" s="33"/>
      <c r="P9" s="33"/>
      <c r="R9" s="32"/>
    </row>
    <row r="10" spans="1:18">
      <c r="A10" s="32" t="s">
        <v>49</v>
      </c>
      <c r="B10" s="37">
        <f t="shared" si="0"/>
        <v>3860.9871940215999</v>
      </c>
      <c r="C10" s="33"/>
      <c r="D10" s="37">
        <f>IF(ISERROR(TER_ander_gas_kWh/1000),0,TER_ander_gas_kWh/1000)*0.902</f>
        <v>1526.03957851773</v>
      </c>
      <c r="E10" s="33">
        <f>$C$30*'E Balans VL '!I14/100/3.6*1000000</f>
        <v>23.536673195724575</v>
      </c>
      <c r="F10" s="33">
        <f>$C$30*('E Balans VL '!L14+'E Balans VL '!N14)/100/3.6*1000000</f>
        <v>1023.6005946601648</v>
      </c>
      <c r="G10" s="34"/>
      <c r="H10" s="33"/>
      <c r="I10" s="33"/>
      <c r="J10" s="33">
        <f>$C$30*('E Balans VL '!D14+'E Balans VL '!E14)/100/3.6*1000000</f>
        <v>0</v>
      </c>
      <c r="K10" s="33"/>
      <c r="L10" s="33"/>
      <c r="M10" s="33"/>
      <c r="N10" s="33">
        <f>$C$30*'E Balans VL '!Y14/100/3.6*1000000</f>
        <v>889.87411842950053</v>
      </c>
      <c r="O10" s="33"/>
      <c r="P10" s="33"/>
      <c r="R10" s="32"/>
    </row>
    <row r="11" spans="1:18">
      <c r="A11" s="32" t="s">
        <v>54</v>
      </c>
      <c r="B11" s="37">
        <f t="shared" si="0"/>
        <v>475.98556013686402</v>
      </c>
      <c r="C11" s="33"/>
      <c r="D11" s="37">
        <f>IF(ISERROR(TER_onderwijs_gas_kWh/1000),0,TER_onderwijs_gas_kWh/1000)*0.902</f>
        <v>2769.3150631773883</v>
      </c>
      <c r="E11" s="33">
        <f>$C$31*'E Balans VL '!I11/100/3.6*1000000</f>
        <v>0.36272578165424196</v>
      </c>
      <c r="F11" s="33">
        <f>$C$31*('E Balans VL '!L11+'E Balans VL '!N11)/100/3.6*1000000</f>
        <v>344.44923640907439</v>
      </c>
      <c r="G11" s="34"/>
      <c r="H11" s="33"/>
      <c r="I11" s="33"/>
      <c r="J11" s="33">
        <f>$C$31*('E Balans VL '!D11+'E Balans VL '!E11)/100/3.6*1000000</f>
        <v>0</v>
      </c>
      <c r="K11" s="33"/>
      <c r="L11" s="33"/>
      <c r="M11" s="33"/>
      <c r="N11" s="33">
        <f>$C$31*'E Balans VL '!Y11/100/3.6*1000000</f>
        <v>1.402843204199308</v>
      </c>
      <c r="O11" s="33"/>
      <c r="P11" s="33"/>
      <c r="R11" s="32"/>
    </row>
    <row r="12" spans="1:18">
      <c r="A12" s="32" t="s">
        <v>259</v>
      </c>
      <c r="B12" s="37">
        <f t="shared" si="0"/>
        <v>4804.3047346080002</v>
      </c>
      <c r="C12" s="33"/>
      <c r="D12" s="37">
        <f>IF(ISERROR(TER_rest_gas_kWh/1000),0,TER_rest_gas_kWh/1000)*0.902</f>
        <v>7648.5361121783371</v>
      </c>
      <c r="E12" s="33">
        <f>$C$32*'E Balans VL '!I8/100/3.6*1000000</f>
        <v>103.03818153712481</v>
      </c>
      <c r="F12" s="33">
        <f>$C$32*('E Balans VL '!L8+'E Balans VL '!N8)/100/3.6*1000000</f>
        <v>947.97462136071101</v>
      </c>
      <c r="G12" s="34"/>
      <c r="H12" s="33"/>
      <c r="I12" s="33"/>
      <c r="J12" s="33">
        <f>$C$32*('E Balans VL '!D8+'E Balans VL '!E8)/100/3.6*1000000</f>
        <v>0</v>
      </c>
      <c r="K12" s="33"/>
      <c r="L12" s="33"/>
      <c r="M12" s="33"/>
      <c r="N12" s="33">
        <f>$C$32*'E Balans VL '!Y8/100/3.6*1000000</f>
        <v>136.26317167143304</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41889.354215327148</v>
      </c>
      <c r="C16" s="21">
        <f ca="1">C5+C13+C14</f>
        <v>0</v>
      </c>
      <c r="D16" s="21">
        <f t="shared" ref="D16:N16" ca="1" si="1">MAX((D5+D13+D14),0)</f>
        <v>44806.042144018982</v>
      </c>
      <c r="E16" s="21">
        <f t="shared" si="1"/>
        <v>830.21440436490252</v>
      </c>
      <c r="F16" s="21">
        <f t="shared" ca="1" si="1"/>
        <v>7543.7759794513922</v>
      </c>
      <c r="G16" s="21">
        <f t="shared" si="1"/>
        <v>0</v>
      </c>
      <c r="H16" s="21">
        <f t="shared" si="1"/>
        <v>0</v>
      </c>
      <c r="I16" s="21">
        <f t="shared" si="1"/>
        <v>0</v>
      </c>
      <c r="J16" s="21">
        <f t="shared" si="1"/>
        <v>0</v>
      </c>
      <c r="K16" s="21">
        <f t="shared" si="1"/>
        <v>0</v>
      </c>
      <c r="L16" s="21">
        <f t="shared" ca="1" si="1"/>
        <v>0</v>
      </c>
      <c r="M16" s="21">
        <f t="shared" si="1"/>
        <v>0</v>
      </c>
      <c r="N16" s="21">
        <f t="shared" ca="1" si="1"/>
        <v>1161.8896204864068</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0.20844791162119158</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8731.7484053453027</v>
      </c>
      <c r="C20" s="23">
        <f t="shared" ref="C20:P20" ca="1" si="2">C16*C18</f>
        <v>0</v>
      </c>
      <c r="D20" s="23">
        <f t="shared" ca="1" si="2"/>
        <v>9050.8205130918341</v>
      </c>
      <c r="E20" s="23">
        <f t="shared" si="2"/>
        <v>188.45866979083289</v>
      </c>
      <c r="F20" s="23">
        <f t="shared" ca="1" si="2"/>
        <v>2014.1881865135219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14436.6858173986</v>
      </c>
      <c r="C26" s="39">
        <f>IF(ISERROR(B26*3.6/1000000/'E Balans VL '!Z12*100),0,B26*3.6/1000000/'E Balans VL '!Z12*100)</f>
        <v>0.30379611158585551</v>
      </c>
      <c r="D26" s="238" t="s">
        <v>718</v>
      </c>
      <c r="F26" s="6"/>
    </row>
    <row r="27" spans="1:18">
      <c r="A27" s="232" t="s">
        <v>52</v>
      </c>
      <c r="B27" s="33">
        <f>IF(ISERROR(TER_horeca_ele_kWh/1000),0,TER_horeca_ele_kWh/1000)</f>
        <v>2198.0580945851202</v>
      </c>
      <c r="C27" s="39">
        <f>IF(ISERROR(B27*3.6/1000000/'E Balans VL '!Z9*100),0,B27*3.6/1000000/'E Balans VL '!Z9*100)</f>
        <v>0.18610340238247447</v>
      </c>
      <c r="D27" s="238" t="s">
        <v>718</v>
      </c>
      <c r="F27" s="6"/>
    </row>
    <row r="28" spans="1:18">
      <c r="A28" s="172" t="s">
        <v>51</v>
      </c>
      <c r="B28" s="33">
        <f>IF(ISERROR(TER_handel_ele_kWh/1000),0,TER_handel_ele_kWh/1000)</f>
        <v>14251.257782455099</v>
      </c>
      <c r="C28" s="39">
        <f>IF(ISERROR(B28*3.6/1000000/'E Balans VL '!Z13*100),0,B28*3.6/1000000/'E Balans VL '!Z13*100)</f>
        <v>0.3945441010569431</v>
      </c>
      <c r="D28" s="238" t="s">
        <v>718</v>
      </c>
      <c r="F28" s="6"/>
    </row>
    <row r="29" spans="1:18">
      <c r="A29" s="232" t="s">
        <v>50</v>
      </c>
      <c r="B29" s="33">
        <f>IF(ISERROR(TER_gezond_ele_kWh/1000),0,TER_gezond_ele_kWh/1000)</f>
        <v>1862.07503212187</v>
      </c>
      <c r="C29" s="39">
        <f>IF(ISERROR(B29*3.6/1000000/'E Balans VL '!Z10*100),0,B29*3.6/1000000/'E Balans VL '!Z10*100)</f>
        <v>0.24204911066729112</v>
      </c>
      <c r="D29" s="238" t="s">
        <v>718</v>
      </c>
      <c r="F29" s="6"/>
    </row>
    <row r="30" spans="1:18">
      <c r="A30" s="232" t="s">
        <v>49</v>
      </c>
      <c r="B30" s="33">
        <f>IF(ISERROR(TER_ander_ele_kWh/1000),0,TER_ander_ele_kWh/1000)</f>
        <v>3860.9871940215999</v>
      </c>
      <c r="C30" s="39">
        <f>IF(ISERROR(B30*3.6/1000000/'E Balans VL '!Z14*100),0,B30*3.6/1000000/'E Balans VL '!Z14*100)</f>
        <v>0.29926191549409309</v>
      </c>
      <c r="D30" s="238" t="s">
        <v>718</v>
      </c>
      <c r="F30" s="6"/>
    </row>
    <row r="31" spans="1:18">
      <c r="A31" s="232" t="s">
        <v>54</v>
      </c>
      <c r="B31" s="33">
        <f>IF(ISERROR(TER_onderwijs_ele_kWh/1000),0,TER_onderwijs_ele_kWh/1000)</f>
        <v>475.98556013686402</v>
      </c>
      <c r="C31" s="39">
        <f>IF(ISERROR(B31*3.6/1000000/'E Balans VL '!Z11*100),0,B31*3.6/1000000/'E Balans VL '!Z11*100)</f>
        <v>9.1064148276488663E-2</v>
      </c>
      <c r="D31" s="238" t="s">
        <v>718</v>
      </c>
    </row>
    <row r="32" spans="1:18">
      <c r="A32" s="232" t="s">
        <v>259</v>
      </c>
      <c r="B32" s="33">
        <f>IF(ISERROR(TER_rest_ele_kWh/1000),0,TER_rest_ele_kWh/1000)</f>
        <v>4804.3047346080002</v>
      </c>
      <c r="C32" s="39">
        <f>IF(ISERROR(B32*3.6/1000000/'E Balans VL '!Z8*100),0,B32*3.6/1000000/'E Balans VL '!Z8*100)</f>
        <v>3.9615181837219238E-2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40101.739441558042</v>
      </c>
      <c r="C5" s="17">
        <f>IF(ISERROR('Eigen informatie GS &amp; warmtenet'!B59),0,'Eigen informatie GS &amp; warmtenet'!B59)</f>
        <v>0</v>
      </c>
      <c r="D5" s="30">
        <f>SUM(D6:D15)</f>
        <v>30103.744187209082</v>
      </c>
      <c r="E5" s="17">
        <f>SUM(E6:E15)</f>
        <v>392.85047212720826</v>
      </c>
      <c r="F5" s="17">
        <f>SUM(F6:F15)</f>
        <v>9829.2132271175706</v>
      </c>
      <c r="G5" s="18"/>
      <c r="H5" s="17"/>
      <c r="I5" s="17"/>
      <c r="J5" s="17">
        <f>SUM(J6:J15)</f>
        <v>248.3056371726326</v>
      </c>
      <c r="K5" s="17"/>
      <c r="L5" s="17"/>
      <c r="M5" s="17"/>
      <c r="N5" s="17">
        <f>SUM(N6:N15)</f>
        <v>889.77986066839503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1484.3971083204899</v>
      </c>
      <c r="C8" s="33"/>
      <c r="D8" s="37">
        <f>IF( ISERROR(IND_metaal_Gas_kWH/1000),0,IND_metaal_Gas_kWH/1000)*0.902</f>
        <v>1075.0495791451781</v>
      </c>
      <c r="E8" s="33">
        <f>C30*'E Balans VL '!I18/100/3.6*1000000</f>
        <v>10.430530962802404</v>
      </c>
      <c r="F8" s="33">
        <f>C30*'E Balans VL '!L18/100/3.6*1000000+C30*'E Balans VL '!N18/100/3.6*1000000</f>
        <v>162.9781179156958</v>
      </c>
      <c r="G8" s="34"/>
      <c r="H8" s="33"/>
      <c r="I8" s="33"/>
      <c r="J8" s="40">
        <f>C30*'E Balans VL '!D18/100/3.6*1000000+C30*'E Balans VL '!E18/100/3.6*1000000</f>
        <v>30.626311801965969</v>
      </c>
      <c r="K8" s="33"/>
      <c r="L8" s="33"/>
      <c r="M8" s="33"/>
      <c r="N8" s="33">
        <f>C30*'E Balans VL '!Y18/100/3.6*1000000</f>
        <v>5.5636272681502685</v>
      </c>
      <c r="O8" s="33"/>
      <c r="P8" s="33"/>
      <c r="R8" s="32"/>
    </row>
    <row r="9" spans="1:18">
      <c r="A9" s="6" t="s">
        <v>32</v>
      </c>
      <c r="B9" s="37">
        <f t="shared" si="0"/>
        <v>3944.3399827670601</v>
      </c>
      <c r="C9" s="33"/>
      <c r="D9" s="37">
        <f>IF( ISERROR(IND_andere_gas_kWh/1000),0,IND_andere_gas_kWh/1000)*0.902</f>
        <v>6877.0649235798783</v>
      </c>
      <c r="E9" s="33">
        <f>C31*'E Balans VL '!I19/100/3.6*1000000</f>
        <v>66.250021981327905</v>
      </c>
      <c r="F9" s="33">
        <f>C31*'E Balans VL '!L19/100/3.6*1000000+C31*'E Balans VL '!N19/100/3.6*1000000</f>
        <v>3083.4603456961513</v>
      </c>
      <c r="G9" s="34"/>
      <c r="H9" s="33"/>
      <c r="I9" s="33"/>
      <c r="J9" s="40">
        <f>C31*'E Balans VL '!D19/100/3.6*1000000+C31*'E Balans VL '!E19/100/3.6*1000000</f>
        <v>0.35574464823833035</v>
      </c>
      <c r="K9" s="33"/>
      <c r="L9" s="33"/>
      <c r="M9" s="33"/>
      <c r="N9" s="33">
        <f>C31*'E Balans VL '!Y19/100/3.6*1000000</f>
        <v>292.33887408694426</v>
      </c>
      <c r="O9" s="33"/>
      <c r="P9" s="33"/>
      <c r="R9" s="32"/>
    </row>
    <row r="10" spans="1:18">
      <c r="A10" s="6" t="s">
        <v>40</v>
      </c>
      <c r="B10" s="37">
        <f t="shared" si="0"/>
        <v>3345.6561094638196</v>
      </c>
      <c r="C10" s="33"/>
      <c r="D10" s="37">
        <f>IF( ISERROR(IND_voed_gas_kWh/1000),0,IND_voed_gas_kWh/1000)*0.902</f>
        <v>6427.4348938267021</v>
      </c>
      <c r="E10" s="33">
        <f>C32*'E Balans VL '!I20/100/3.6*1000000</f>
        <v>30.524376055418436</v>
      </c>
      <c r="F10" s="33">
        <f>C32*'E Balans VL '!L20/100/3.6*1000000+C32*'E Balans VL '!N20/100/3.6*1000000</f>
        <v>539.75897645552095</v>
      </c>
      <c r="G10" s="34"/>
      <c r="H10" s="33"/>
      <c r="I10" s="33"/>
      <c r="J10" s="40">
        <f>C32*'E Balans VL '!D20/100/3.6*1000000+C32*'E Balans VL '!E20/100/3.6*1000000</f>
        <v>13.779605377094805</v>
      </c>
      <c r="K10" s="33"/>
      <c r="L10" s="33"/>
      <c r="M10" s="33"/>
      <c r="N10" s="33">
        <f>C32*'E Balans VL '!Y20/100/3.6*1000000</f>
        <v>48.9443107575716</v>
      </c>
      <c r="O10" s="33"/>
      <c r="P10" s="33"/>
      <c r="R10" s="32"/>
    </row>
    <row r="11" spans="1:18">
      <c r="A11" s="6" t="s">
        <v>39</v>
      </c>
      <c r="B11" s="37">
        <f t="shared" si="0"/>
        <v>961.26208476887507</v>
      </c>
      <c r="C11" s="33"/>
      <c r="D11" s="37">
        <f>IF( ISERROR(IND_textiel_gas_kWh/1000),0,IND_textiel_gas_kWh/1000)*0.902</f>
        <v>0</v>
      </c>
      <c r="E11" s="33">
        <f>C33*'E Balans VL '!I21/100/3.6*1000000</f>
        <v>2.192460508864615</v>
      </c>
      <c r="F11" s="33">
        <f>C33*'E Balans VL '!L21/100/3.6*1000000+C33*'E Balans VL '!N21/100/3.6*1000000</f>
        <v>20.547868628501693</v>
      </c>
      <c r="G11" s="34"/>
      <c r="H11" s="33"/>
      <c r="I11" s="33"/>
      <c r="J11" s="40">
        <f>C33*'E Balans VL '!D21/100/3.6*1000000+C33*'E Balans VL '!E21/100/3.6*1000000</f>
        <v>0</v>
      </c>
      <c r="K11" s="33"/>
      <c r="L11" s="33"/>
      <c r="M11" s="33"/>
      <c r="N11" s="33">
        <f>C33*'E Balans VL '!Y21/100/3.6*1000000</f>
        <v>6.8190635459191178</v>
      </c>
      <c r="O11" s="33"/>
      <c r="P11" s="33"/>
      <c r="R11" s="32"/>
    </row>
    <row r="12" spans="1:18">
      <c r="A12" s="6" t="s">
        <v>36</v>
      </c>
      <c r="B12" s="37">
        <f t="shared" si="0"/>
        <v>519.47090264677604</v>
      </c>
      <c r="C12" s="33"/>
      <c r="D12" s="37">
        <f>IF( ISERROR(IND_min_gas_kWh/1000),0,IND_min_gas_kWh/1000)*0.902</f>
        <v>0</v>
      </c>
      <c r="E12" s="33">
        <f>C34*'E Balans VL '!I22/100/3.6*1000000</f>
        <v>12.88456721064329</v>
      </c>
      <c r="F12" s="33">
        <f>C34*'E Balans VL '!L22/100/3.6*1000000+C34*'E Balans VL '!N22/100/3.6*1000000</f>
        <v>55.19875733817014</v>
      </c>
      <c r="G12" s="34"/>
      <c r="H12" s="33"/>
      <c r="I12" s="33"/>
      <c r="J12" s="40">
        <f>C34*'E Balans VL '!D22/100/3.6*1000000+C34*'E Balans VL '!E22/100/3.6*1000000</f>
        <v>2.9508995329244758</v>
      </c>
      <c r="K12" s="33"/>
      <c r="L12" s="33"/>
      <c r="M12" s="33"/>
      <c r="N12" s="33">
        <f>C34*'E Balans VL '!Y22/100/3.6*1000000</f>
        <v>0</v>
      </c>
      <c r="O12" s="33"/>
      <c r="P12" s="33"/>
      <c r="R12" s="32"/>
    </row>
    <row r="13" spans="1:18">
      <c r="A13" s="6" t="s">
        <v>38</v>
      </c>
      <c r="B13" s="37">
        <f t="shared" si="0"/>
        <v>55.645965364417002</v>
      </c>
      <c r="C13" s="33"/>
      <c r="D13" s="37">
        <f>IF( ISERROR(IND_papier_gas_kWh/1000),0,IND_papier_gas_kWh/1000)*0.902</f>
        <v>25.590223452226898</v>
      </c>
      <c r="E13" s="33">
        <f>C35*'E Balans VL '!I23/100/3.6*1000000</f>
        <v>1.7120811312274375</v>
      </c>
      <c r="F13" s="33">
        <f>C35*'E Balans VL '!L23/100/3.6*1000000+C35*'E Balans VL '!N23/100/3.6*1000000</f>
        <v>11.815583158457013</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29790.967288226602</v>
      </c>
      <c r="C15" s="33"/>
      <c r="D15" s="37">
        <f>IF( ISERROR(IND_rest_gas_kWh/1000),0,IND_rest_gas_kWh/1000)*0.902</f>
        <v>15698.604567205095</v>
      </c>
      <c r="E15" s="33">
        <f>C37*'E Balans VL '!I15/100/3.6*1000000</f>
        <v>268.85643427692418</v>
      </c>
      <c r="F15" s="33">
        <f>C37*'E Balans VL '!L15/100/3.6*1000000+C37*'E Balans VL '!N15/100/3.6*1000000</f>
        <v>5955.4535779250737</v>
      </c>
      <c r="G15" s="34"/>
      <c r="H15" s="33"/>
      <c r="I15" s="33"/>
      <c r="J15" s="40">
        <f>C37*'E Balans VL '!D15/100/3.6*1000000+C37*'E Balans VL '!E15/100/3.6*1000000</f>
        <v>200.59307581240901</v>
      </c>
      <c r="K15" s="33"/>
      <c r="L15" s="33"/>
      <c r="M15" s="33"/>
      <c r="N15" s="33">
        <f>C37*'E Balans VL '!Y15/100/3.6*1000000</f>
        <v>536.11398500980988</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40101.739441558042</v>
      </c>
      <c r="C18" s="21">
        <f>C5+C16</f>
        <v>0</v>
      </c>
      <c r="D18" s="21">
        <f>MAX((D5+D16),0)</f>
        <v>30103.744187209082</v>
      </c>
      <c r="E18" s="21">
        <f>MAX((E5+E16),0)</f>
        <v>392.85047212720826</v>
      </c>
      <c r="F18" s="21">
        <f>MAX((F5+F16),0)</f>
        <v>9829.2132271175706</v>
      </c>
      <c r="G18" s="21"/>
      <c r="H18" s="21"/>
      <c r="I18" s="21"/>
      <c r="J18" s="21">
        <f>MAX((J5+J16),0)</f>
        <v>248.3056371726326</v>
      </c>
      <c r="K18" s="21"/>
      <c r="L18" s="21">
        <f>MAX((L5+L16),0)</f>
        <v>0</v>
      </c>
      <c r="M18" s="21"/>
      <c r="N18" s="21">
        <f>MAX((N5+N16),0)</f>
        <v>889.77986066839503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0.20844791162119158</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8359.1238389699429</v>
      </c>
      <c r="C22" s="23">
        <f ca="1">C18*C20</f>
        <v>0</v>
      </c>
      <c r="D22" s="23">
        <f>D18*D20</f>
        <v>6080.9563258162352</v>
      </c>
      <c r="E22" s="23">
        <f>E18*E20</f>
        <v>89.177057172876275</v>
      </c>
      <c r="F22" s="23">
        <f>F18*F20</f>
        <v>2624.3999316403915</v>
      </c>
      <c r="G22" s="23"/>
      <c r="H22" s="23"/>
      <c r="I22" s="23"/>
      <c r="J22" s="23">
        <f>J18*J20</f>
        <v>87.900195559111935</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1484.3971083204899</v>
      </c>
      <c r="C30" s="39">
        <f>IF(ISERROR(B30*3.6/1000000/'E Balans VL '!Z18*100),0,B30*3.6/1000000/'E Balans VL '!Z18*100)</f>
        <v>9.8817221949728154E-2</v>
      </c>
      <c r="D30" s="238" t="s">
        <v>718</v>
      </c>
    </row>
    <row r="31" spans="1:18">
      <c r="A31" s="6" t="s">
        <v>32</v>
      </c>
      <c r="B31" s="37">
        <f>IF( ISERROR(IND_ander_ele_kWh/1000),0,IND_ander_ele_kWh/1000)</f>
        <v>3944.3399827670601</v>
      </c>
      <c r="C31" s="39">
        <f>IF(ISERROR(B31*3.6/1000000/'E Balans VL '!Z19*100),0,B31*3.6/1000000/'E Balans VL '!Z19*100)</f>
        <v>0.17483696022634668</v>
      </c>
      <c r="D31" s="238" t="s">
        <v>718</v>
      </c>
    </row>
    <row r="32" spans="1:18">
      <c r="A32" s="172" t="s">
        <v>40</v>
      </c>
      <c r="B32" s="37">
        <f>IF( ISERROR(IND_voed_ele_kWh/1000),0,IND_voed_ele_kWh/1000)</f>
        <v>3345.6561094638196</v>
      </c>
      <c r="C32" s="39">
        <f>IF(ISERROR(B32*3.6/1000000/'E Balans VL '!Z20*100),0,B32*3.6/1000000/'E Balans VL '!Z20*100)</f>
        <v>0.11175451150131745</v>
      </c>
      <c r="D32" s="238" t="s">
        <v>718</v>
      </c>
    </row>
    <row r="33" spans="1:5">
      <c r="A33" s="172" t="s">
        <v>39</v>
      </c>
      <c r="B33" s="37">
        <f>IF( ISERROR(IND_textiel_ele_kWh/1000),0,IND_textiel_ele_kWh/1000)</f>
        <v>961.26208476887507</v>
      </c>
      <c r="C33" s="39">
        <f>IF(ISERROR(B33*3.6/1000000/'E Balans VL '!Z21*100),0,B33*3.6/1000000/'E Balans VL '!Z21*100)</f>
        <v>0.12655237016861959</v>
      </c>
      <c r="D33" s="238" t="s">
        <v>718</v>
      </c>
    </row>
    <row r="34" spans="1:5">
      <c r="A34" s="172" t="s">
        <v>36</v>
      </c>
      <c r="B34" s="37">
        <f>IF( ISERROR(IND_min_ele_kWh/1000),0,IND_min_ele_kWh/1000)</f>
        <v>519.47090264677604</v>
      </c>
      <c r="C34" s="39">
        <f>IF(ISERROR(B34*3.6/1000000/'E Balans VL '!Z22*100),0,B34*3.6/1000000/'E Balans VL '!Z22*100)</f>
        <v>0.10103138450128463</v>
      </c>
      <c r="D34" s="238" t="s">
        <v>718</v>
      </c>
    </row>
    <row r="35" spans="1:5">
      <c r="A35" s="172" t="s">
        <v>38</v>
      </c>
      <c r="B35" s="37">
        <f>IF( ISERROR(IND_papier_ele_kWh/1000),0,IND_papier_ele_kWh/1000)</f>
        <v>55.645965364417002</v>
      </c>
      <c r="C35" s="39">
        <f>IF(ISERROR(B35*3.6/1000000/'E Balans VL '!Z22*100),0,B35*3.6/1000000/'E Balans VL '!Z22*100)</f>
        <v>1.0822529027194347E-2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29790.967288226602</v>
      </c>
      <c r="C37" s="39">
        <f>IF(ISERROR(B37*3.6/1000000/'E Balans VL '!Z15*100),0,B37*3.6/1000000/'E Balans VL '!Z15*100)</f>
        <v>0.22159626298716273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1532.4896415678841</v>
      </c>
      <c r="C5" s="17">
        <f>'Eigen informatie GS &amp; warmtenet'!B60</f>
        <v>0</v>
      </c>
      <c r="D5" s="30">
        <f>IF(ISERROR(SUM(LB_lb_gas_kWh,LB_rest_gas_kWh)/1000),0,SUM(LB_lb_gas_kWh,LB_rest_gas_kWh)/1000)*0.902</f>
        <v>230.8404649530892</v>
      </c>
      <c r="E5" s="17">
        <f>B17*'E Balans VL '!I25/3.6*1000000/100</f>
        <v>16.048563296976759</v>
      </c>
      <c r="F5" s="17">
        <f>B17*('E Balans VL '!L25/3.6*1000000+'E Balans VL '!N25/3.6*1000000)/100</f>
        <v>6560.2201107341543</v>
      </c>
      <c r="G5" s="18"/>
      <c r="H5" s="17"/>
      <c r="I5" s="17"/>
      <c r="J5" s="17">
        <f>('E Balans VL '!D25+'E Balans VL '!E25)/3.6*1000000*landbouw!B17/100</f>
        <v>136.86506093099987</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1532.4896415678841</v>
      </c>
      <c r="C8" s="21">
        <f>C5+C6</f>
        <v>0</v>
      </c>
      <c r="D8" s="21">
        <f>MAX((D5+D6),0)</f>
        <v>230.8404649530892</v>
      </c>
      <c r="E8" s="21">
        <f>MAX((E5+E6),0)</f>
        <v>16.048563296976759</v>
      </c>
      <c r="F8" s="21">
        <f>MAX((F5+F6),0)</f>
        <v>6560.2201107341543</v>
      </c>
      <c r="G8" s="21"/>
      <c r="H8" s="21"/>
      <c r="I8" s="21"/>
      <c r="J8" s="21">
        <f>MAX((J5+J6),0)</f>
        <v>136.86506093099987</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0.20844791162119158</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319.44426536593386</v>
      </c>
      <c r="C12" s="23">
        <f ca="1">C8*C10</f>
        <v>0</v>
      </c>
      <c r="D12" s="23">
        <f>D8*D10</f>
        <v>46.629773920524023</v>
      </c>
      <c r="E12" s="23">
        <f>E8*E10</f>
        <v>3.6430238684137244</v>
      </c>
      <c r="F12" s="23">
        <f>F8*F10</f>
        <v>1751.5787695660192</v>
      </c>
      <c r="G12" s="23"/>
      <c r="H12" s="23"/>
      <c r="I12" s="23"/>
      <c r="J12" s="23">
        <f>J8*J10</f>
        <v>48.450231569573951</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0.23587973835418252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364.89332783529636</v>
      </c>
      <c r="C26" s="248">
        <f>B26*'GWP N2O_CH4'!B5</f>
        <v>7662.759884541224</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125.4299276393191</v>
      </c>
      <c r="C27" s="248">
        <f>B27*'GWP N2O_CH4'!B5</f>
        <v>2634.0284804257012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5.297999249459223</v>
      </c>
      <c r="C28" s="248">
        <f>B28*'GWP N2O_CH4'!B4</f>
        <v>1642.3797673323591</v>
      </c>
      <c r="D28" s="50"/>
    </row>
    <row r="29" spans="1:4">
      <c r="A29" s="41" t="s">
        <v>276</v>
      </c>
      <c r="B29" s="248">
        <f>B34*'ha_N2O bodem landbouw'!B4</f>
        <v>16.797515436965092</v>
      </c>
      <c r="C29" s="248">
        <f>B29*'GWP N2O_CH4'!B4</f>
        <v>5207.2297854591789</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2.7760100394321296E-3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7.4661783689682443E-6</v>
      </c>
      <c r="C5" s="443" t="s">
        <v>210</v>
      </c>
      <c r="D5" s="428">
        <f>SUM(D6:D11)</f>
        <v>4.154994962050657E-5</v>
      </c>
      <c r="E5" s="428">
        <f>SUM(E6:E11)</f>
        <v>4.5646700155826843E-3</v>
      </c>
      <c r="F5" s="441" t="s">
        <v>210</v>
      </c>
      <c r="G5" s="428">
        <f>SUM(G6:G11)</f>
        <v>1.0012315012650426</v>
      </c>
      <c r="H5" s="428">
        <f>SUM(H6:H11)</f>
        <v>0.14530906592228074</v>
      </c>
      <c r="I5" s="443" t="s">
        <v>210</v>
      </c>
      <c r="J5" s="443" t="s">
        <v>210</v>
      </c>
      <c r="K5" s="443" t="s">
        <v>210</v>
      </c>
      <c r="L5" s="443" t="s">
        <v>210</v>
      </c>
      <c r="M5" s="428">
        <f>SUM(M6:M11)</f>
        <v>4.9820086719740565E-2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2.5463079655585649E-6</v>
      </c>
      <c r="C6" s="429"/>
      <c r="D6" s="429">
        <f>vkm_GW_PW*SUMIFS(TableVerdeelsleutelVkm[CNG],TableVerdeelsleutelVkm[Voertuigtype],"Lichte voertuigen")*SUMIFS(TableECFTransport[EnergieConsumptieFactor (PJ per km)],TableECFTransport[Index],CONCATENATE($A6,"_CNG_CNG"))</f>
        <v>1.2077788610118261E-5</v>
      </c>
      <c r="E6" s="431">
        <f>vkm_GW_PW*SUMIFS(TableVerdeelsleutelVkm[LPG],TableVerdeelsleutelVkm[Voertuigtype],"Lichte voertuigen")*SUMIFS(TableECFTransport[EnergieConsumptieFactor (PJ per km)],TableECFTransport[Index],CONCATENATE($A6,"_LPG_LPG"))</f>
        <v>1.2497991757556472E-3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0.1692822528990848</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4.2149387206307738E-2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9.2324688564603304E-3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0.10081548988539547</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2.7998795190565149E-6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4.3431764628147395E-3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1.9124408783657699E-6</v>
      </c>
      <c r="C8" s="429"/>
      <c r="D8" s="431">
        <f>vkm_NGW_PW*SUMIFS(TableVerdeelsleutelVkm[CNG],TableVerdeelsleutelVkm[Voertuigtype],"Lichte voertuigen")*SUMIFS(TableECFTransport[EnergieConsumptieFactor (PJ per km)],TableECFTransport[Index],CONCATENATE($A8,"_CNG_CNG"))</f>
        <v>1.5346762410143426E-5</v>
      </c>
      <c r="E8" s="431">
        <f>vkm_NGW_PW*SUMIFS(TableVerdeelsleutelVkm[LPG],TableVerdeelsleutelVkm[Voertuigtype],"Lichte voertuigen")*SUMIFS(TableECFTransport[EnergieConsumptieFactor (PJ per km)],TableECFTransport[Index],CONCATENATE($A8,"_LPG_LPG"))</f>
        <v>1.4879504944049816E-3</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0.19317121380578445</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5.0736004138534359E-2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1.0656785400018673E-2</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4.6409613701941917E-2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1.5519107948183843E-6</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1.9993590516508672E-3</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3.0074295250439098E-6</v>
      </c>
      <c r="C10" s="429"/>
      <c r="D10" s="431">
        <f>vkm_SW_PW*SUMIFS(TableVerdeelsleutelVkm[CNG],TableVerdeelsleutelVkm[Voertuigtype],"Lichte voertuigen")*SUMIFS(TableECFTransport[EnergieConsumptieFactor (PJ per km)],TableECFTransport[Index],CONCATENATE($A10,"_CNG_CNG"))</f>
        <v>1.4125398600244883E-5</v>
      </c>
      <c r="E10" s="431">
        <f>vkm_SW_PW*SUMIFS(TableVerdeelsleutelVkm[LPG],TableVerdeelsleutelVkm[Voertuigtype],"Lichte voertuigen")*SUMIFS(TableECFTransport[EnergieConsumptieFactor (PJ per km)],TableECFTransport[Index],CONCATENATE($A10,"_LPG_LPG"))</f>
        <v>1.8269203454220556E-3</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0.22756604694463012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5.2411621566828978E-2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1.2215606721330135E-2</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0.26398688402820575</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7.7012202957861648E-6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1.137269022746582E-2</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2.0739384358245121</v>
      </c>
      <c r="C14" s="21"/>
      <c r="D14" s="21">
        <f t="shared" ref="D14:M14" si="0">((D5)*10^9/3600)+D12</f>
        <v>11.541652672362938</v>
      </c>
      <c r="E14" s="21">
        <f t="shared" si="0"/>
        <v>1267.9638932174123</v>
      </c>
      <c r="F14" s="21"/>
      <c r="G14" s="21">
        <f t="shared" si="0"/>
        <v>278119.86146251182</v>
      </c>
      <c r="H14" s="21">
        <f t="shared" si="0"/>
        <v>40363.62942285576</v>
      </c>
      <c r="I14" s="21"/>
      <c r="J14" s="21"/>
      <c r="K14" s="21"/>
      <c r="L14" s="21"/>
      <c r="M14" s="21">
        <f t="shared" si="0"/>
        <v>13838.912977705711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0.20844791162119158</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0.43230813577854021</v>
      </c>
      <c r="C18" s="23"/>
      <c r="D18" s="23">
        <f t="shared" ref="D18:M18" si="1">D14*D16</f>
        <v>2.3314138398173134</v>
      </c>
      <c r="E18" s="23">
        <f t="shared" si="1"/>
        <v>287.82780376035259</v>
      </c>
      <c r="F18" s="23"/>
      <c r="G18" s="23">
        <f t="shared" si="1"/>
        <v>74258.003010490662</v>
      </c>
      <c r="H18" s="23">
        <f t="shared" si="1"/>
        <v>10050.543726291084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9.3838026671300197E-3</v>
      </c>
      <c r="H50" s="320">
        <f t="shared" si="2"/>
        <v>0</v>
      </c>
      <c r="I50" s="320">
        <f t="shared" si="2"/>
        <v>0</v>
      </c>
      <c r="J50" s="320">
        <f t="shared" si="2"/>
        <v>0</v>
      </c>
      <c r="K50" s="320">
        <f t="shared" si="2"/>
        <v>0</v>
      </c>
      <c r="L50" s="320">
        <f t="shared" si="2"/>
        <v>0</v>
      </c>
      <c r="M50" s="320">
        <f t="shared" si="2"/>
        <v>3.9903379320144688E-4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9.3838026671300197E-3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3.9903379320144688E-4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2606.6118519805609</v>
      </c>
      <c r="H54" s="21">
        <f t="shared" si="3"/>
        <v>0</v>
      </c>
      <c r="I54" s="21">
        <f t="shared" si="3"/>
        <v>0</v>
      </c>
      <c r="J54" s="21">
        <f t="shared" si="3"/>
        <v>0</v>
      </c>
      <c r="K54" s="21">
        <f t="shared" si="3"/>
        <v>0</v>
      </c>
      <c r="L54" s="21">
        <f t="shared" si="3"/>
        <v>0</v>
      </c>
      <c r="M54" s="21">
        <f t="shared" si="3"/>
        <v>110.84272033373524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0.20844791162119158</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695.96536447880976</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43508.661215327149</v>
      </c>
      <c r="D10" s="684">
        <f ca="1">tertiair!C16</f>
        <v>0</v>
      </c>
      <c r="E10" s="684">
        <f ca="1">tertiair!D16</f>
        <v>44806.042144018982</v>
      </c>
      <c r="F10" s="684">
        <f>tertiair!E16</f>
        <v>830.21440436490252</v>
      </c>
      <c r="G10" s="684">
        <f ca="1">tertiair!F16</f>
        <v>7543.7759794513922</v>
      </c>
      <c r="H10" s="684">
        <f>tertiair!G16</f>
        <v>0</v>
      </c>
      <c r="I10" s="684">
        <f>tertiair!H16</f>
        <v>0</v>
      </c>
      <c r="J10" s="684">
        <f>tertiair!I16</f>
        <v>0</v>
      </c>
      <c r="K10" s="684">
        <f>tertiair!J16</f>
        <v>0</v>
      </c>
      <c r="L10" s="684">
        <f>tertiair!K16</f>
        <v>0</v>
      </c>
      <c r="M10" s="684">
        <f ca="1">tertiair!L16</f>
        <v>0</v>
      </c>
      <c r="N10" s="684">
        <f>tertiair!M16</f>
        <v>0</v>
      </c>
      <c r="O10" s="684">
        <f ca="1">tertiair!N16</f>
        <v>1161.8896204864068</v>
      </c>
      <c r="P10" s="684">
        <f>tertiair!O16</f>
        <v>1.5633333333333335</v>
      </c>
      <c r="Q10" s="685">
        <f>tertiair!P16</f>
        <v>19.066666666666666</v>
      </c>
      <c r="R10" s="687">
        <f ca="1">SUM(C10:Q10)</f>
        <v>97871.213363648858</v>
      </c>
      <c r="S10" s="67"/>
    </row>
    <row r="11" spans="1:19" s="453" customFormat="1">
      <c r="A11" s="799" t="s">
        <v>224</v>
      </c>
      <c r="B11" s="804"/>
      <c r="C11" s="684">
        <f>huishoudens!B8</f>
        <v>52145.485349568306</v>
      </c>
      <c r="D11" s="684">
        <f>huishoudens!C8</f>
        <v>0</v>
      </c>
      <c r="E11" s="684">
        <f>huishoudens!D8</f>
        <v>115153.21758555398</v>
      </c>
      <c r="F11" s="684">
        <f>huishoudens!E8</f>
        <v>19925.253161814042</v>
      </c>
      <c r="G11" s="684">
        <f>huishoudens!F8</f>
        <v>0</v>
      </c>
      <c r="H11" s="684">
        <f>huishoudens!G8</f>
        <v>0</v>
      </c>
      <c r="I11" s="684">
        <f>huishoudens!H8</f>
        <v>0</v>
      </c>
      <c r="J11" s="684">
        <f>huishoudens!I8</f>
        <v>0</v>
      </c>
      <c r="K11" s="684">
        <f>huishoudens!J8</f>
        <v>4294.4452025469654</v>
      </c>
      <c r="L11" s="684">
        <f>huishoudens!K8</f>
        <v>0</v>
      </c>
      <c r="M11" s="684">
        <f>huishoudens!L8</f>
        <v>0</v>
      </c>
      <c r="N11" s="684">
        <f>huishoudens!M8</f>
        <v>0</v>
      </c>
      <c r="O11" s="684">
        <f>huishoudens!N8</f>
        <v>21857.090386705702</v>
      </c>
      <c r="P11" s="684">
        <f>huishoudens!O8</f>
        <v>87.546666666666681</v>
      </c>
      <c r="Q11" s="685">
        <f>huishoudens!P8</f>
        <v>533.86666666666667</v>
      </c>
      <c r="R11" s="687">
        <f>SUM(C11:Q11)</f>
        <v>213996.90501952235</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40101.739441558042</v>
      </c>
      <c r="D13" s="684">
        <f>industrie!C18</f>
        <v>0</v>
      </c>
      <c r="E13" s="684">
        <f>industrie!D18</f>
        <v>30103.744187209082</v>
      </c>
      <c r="F13" s="684">
        <f>industrie!E18</f>
        <v>392.85047212720826</v>
      </c>
      <c r="G13" s="684">
        <f>industrie!F18</f>
        <v>9829.2132271175706</v>
      </c>
      <c r="H13" s="684">
        <f>industrie!G18</f>
        <v>0</v>
      </c>
      <c r="I13" s="684">
        <f>industrie!H18</f>
        <v>0</v>
      </c>
      <c r="J13" s="684">
        <f>industrie!I18</f>
        <v>0</v>
      </c>
      <c r="K13" s="684">
        <f>industrie!J18</f>
        <v>248.3056371726326</v>
      </c>
      <c r="L13" s="684">
        <f>industrie!K18</f>
        <v>0</v>
      </c>
      <c r="M13" s="684">
        <f>industrie!L18</f>
        <v>0</v>
      </c>
      <c r="N13" s="684">
        <f>industrie!M18</f>
        <v>0</v>
      </c>
      <c r="O13" s="684">
        <f>industrie!N18</f>
        <v>889.77986066839503</v>
      </c>
      <c r="P13" s="684">
        <f>industrie!O18</f>
        <v>0</v>
      </c>
      <c r="Q13" s="685">
        <f>industrie!P18</f>
        <v>0</v>
      </c>
      <c r="R13" s="687">
        <f>SUM(C13:Q13)</f>
        <v>81565.63282585291</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135755.88600645351</v>
      </c>
      <c r="D16" s="717">
        <f t="shared" ref="D16:R16" ca="1" si="0">SUM(D9:D15)</f>
        <v>0</v>
      </c>
      <c r="E16" s="717">
        <f t="shared" ca="1" si="0"/>
        <v>190063.00391678207</v>
      </c>
      <c r="F16" s="717">
        <f t="shared" si="0"/>
        <v>21148.318038306152</v>
      </c>
      <c r="G16" s="717">
        <f t="shared" ca="1" si="0"/>
        <v>17372.989206568964</v>
      </c>
      <c r="H16" s="717">
        <f t="shared" si="0"/>
        <v>0</v>
      </c>
      <c r="I16" s="717">
        <f t="shared" si="0"/>
        <v>0</v>
      </c>
      <c r="J16" s="717">
        <f t="shared" si="0"/>
        <v>0</v>
      </c>
      <c r="K16" s="717">
        <f t="shared" si="0"/>
        <v>4542.7508397195979</v>
      </c>
      <c r="L16" s="717">
        <f t="shared" si="0"/>
        <v>0</v>
      </c>
      <c r="M16" s="717">
        <f t="shared" ca="1" si="0"/>
        <v>0</v>
      </c>
      <c r="N16" s="717">
        <f t="shared" si="0"/>
        <v>0</v>
      </c>
      <c r="O16" s="717">
        <f t="shared" ca="1" si="0"/>
        <v>23908.759867860503</v>
      </c>
      <c r="P16" s="717">
        <f t="shared" si="0"/>
        <v>89.110000000000014</v>
      </c>
      <c r="Q16" s="717">
        <f t="shared" si="0"/>
        <v>552.93333333333339</v>
      </c>
      <c r="R16" s="717">
        <f t="shared" ca="1" si="0"/>
        <v>393433.75120902411</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2606.6118519805609</v>
      </c>
      <c r="I19" s="684">
        <f>transport!H54</f>
        <v>0</v>
      </c>
      <c r="J19" s="684">
        <f>transport!I54</f>
        <v>0</v>
      </c>
      <c r="K19" s="684">
        <f>transport!J54</f>
        <v>0</v>
      </c>
      <c r="L19" s="684">
        <f>transport!K54</f>
        <v>0</v>
      </c>
      <c r="M19" s="684">
        <f>transport!L54</f>
        <v>0</v>
      </c>
      <c r="N19" s="684">
        <f>transport!M54</f>
        <v>110.84272033373524</v>
      </c>
      <c r="O19" s="684">
        <f>transport!N54</f>
        <v>0</v>
      </c>
      <c r="P19" s="684">
        <f>transport!O54</f>
        <v>0</v>
      </c>
      <c r="Q19" s="685">
        <f>transport!P54</f>
        <v>0</v>
      </c>
      <c r="R19" s="687">
        <f>SUM(C19:Q19)</f>
        <v>2717.454572314296</v>
      </c>
      <c r="S19" s="67"/>
    </row>
    <row r="20" spans="1:19" s="453" customFormat="1">
      <c r="A20" s="799" t="s">
        <v>306</v>
      </c>
      <c r="B20" s="804"/>
      <c r="C20" s="684">
        <f>transport!B14</f>
        <v>2.0739384358245121</v>
      </c>
      <c r="D20" s="684">
        <f>transport!C14</f>
        <v>0</v>
      </c>
      <c r="E20" s="684">
        <f>transport!D14</f>
        <v>11.541652672362938</v>
      </c>
      <c r="F20" s="684">
        <f>transport!E14</f>
        <v>1267.9638932174123</v>
      </c>
      <c r="G20" s="684">
        <f>transport!F14</f>
        <v>0</v>
      </c>
      <c r="H20" s="684">
        <f>transport!G14</f>
        <v>278119.86146251182</v>
      </c>
      <c r="I20" s="684">
        <f>transport!H14</f>
        <v>40363.62942285576</v>
      </c>
      <c r="J20" s="684">
        <f>transport!I14</f>
        <v>0</v>
      </c>
      <c r="K20" s="684">
        <f>transport!J14</f>
        <v>0</v>
      </c>
      <c r="L20" s="684">
        <f>transport!K14</f>
        <v>0</v>
      </c>
      <c r="M20" s="684">
        <f>transport!L14</f>
        <v>0</v>
      </c>
      <c r="N20" s="684">
        <f>transport!M14</f>
        <v>13838.912977705711</v>
      </c>
      <c r="O20" s="684">
        <f>transport!N14</f>
        <v>0</v>
      </c>
      <c r="P20" s="684">
        <f>transport!O14</f>
        <v>0</v>
      </c>
      <c r="Q20" s="685">
        <f>transport!P14</f>
        <v>0</v>
      </c>
      <c r="R20" s="687">
        <f>SUM(C20:Q20)</f>
        <v>333603.98334739887</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2.0739384358245121</v>
      </c>
      <c r="D22" s="802">
        <f t="shared" ref="D22:R22" si="1">SUM(D18:D21)</f>
        <v>0</v>
      </c>
      <c r="E22" s="802">
        <f t="shared" si="1"/>
        <v>11.541652672362938</v>
      </c>
      <c r="F22" s="802">
        <f t="shared" si="1"/>
        <v>1267.9638932174123</v>
      </c>
      <c r="G22" s="802">
        <f t="shared" si="1"/>
        <v>0</v>
      </c>
      <c r="H22" s="802">
        <f t="shared" si="1"/>
        <v>280726.47331449238</v>
      </c>
      <c r="I22" s="802">
        <f t="shared" si="1"/>
        <v>40363.62942285576</v>
      </c>
      <c r="J22" s="802">
        <f t="shared" si="1"/>
        <v>0</v>
      </c>
      <c r="K22" s="802">
        <f t="shared" si="1"/>
        <v>0</v>
      </c>
      <c r="L22" s="802">
        <f t="shared" si="1"/>
        <v>0</v>
      </c>
      <c r="M22" s="802">
        <f t="shared" si="1"/>
        <v>0</v>
      </c>
      <c r="N22" s="802">
        <f t="shared" si="1"/>
        <v>13949.755698039447</v>
      </c>
      <c r="O22" s="802">
        <f t="shared" si="1"/>
        <v>0</v>
      </c>
      <c r="P22" s="802">
        <f t="shared" si="1"/>
        <v>0</v>
      </c>
      <c r="Q22" s="802">
        <f t="shared" si="1"/>
        <v>0</v>
      </c>
      <c r="R22" s="802">
        <f t="shared" si="1"/>
        <v>336321.43791971315</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1532.4896415678841</v>
      </c>
      <c r="D24" s="684">
        <f>+landbouw!C8</f>
        <v>0</v>
      </c>
      <c r="E24" s="684">
        <f>+landbouw!D8</f>
        <v>230.8404649530892</v>
      </c>
      <c r="F24" s="684">
        <f>+landbouw!E8</f>
        <v>16.048563296976759</v>
      </c>
      <c r="G24" s="684">
        <f>+landbouw!F8</f>
        <v>6560.2201107341543</v>
      </c>
      <c r="H24" s="684">
        <f>+landbouw!G8</f>
        <v>0</v>
      </c>
      <c r="I24" s="684">
        <f>+landbouw!H8</f>
        <v>0</v>
      </c>
      <c r="J24" s="684">
        <f>+landbouw!I8</f>
        <v>0</v>
      </c>
      <c r="K24" s="684">
        <f>+landbouw!J8</f>
        <v>136.86506093099987</v>
      </c>
      <c r="L24" s="684">
        <f>+landbouw!K8</f>
        <v>0</v>
      </c>
      <c r="M24" s="684">
        <f>+landbouw!L8</f>
        <v>0</v>
      </c>
      <c r="N24" s="684">
        <f>+landbouw!M8</f>
        <v>0</v>
      </c>
      <c r="O24" s="684">
        <f>+landbouw!N8</f>
        <v>0</v>
      </c>
      <c r="P24" s="684">
        <f>+landbouw!O8</f>
        <v>0</v>
      </c>
      <c r="Q24" s="685">
        <f>+landbouw!P8</f>
        <v>0</v>
      </c>
      <c r="R24" s="687">
        <f>SUM(C24:Q24)</f>
        <v>8476.4638414831043</v>
      </c>
      <c r="S24" s="67"/>
    </row>
    <row r="25" spans="1:19" s="453" customFormat="1" ht="15" thickBot="1">
      <c r="A25" s="821" t="s">
        <v>912</v>
      </c>
      <c r="B25" s="978"/>
      <c r="C25" s="979">
        <f>IF(Onbekend_ele_kWh="---",0,Onbekend_ele_kWh)/1000+IF(REST_rest_ele_kWh="---",0,REST_rest_ele_kWh)/1000</f>
        <v>2818.7827090128503</v>
      </c>
      <c r="D25" s="979"/>
      <c r="E25" s="979">
        <f>IF(onbekend_gas_kWh="---",0,onbekend_gas_kWh)/1000+IF(REST_rest_gas_kWh="---",0,REST_rest_gas_kWh)/1000</f>
        <v>6313.3509689134999</v>
      </c>
      <c r="F25" s="979"/>
      <c r="G25" s="979"/>
      <c r="H25" s="979"/>
      <c r="I25" s="979"/>
      <c r="J25" s="979"/>
      <c r="K25" s="979"/>
      <c r="L25" s="979"/>
      <c r="M25" s="979"/>
      <c r="N25" s="979"/>
      <c r="O25" s="979"/>
      <c r="P25" s="979"/>
      <c r="Q25" s="980"/>
      <c r="R25" s="687">
        <f>SUM(C25:Q25)</f>
        <v>9132.1336779263511</v>
      </c>
      <c r="S25" s="67"/>
    </row>
    <row r="26" spans="1:19" s="453" customFormat="1" ht="15.75" thickBot="1">
      <c r="A26" s="690" t="s">
        <v>913</v>
      </c>
      <c r="B26" s="807"/>
      <c r="C26" s="802">
        <f>SUM(C24:C25)</f>
        <v>4351.2723505807344</v>
      </c>
      <c r="D26" s="802">
        <f t="shared" ref="D26:R26" si="2">SUM(D24:D25)</f>
        <v>0</v>
      </c>
      <c r="E26" s="802">
        <f t="shared" si="2"/>
        <v>6544.1914338665893</v>
      </c>
      <c r="F26" s="802">
        <f t="shared" si="2"/>
        <v>16.048563296976759</v>
      </c>
      <c r="G26" s="802">
        <f t="shared" si="2"/>
        <v>6560.2201107341543</v>
      </c>
      <c r="H26" s="802">
        <f t="shared" si="2"/>
        <v>0</v>
      </c>
      <c r="I26" s="802">
        <f t="shared" si="2"/>
        <v>0</v>
      </c>
      <c r="J26" s="802">
        <f t="shared" si="2"/>
        <v>0</v>
      </c>
      <c r="K26" s="802">
        <f t="shared" si="2"/>
        <v>136.86506093099987</v>
      </c>
      <c r="L26" s="802">
        <f t="shared" si="2"/>
        <v>0</v>
      </c>
      <c r="M26" s="802">
        <f t="shared" si="2"/>
        <v>0</v>
      </c>
      <c r="N26" s="802">
        <f t="shared" si="2"/>
        <v>0</v>
      </c>
      <c r="O26" s="802">
        <f t="shared" si="2"/>
        <v>0</v>
      </c>
      <c r="P26" s="802">
        <f t="shared" si="2"/>
        <v>0</v>
      </c>
      <c r="Q26" s="802">
        <f t="shared" si="2"/>
        <v>0</v>
      </c>
      <c r="R26" s="802">
        <f t="shared" si="2"/>
        <v>17608.597519409457</v>
      </c>
      <c r="S26" s="67"/>
    </row>
    <row r="27" spans="1:19" s="453" customFormat="1" ht="17.25" thickTop="1" thickBot="1">
      <c r="A27" s="691" t="s">
        <v>115</v>
      </c>
      <c r="B27" s="794"/>
      <c r="C27" s="692">
        <f ca="1">C22+C16+C26</f>
        <v>140109.23229547005</v>
      </c>
      <c r="D27" s="692">
        <f t="shared" ref="D27:R27" ca="1" si="3">D22+D16+D26</f>
        <v>0</v>
      </c>
      <c r="E27" s="692">
        <f t="shared" ca="1" si="3"/>
        <v>196618.73700332103</v>
      </c>
      <c r="F27" s="692">
        <f t="shared" si="3"/>
        <v>22432.33049482054</v>
      </c>
      <c r="G27" s="692">
        <f t="shared" ca="1" si="3"/>
        <v>23933.209317303117</v>
      </c>
      <c r="H27" s="692">
        <f t="shared" si="3"/>
        <v>280726.47331449238</v>
      </c>
      <c r="I27" s="692">
        <f t="shared" si="3"/>
        <v>40363.62942285576</v>
      </c>
      <c r="J27" s="692">
        <f t="shared" si="3"/>
        <v>0</v>
      </c>
      <c r="K27" s="692">
        <f t="shared" si="3"/>
        <v>4679.6159006505977</v>
      </c>
      <c r="L27" s="692">
        <f t="shared" si="3"/>
        <v>0</v>
      </c>
      <c r="M27" s="692">
        <f t="shared" ca="1" si="3"/>
        <v>0</v>
      </c>
      <c r="N27" s="692">
        <f t="shared" si="3"/>
        <v>13949.755698039447</v>
      </c>
      <c r="O27" s="692">
        <f t="shared" ca="1" si="3"/>
        <v>23908.759867860503</v>
      </c>
      <c r="P27" s="692">
        <f t="shared" si="3"/>
        <v>89.110000000000014</v>
      </c>
      <c r="Q27" s="692">
        <f t="shared" si="3"/>
        <v>552.93333333333339</v>
      </c>
      <c r="R27" s="692">
        <f t="shared" ca="1" si="3"/>
        <v>747363.78664814669</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9069.2895677688794</v>
      </c>
      <c r="D40" s="684">
        <f ca="1">tertiair!C20</f>
        <v>0</v>
      </c>
      <c r="E40" s="684">
        <f ca="1">tertiair!D20</f>
        <v>9050.8205130918341</v>
      </c>
      <c r="F40" s="684">
        <f>tertiair!E20</f>
        <v>188.45866979083289</v>
      </c>
      <c r="G40" s="684">
        <f ca="1">tertiair!F20</f>
        <v>2014.1881865135219</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20322.756937165072</v>
      </c>
    </row>
    <row r="41" spans="1:18">
      <c r="A41" s="812" t="s">
        <v>224</v>
      </c>
      <c r="B41" s="819"/>
      <c r="C41" s="684">
        <f ca="1">huishoudens!B12</f>
        <v>10869.617521590955</v>
      </c>
      <c r="D41" s="684">
        <f ca="1">huishoudens!C12</f>
        <v>0</v>
      </c>
      <c r="E41" s="684">
        <f>huishoudens!D12</f>
        <v>23260.949952281906</v>
      </c>
      <c r="F41" s="684">
        <f>huishoudens!E12</f>
        <v>4523.0324677317876</v>
      </c>
      <c r="G41" s="684">
        <f>huishoudens!F12</f>
        <v>0</v>
      </c>
      <c r="H41" s="684">
        <f>huishoudens!G12</f>
        <v>0</v>
      </c>
      <c r="I41" s="684">
        <f>huishoudens!H12</f>
        <v>0</v>
      </c>
      <c r="J41" s="684">
        <f>huishoudens!I12</f>
        <v>0</v>
      </c>
      <c r="K41" s="684">
        <f>huishoudens!J12</f>
        <v>1520.2336017016257</v>
      </c>
      <c r="L41" s="684">
        <f>huishoudens!K12</f>
        <v>0</v>
      </c>
      <c r="M41" s="684">
        <f>huishoudens!L12</f>
        <v>0</v>
      </c>
      <c r="N41" s="684">
        <f>huishoudens!M12</f>
        <v>0</v>
      </c>
      <c r="O41" s="684">
        <f>huishoudens!N12</f>
        <v>0</v>
      </c>
      <c r="P41" s="684">
        <f>huishoudens!O12</f>
        <v>0</v>
      </c>
      <c r="Q41" s="759">
        <f>huishoudens!P12</f>
        <v>0</v>
      </c>
      <c r="R41" s="840">
        <f t="shared" ca="1" si="4"/>
        <v>40173.833543306282</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8359.1238389699429</v>
      </c>
      <c r="D43" s="684">
        <f ca="1">industrie!C22</f>
        <v>0</v>
      </c>
      <c r="E43" s="684">
        <f>industrie!D22</f>
        <v>6080.9563258162352</v>
      </c>
      <c r="F43" s="684">
        <f>industrie!E22</f>
        <v>89.177057172876275</v>
      </c>
      <c r="G43" s="684">
        <f>industrie!F22</f>
        <v>2624.3999316403915</v>
      </c>
      <c r="H43" s="684">
        <f>industrie!G22</f>
        <v>0</v>
      </c>
      <c r="I43" s="684">
        <f>industrie!H22</f>
        <v>0</v>
      </c>
      <c r="J43" s="684">
        <f>industrie!I22</f>
        <v>0</v>
      </c>
      <c r="K43" s="684">
        <f>industrie!J22</f>
        <v>87.900195559111935</v>
      </c>
      <c r="L43" s="684">
        <f>industrie!K22</f>
        <v>0</v>
      </c>
      <c r="M43" s="684">
        <f>industrie!L22</f>
        <v>0</v>
      </c>
      <c r="N43" s="684">
        <f>industrie!M22</f>
        <v>0</v>
      </c>
      <c r="O43" s="684">
        <f>industrie!N22</f>
        <v>0</v>
      </c>
      <c r="P43" s="684">
        <f>industrie!O22</f>
        <v>0</v>
      </c>
      <c r="Q43" s="759">
        <f>industrie!P22</f>
        <v>0</v>
      </c>
      <c r="R43" s="839">
        <f t="shared" ca="1" si="4"/>
        <v>17241.557349158556</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28298.030928329776</v>
      </c>
      <c r="D46" s="717">
        <f t="shared" ref="D46:Q46" ca="1" si="5">SUM(D39:D45)</f>
        <v>0</v>
      </c>
      <c r="E46" s="717">
        <f t="shared" ca="1" si="5"/>
        <v>38392.726791189976</v>
      </c>
      <c r="F46" s="717">
        <f t="shared" si="5"/>
        <v>4800.6681946954968</v>
      </c>
      <c r="G46" s="717">
        <f t="shared" ca="1" si="5"/>
        <v>4638.5881181539135</v>
      </c>
      <c r="H46" s="717">
        <f t="shared" si="5"/>
        <v>0</v>
      </c>
      <c r="I46" s="717">
        <f t="shared" si="5"/>
        <v>0</v>
      </c>
      <c r="J46" s="717">
        <f t="shared" si="5"/>
        <v>0</v>
      </c>
      <c r="K46" s="717">
        <f t="shared" si="5"/>
        <v>1608.1337972607378</v>
      </c>
      <c r="L46" s="717">
        <f t="shared" si="5"/>
        <v>0</v>
      </c>
      <c r="M46" s="717">
        <f t="shared" ca="1" si="5"/>
        <v>0</v>
      </c>
      <c r="N46" s="717">
        <f t="shared" si="5"/>
        <v>0</v>
      </c>
      <c r="O46" s="717">
        <f t="shared" ca="1" si="5"/>
        <v>0</v>
      </c>
      <c r="P46" s="717">
        <f t="shared" si="5"/>
        <v>0</v>
      </c>
      <c r="Q46" s="717">
        <f t="shared" si="5"/>
        <v>0</v>
      </c>
      <c r="R46" s="717">
        <f ca="1">SUM(R39:R45)</f>
        <v>77738.147829629903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695.96536447880976</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695.96536447880976</v>
      </c>
    </row>
    <row r="50" spans="1:18">
      <c r="A50" s="815" t="s">
        <v>306</v>
      </c>
      <c r="B50" s="825"/>
      <c r="C50" s="985">
        <f ca="1">transport!B18</f>
        <v>0.43230813577854021</v>
      </c>
      <c r="D50" s="985">
        <f>transport!C18</f>
        <v>0</v>
      </c>
      <c r="E50" s="985">
        <f>transport!D18</f>
        <v>2.3314138398173134</v>
      </c>
      <c r="F50" s="985">
        <f>transport!E18</f>
        <v>287.82780376035259</v>
      </c>
      <c r="G50" s="985">
        <f>transport!F18</f>
        <v>0</v>
      </c>
      <c r="H50" s="985">
        <f>transport!G18</f>
        <v>74258.003010490662</v>
      </c>
      <c r="I50" s="985">
        <f>transport!H18</f>
        <v>10050.543726291084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84599.138262517692</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0.43230813577854021</v>
      </c>
      <c r="D52" s="717">
        <f t="shared" ref="D52:Q52" ca="1" si="6">SUM(D48:D51)</f>
        <v>0</v>
      </c>
      <c r="E52" s="717">
        <f t="shared" si="6"/>
        <v>2.3314138398173134</v>
      </c>
      <c r="F52" s="717">
        <f t="shared" si="6"/>
        <v>287.82780376035259</v>
      </c>
      <c r="G52" s="717">
        <f t="shared" si="6"/>
        <v>0</v>
      </c>
      <c r="H52" s="717">
        <f t="shared" si="6"/>
        <v>74953.968374969467</v>
      </c>
      <c r="I52" s="717">
        <f t="shared" si="6"/>
        <v>10050.543726291084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85295.103626996497</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319.44426536593386</v>
      </c>
      <c r="D54" s="985">
        <f ca="1">+landbouw!C12</f>
        <v>0</v>
      </c>
      <c r="E54" s="985">
        <f>+landbouw!D12</f>
        <v>46.629773920524023</v>
      </c>
      <c r="F54" s="985">
        <f>+landbouw!E12</f>
        <v>3.6430238684137244</v>
      </c>
      <c r="G54" s="985">
        <f>+landbouw!F12</f>
        <v>1751.5787695660192</v>
      </c>
      <c r="H54" s="985">
        <f>+landbouw!G12</f>
        <v>0</v>
      </c>
      <c r="I54" s="985">
        <f>+landbouw!H12</f>
        <v>0</v>
      </c>
      <c r="J54" s="985">
        <f>+landbouw!I12</f>
        <v>0</v>
      </c>
      <c r="K54" s="985">
        <f>+landbouw!J12</f>
        <v>48.450231569573951</v>
      </c>
      <c r="L54" s="985">
        <f>+landbouw!K12</f>
        <v>0</v>
      </c>
      <c r="M54" s="985">
        <f>+landbouw!L12</f>
        <v>0</v>
      </c>
      <c r="N54" s="985">
        <f>+landbouw!M12</f>
        <v>0</v>
      </c>
      <c r="O54" s="985">
        <f>+landbouw!N12</f>
        <v>0</v>
      </c>
      <c r="P54" s="985">
        <f>+landbouw!O12</f>
        <v>0</v>
      </c>
      <c r="Q54" s="986">
        <f>+landbouw!P12</f>
        <v>0</v>
      </c>
      <c r="R54" s="716">
        <f ca="1">SUM(C54:Q54)</f>
        <v>2169.7460642904648</v>
      </c>
    </row>
    <row r="55" spans="1:18" ht="15" thickBot="1">
      <c r="A55" s="815" t="s">
        <v>912</v>
      </c>
      <c r="B55" s="825"/>
      <c r="C55" s="985">
        <f ca="1">C25*'EF ele_warmte'!B12</f>
        <v>587.56936900765356</v>
      </c>
      <c r="D55" s="985"/>
      <c r="E55" s="985">
        <f>E25*EF_CO2_aardgas</f>
        <v>1275.2968957205271</v>
      </c>
      <c r="F55" s="985"/>
      <c r="G55" s="985"/>
      <c r="H55" s="985"/>
      <c r="I55" s="985"/>
      <c r="J55" s="985"/>
      <c r="K55" s="985"/>
      <c r="L55" s="985"/>
      <c r="M55" s="985"/>
      <c r="N55" s="985"/>
      <c r="O55" s="985"/>
      <c r="P55" s="985"/>
      <c r="Q55" s="986"/>
      <c r="R55" s="716">
        <f ca="1">SUM(C55:Q55)</f>
        <v>1862.8662647281808</v>
      </c>
    </row>
    <row r="56" spans="1:18" ht="15.75" thickBot="1">
      <c r="A56" s="813" t="s">
        <v>913</v>
      </c>
      <c r="B56" s="826"/>
      <c r="C56" s="717">
        <f ca="1">SUM(C54:C55)</f>
        <v>907.01363437358737</v>
      </c>
      <c r="D56" s="717">
        <f t="shared" ref="D56:Q56" ca="1" si="7">SUM(D54:D55)</f>
        <v>0</v>
      </c>
      <c r="E56" s="717">
        <f t="shared" si="7"/>
        <v>1321.9266696410511</v>
      </c>
      <c r="F56" s="717">
        <f t="shared" si="7"/>
        <v>3.6430238684137244</v>
      </c>
      <c r="G56" s="717">
        <f t="shared" si="7"/>
        <v>1751.5787695660192</v>
      </c>
      <c r="H56" s="717">
        <f t="shared" si="7"/>
        <v>0</v>
      </c>
      <c r="I56" s="717">
        <f t="shared" si="7"/>
        <v>0</v>
      </c>
      <c r="J56" s="717">
        <f t="shared" si="7"/>
        <v>0</v>
      </c>
      <c r="K56" s="717">
        <f t="shared" si="7"/>
        <v>48.450231569573951</v>
      </c>
      <c r="L56" s="717">
        <f t="shared" si="7"/>
        <v>0</v>
      </c>
      <c r="M56" s="717">
        <f t="shared" si="7"/>
        <v>0</v>
      </c>
      <c r="N56" s="717">
        <f t="shared" si="7"/>
        <v>0</v>
      </c>
      <c r="O56" s="717">
        <f t="shared" si="7"/>
        <v>0</v>
      </c>
      <c r="P56" s="717">
        <f t="shared" si="7"/>
        <v>0</v>
      </c>
      <c r="Q56" s="718">
        <f t="shared" si="7"/>
        <v>0</v>
      </c>
      <c r="R56" s="719">
        <f ca="1">SUM(R54:R55)</f>
        <v>4032.6123290186456</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29205.476870839142</v>
      </c>
      <c r="D61" s="725">
        <f t="shared" ref="D61:Q61" ca="1" si="8">D46+D52+D56</f>
        <v>0</v>
      </c>
      <c r="E61" s="725">
        <f t="shared" ca="1" si="8"/>
        <v>39716.984874670845</v>
      </c>
      <c r="F61" s="725">
        <f t="shared" si="8"/>
        <v>5092.1390223242624</v>
      </c>
      <c r="G61" s="725">
        <f t="shared" ca="1" si="8"/>
        <v>6390.1668877199327</v>
      </c>
      <c r="H61" s="725">
        <f t="shared" si="8"/>
        <v>74953.968374969467</v>
      </c>
      <c r="I61" s="725">
        <f t="shared" si="8"/>
        <v>10050.543726291084</v>
      </c>
      <c r="J61" s="725">
        <f t="shared" si="8"/>
        <v>0</v>
      </c>
      <c r="K61" s="725">
        <f t="shared" si="8"/>
        <v>1656.5840288303118</v>
      </c>
      <c r="L61" s="725">
        <f t="shared" si="8"/>
        <v>0</v>
      </c>
      <c r="M61" s="725">
        <f t="shared" ca="1" si="8"/>
        <v>0</v>
      </c>
      <c r="N61" s="725">
        <f t="shared" si="8"/>
        <v>0</v>
      </c>
      <c r="O61" s="725">
        <f t="shared" ca="1" si="8"/>
        <v>0</v>
      </c>
      <c r="P61" s="725">
        <f t="shared" si="8"/>
        <v>0</v>
      </c>
      <c r="Q61" s="725">
        <f t="shared" si="8"/>
        <v>0</v>
      </c>
      <c r="R61" s="725">
        <f ca="1">R46+R52+R56</f>
        <v>167065.86378564505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0.20844791162119158</v>
      </c>
      <c r="D63" s="769">
        <f t="shared" ca="1" si="9"/>
        <v>0</v>
      </c>
      <c r="E63" s="987">
        <f t="shared" ca="1" si="9"/>
        <v>0.20199999999999999</v>
      </c>
      <c r="F63" s="769">
        <f t="shared" si="9"/>
        <v>0.22699999999999998</v>
      </c>
      <c r="G63" s="769">
        <f t="shared" ca="1" si="9"/>
        <v>0.26700000000000002</v>
      </c>
      <c r="H63" s="769">
        <f t="shared" si="9"/>
        <v>0.26700000000000002</v>
      </c>
      <c r="I63" s="769">
        <f t="shared" si="9"/>
        <v>0.249</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7957.753241899276</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7957.753241899276</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7957.753241899276</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7957.753241899276</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52145.485349568306</v>
      </c>
      <c r="C4" s="457">
        <f>huishoudens!C8</f>
        <v>0</v>
      </c>
      <c r="D4" s="457">
        <f>huishoudens!D8</f>
        <v>115153.21758555398</v>
      </c>
      <c r="E4" s="457">
        <f>huishoudens!E8</f>
        <v>19925.253161814042</v>
      </c>
      <c r="F4" s="457">
        <f>huishoudens!F8</f>
        <v>0</v>
      </c>
      <c r="G4" s="457">
        <f>huishoudens!G8</f>
        <v>0</v>
      </c>
      <c r="H4" s="457">
        <f>huishoudens!H8</f>
        <v>0</v>
      </c>
      <c r="I4" s="457">
        <f>huishoudens!I8</f>
        <v>0</v>
      </c>
      <c r="J4" s="457">
        <f>huishoudens!J8</f>
        <v>4294.4452025469654</v>
      </c>
      <c r="K4" s="457">
        <f>huishoudens!K8</f>
        <v>0</v>
      </c>
      <c r="L4" s="457">
        <f>huishoudens!L8</f>
        <v>0</v>
      </c>
      <c r="M4" s="457">
        <f>huishoudens!M8</f>
        <v>0</v>
      </c>
      <c r="N4" s="457">
        <f>huishoudens!N8</f>
        <v>21857.090386705702</v>
      </c>
      <c r="O4" s="457">
        <f>huishoudens!O8</f>
        <v>87.546666666666681</v>
      </c>
      <c r="P4" s="458">
        <f>huishoudens!P8</f>
        <v>533.86666666666667</v>
      </c>
      <c r="Q4" s="459">
        <f>SUM(B4:P4)</f>
        <v>213996.90501952235</v>
      </c>
    </row>
    <row r="5" spans="1:17">
      <c r="A5" s="456" t="s">
        <v>155</v>
      </c>
      <c r="B5" s="457">
        <f ca="1">tertiair!B16</f>
        <v>41889.354215327148</v>
      </c>
      <c r="C5" s="457">
        <f ca="1">tertiair!C16</f>
        <v>0</v>
      </c>
      <c r="D5" s="457">
        <f ca="1">tertiair!D16</f>
        <v>44806.042144018982</v>
      </c>
      <c r="E5" s="457">
        <f>tertiair!E16</f>
        <v>830.21440436490252</v>
      </c>
      <c r="F5" s="457">
        <f ca="1">tertiair!F16</f>
        <v>7543.7759794513922</v>
      </c>
      <c r="G5" s="457">
        <f>tertiair!G16</f>
        <v>0</v>
      </c>
      <c r="H5" s="457">
        <f>tertiair!H16</f>
        <v>0</v>
      </c>
      <c r="I5" s="457">
        <f>tertiair!I16</f>
        <v>0</v>
      </c>
      <c r="J5" s="457">
        <f>tertiair!J16</f>
        <v>0</v>
      </c>
      <c r="K5" s="457">
        <f>tertiair!K16</f>
        <v>0</v>
      </c>
      <c r="L5" s="457">
        <f ca="1">tertiair!L16</f>
        <v>0</v>
      </c>
      <c r="M5" s="457">
        <f>tertiair!M16</f>
        <v>0</v>
      </c>
      <c r="N5" s="457">
        <f ca="1">tertiair!N16</f>
        <v>1161.8896204864068</v>
      </c>
      <c r="O5" s="457">
        <f>tertiair!O16</f>
        <v>1.5633333333333335</v>
      </c>
      <c r="P5" s="458">
        <f>tertiair!P16</f>
        <v>19.066666666666666</v>
      </c>
      <c r="Q5" s="456">
        <f t="shared" ref="Q5:Q14" ca="1" si="0">SUM(B5:P5)</f>
        <v>96251.906363648857</v>
      </c>
    </row>
    <row r="6" spans="1:17">
      <c r="A6" s="456" t="s">
        <v>193</v>
      </c>
      <c r="B6" s="457">
        <f>'openbare verlichting'!B8</f>
        <v>1619.307</v>
      </c>
      <c r="C6" s="457"/>
      <c r="D6" s="457"/>
      <c r="E6" s="457"/>
      <c r="F6" s="457"/>
      <c r="G6" s="457"/>
      <c r="H6" s="457"/>
      <c r="I6" s="457"/>
      <c r="J6" s="457"/>
      <c r="K6" s="457"/>
      <c r="L6" s="457"/>
      <c r="M6" s="457"/>
      <c r="N6" s="457"/>
      <c r="O6" s="457"/>
      <c r="P6" s="458"/>
      <c r="Q6" s="456">
        <f t="shared" si="0"/>
        <v>1619.307</v>
      </c>
    </row>
    <row r="7" spans="1:17">
      <c r="A7" s="456" t="s">
        <v>111</v>
      </c>
      <c r="B7" s="457">
        <f>landbouw!B8</f>
        <v>1532.4896415678841</v>
      </c>
      <c r="C7" s="457">
        <f>landbouw!C8</f>
        <v>0</v>
      </c>
      <c r="D7" s="457">
        <f>landbouw!D8</f>
        <v>230.8404649530892</v>
      </c>
      <c r="E7" s="457">
        <f>landbouw!E8</f>
        <v>16.048563296976759</v>
      </c>
      <c r="F7" s="457">
        <f>landbouw!F8</f>
        <v>6560.2201107341543</v>
      </c>
      <c r="G7" s="457">
        <f>landbouw!G8</f>
        <v>0</v>
      </c>
      <c r="H7" s="457">
        <f>landbouw!H8</f>
        <v>0</v>
      </c>
      <c r="I7" s="457">
        <f>landbouw!I8</f>
        <v>0</v>
      </c>
      <c r="J7" s="457">
        <f>landbouw!J8</f>
        <v>136.86506093099987</v>
      </c>
      <c r="K7" s="457">
        <f>landbouw!K8</f>
        <v>0</v>
      </c>
      <c r="L7" s="457">
        <f>landbouw!L8</f>
        <v>0</v>
      </c>
      <c r="M7" s="457">
        <f>landbouw!M8</f>
        <v>0</v>
      </c>
      <c r="N7" s="457">
        <f>landbouw!N8</f>
        <v>0</v>
      </c>
      <c r="O7" s="457">
        <f>landbouw!O8</f>
        <v>0</v>
      </c>
      <c r="P7" s="458">
        <f>landbouw!P8</f>
        <v>0</v>
      </c>
      <c r="Q7" s="456">
        <f t="shared" si="0"/>
        <v>8476.4638414831043</v>
      </c>
    </row>
    <row r="8" spans="1:17">
      <c r="A8" s="456" t="s">
        <v>654</v>
      </c>
      <c r="B8" s="457">
        <f>industrie!B18</f>
        <v>40101.739441558042</v>
      </c>
      <c r="C8" s="457">
        <f>industrie!C18</f>
        <v>0</v>
      </c>
      <c r="D8" s="457">
        <f>industrie!D18</f>
        <v>30103.744187209082</v>
      </c>
      <c r="E8" s="457">
        <f>industrie!E18</f>
        <v>392.85047212720826</v>
      </c>
      <c r="F8" s="457">
        <f>industrie!F18</f>
        <v>9829.2132271175706</v>
      </c>
      <c r="G8" s="457">
        <f>industrie!G18</f>
        <v>0</v>
      </c>
      <c r="H8" s="457">
        <f>industrie!H18</f>
        <v>0</v>
      </c>
      <c r="I8" s="457">
        <f>industrie!I18</f>
        <v>0</v>
      </c>
      <c r="J8" s="457">
        <f>industrie!J18</f>
        <v>248.3056371726326</v>
      </c>
      <c r="K8" s="457">
        <f>industrie!K18</f>
        <v>0</v>
      </c>
      <c r="L8" s="457">
        <f>industrie!L18</f>
        <v>0</v>
      </c>
      <c r="M8" s="457">
        <f>industrie!M18</f>
        <v>0</v>
      </c>
      <c r="N8" s="457">
        <f>industrie!N18</f>
        <v>889.77986066839503</v>
      </c>
      <c r="O8" s="457">
        <f>industrie!O18</f>
        <v>0</v>
      </c>
      <c r="P8" s="458">
        <f>industrie!P18</f>
        <v>0</v>
      </c>
      <c r="Q8" s="456">
        <f t="shared" si="0"/>
        <v>81565.63282585291</v>
      </c>
    </row>
    <row r="9" spans="1:17" s="462" customFormat="1">
      <c r="A9" s="460" t="s">
        <v>572</v>
      </c>
      <c r="B9" s="461">
        <f>transport!B14</f>
        <v>2.0739384358245121</v>
      </c>
      <c r="C9" s="461">
        <f>transport!C14</f>
        <v>0</v>
      </c>
      <c r="D9" s="461">
        <f>transport!D14</f>
        <v>11.541652672362938</v>
      </c>
      <c r="E9" s="461">
        <f>transport!E14</f>
        <v>1267.9638932174123</v>
      </c>
      <c r="F9" s="461">
        <f>transport!F14</f>
        <v>0</v>
      </c>
      <c r="G9" s="461">
        <f>transport!G14</f>
        <v>278119.86146251182</v>
      </c>
      <c r="H9" s="461">
        <f>transport!H14</f>
        <v>40363.62942285576</v>
      </c>
      <c r="I9" s="461">
        <f>transport!I14</f>
        <v>0</v>
      </c>
      <c r="J9" s="461">
        <f>transport!J14</f>
        <v>0</v>
      </c>
      <c r="K9" s="461">
        <f>transport!K14</f>
        <v>0</v>
      </c>
      <c r="L9" s="461">
        <f>transport!L14</f>
        <v>0</v>
      </c>
      <c r="M9" s="461">
        <f>transport!M14</f>
        <v>13838.912977705711</v>
      </c>
      <c r="N9" s="461">
        <f>transport!N14</f>
        <v>0</v>
      </c>
      <c r="O9" s="461">
        <f>transport!O14</f>
        <v>0</v>
      </c>
      <c r="P9" s="461">
        <f>transport!P14</f>
        <v>0</v>
      </c>
      <c r="Q9" s="460">
        <f>SUM(B9:P9)</f>
        <v>333603.98334739887</v>
      </c>
    </row>
    <row r="10" spans="1:17">
      <c r="A10" s="456" t="s">
        <v>562</v>
      </c>
      <c r="B10" s="457">
        <f>transport!B54</f>
        <v>0</v>
      </c>
      <c r="C10" s="457">
        <f>transport!C54</f>
        <v>0</v>
      </c>
      <c r="D10" s="457">
        <f>transport!D54</f>
        <v>0</v>
      </c>
      <c r="E10" s="457">
        <f>transport!E54</f>
        <v>0</v>
      </c>
      <c r="F10" s="457">
        <f>transport!F54</f>
        <v>0</v>
      </c>
      <c r="G10" s="457">
        <f>transport!G54</f>
        <v>2606.6118519805609</v>
      </c>
      <c r="H10" s="457">
        <f>transport!H54</f>
        <v>0</v>
      </c>
      <c r="I10" s="457">
        <f>transport!I54</f>
        <v>0</v>
      </c>
      <c r="J10" s="457">
        <f>transport!J54</f>
        <v>0</v>
      </c>
      <c r="K10" s="457">
        <f>transport!K54</f>
        <v>0</v>
      </c>
      <c r="L10" s="457">
        <f>transport!L54</f>
        <v>0</v>
      </c>
      <c r="M10" s="457">
        <f>transport!M54</f>
        <v>110.84272033373524</v>
      </c>
      <c r="N10" s="457">
        <f>transport!N54</f>
        <v>0</v>
      </c>
      <c r="O10" s="457">
        <f>transport!O54</f>
        <v>0</v>
      </c>
      <c r="P10" s="458">
        <f>transport!P54</f>
        <v>0</v>
      </c>
      <c r="Q10" s="456">
        <f t="shared" si="0"/>
        <v>2717.454572314296</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2818.7827090128503</v>
      </c>
      <c r="C14" s="464"/>
      <c r="D14" s="464">
        <f>'SEAP template'!E25</f>
        <v>6313.3509689134999</v>
      </c>
      <c r="E14" s="464"/>
      <c r="F14" s="464"/>
      <c r="G14" s="464"/>
      <c r="H14" s="464"/>
      <c r="I14" s="464"/>
      <c r="J14" s="464"/>
      <c r="K14" s="464"/>
      <c r="L14" s="464"/>
      <c r="M14" s="464"/>
      <c r="N14" s="464"/>
      <c r="O14" s="464"/>
      <c r="P14" s="465"/>
      <c r="Q14" s="456">
        <f t="shared" si="0"/>
        <v>9132.1336779263511</v>
      </c>
    </row>
    <row r="15" spans="1:17" s="469" customFormat="1">
      <c r="A15" s="466" t="s">
        <v>566</v>
      </c>
      <c r="B15" s="467">
        <f ca="1">SUM(B4:B14)</f>
        <v>140109.23229547005</v>
      </c>
      <c r="C15" s="467">
        <f t="shared" ref="C15:Q15" ca="1" si="1">SUM(C4:C14)</f>
        <v>0</v>
      </c>
      <c r="D15" s="467">
        <f t="shared" ca="1" si="1"/>
        <v>196618.73700332103</v>
      </c>
      <c r="E15" s="467">
        <f t="shared" si="1"/>
        <v>22432.33049482054</v>
      </c>
      <c r="F15" s="467">
        <f t="shared" ca="1" si="1"/>
        <v>23933.209317303117</v>
      </c>
      <c r="G15" s="467">
        <f t="shared" si="1"/>
        <v>280726.47331449238</v>
      </c>
      <c r="H15" s="467">
        <f t="shared" si="1"/>
        <v>40363.62942285576</v>
      </c>
      <c r="I15" s="467">
        <f t="shared" si="1"/>
        <v>0</v>
      </c>
      <c r="J15" s="467">
        <f t="shared" si="1"/>
        <v>4679.6159006505977</v>
      </c>
      <c r="K15" s="467">
        <f t="shared" si="1"/>
        <v>0</v>
      </c>
      <c r="L15" s="467">
        <f t="shared" ca="1" si="1"/>
        <v>0</v>
      </c>
      <c r="M15" s="467">
        <f t="shared" si="1"/>
        <v>13949.755698039447</v>
      </c>
      <c r="N15" s="467">
        <f t="shared" ca="1" si="1"/>
        <v>23908.759867860503</v>
      </c>
      <c r="O15" s="467">
        <f t="shared" si="1"/>
        <v>89.110000000000014</v>
      </c>
      <c r="P15" s="467">
        <f t="shared" si="1"/>
        <v>552.93333333333339</v>
      </c>
      <c r="Q15" s="467">
        <f t="shared" ca="1" si="1"/>
        <v>747363.78664814669</v>
      </c>
    </row>
    <row r="17" spans="1:17">
      <c r="A17" s="470" t="s">
        <v>567</v>
      </c>
      <c r="B17" s="774">
        <f ca="1">huishoudens!B10</f>
        <v>0.20844791162119158</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10869.617521590955</v>
      </c>
      <c r="C22" s="457">
        <f t="shared" ref="C22:C32" ca="1" si="3">C4*$C$17</f>
        <v>0</v>
      </c>
      <c r="D22" s="457">
        <f t="shared" ref="D22:D32" si="4">D4*$D$17</f>
        <v>23260.949952281906</v>
      </c>
      <c r="E22" s="457">
        <f t="shared" ref="E22:E32" si="5">E4*$E$17</f>
        <v>4523.0324677317876</v>
      </c>
      <c r="F22" s="457">
        <f t="shared" ref="F22:F32" si="6">F4*$F$17</f>
        <v>0</v>
      </c>
      <c r="G22" s="457">
        <f t="shared" ref="G22:G32" si="7">G4*$G$17</f>
        <v>0</v>
      </c>
      <c r="H22" s="457">
        <f t="shared" ref="H22:H32" si="8">H4*$H$17</f>
        <v>0</v>
      </c>
      <c r="I22" s="457">
        <f t="shared" ref="I22:I32" si="9">I4*$I$17</f>
        <v>0</v>
      </c>
      <c r="J22" s="457">
        <f t="shared" ref="J22:J32" si="10">J4*$J$17</f>
        <v>1520.2336017016257</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40173.833543306282</v>
      </c>
    </row>
    <row r="23" spans="1:17">
      <c r="A23" s="456" t="s">
        <v>155</v>
      </c>
      <c r="B23" s="457">
        <f t="shared" ca="1" si="2"/>
        <v>8731.7484053453027</v>
      </c>
      <c r="C23" s="457">
        <f t="shared" ca="1" si="3"/>
        <v>0</v>
      </c>
      <c r="D23" s="457">
        <f t="shared" ca="1" si="4"/>
        <v>9050.8205130918341</v>
      </c>
      <c r="E23" s="457">
        <f t="shared" si="5"/>
        <v>188.45866979083289</v>
      </c>
      <c r="F23" s="457">
        <f t="shared" ca="1" si="6"/>
        <v>2014.1881865135219</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19985.215774741493</v>
      </c>
    </row>
    <row r="24" spans="1:17">
      <c r="A24" s="456" t="s">
        <v>193</v>
      </c>
      <c r="B24" s="457">
        <f t="shared" ca="1" si="2"/>
        <v>337.54116242357691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337.54116242357691</v>
      </c>
    </row>
    <row r="25" spans="1:17">
      <c r="A25" s="456" t="s">
        <v>111</v>
      </c>
      <c r="B25" s="457">
        <f t="shared" ca="1" si="2"/>
        <v>319.44426536593386</v>
      </c>
      <c r="C25" s="457">
        <f t="shared" ca="1" si="3"/>
        <v>0</v>
      </c>
      <c r="D25" s="457">
        <f t="shared" si="4"/>
        <v>46.629773920524023</v>
      </c>
      <c r="E25" s="457">
        <f t="shared" si="5"/>
        <v>3.6430238684137244</v>
      </c>
      <c r="F25" s="457">
        <f t="shared" si="6"/>
        <v>1751.5787695660192</v>
      </c>
      <c r="G25" s="457">
        <f t="shared" si="7"/>
        <v>0</v>
      </c>
      <c r="H25" s="457">
        <f t="shared" si="8"/>
        <v>0</v>
      </c>
      <c r="I25" s="457">
        <f t="shared" si="9"/>
        <v>0</v>
      </c>
      <c r="J25" s="457">
        <f t="shared" si="10"/>
        <v>48.450231569573951</v>
      </c>
      <c r="K25" s="457">
        <f t="shared" si="11"/>
        <v>0</v>
      </c>
      <c r="L25" s="457">
        <f t="shared" si="12"/>
        <v>0</v>
      </c>
      <c r="M25" s="457">
        <f t="shared" si="13"/>
        <v>0</v>
      </c>
      <c r="N25" s="457">
        <f t="shared" si="14"/>
        <v>0</v>
      </c>
      <c r="O25" s="457">
        <f t="shared" si="15"/>
        <v>0</v>
      </c>
      <c r="P25" s="458">
        <f t="shared" si="16"/>
        <v>0</v>
      </c>
      <c r="Q25" s="456">
        <f t="shared" ca="1" si="17"/>
        <v>2169.7460642904648</v>
      </c>
    </row>
    <row r="26" spans="1:17">
      <c r="A26" s="456" t="s">
        <v>654</v>
      </c>
      <c r="B26" s="457">
        <f t="shared" ca="1" si="2"/>
        <v>8359.1238389699429</v>
      </c>
      <c r="C26" s="457">
        <f t="shared" ca="1" si="3"/>
        <v>0</v>
      </c>
      <c r="D26" s="457">
        <f t="shared" si="4"/>
        <v>6080.9563258162352</v>
      </c>
      <c r="E26" s="457">
        <f t="shared" si="5"/>
        <v>89.177057172876275</v>
      </c>
      <c r="F26" s="457">
        <f t="shared" si="6"/>
        <v>2624.3999316403915</v>
      </c>
      <c r="G26" s="457">
        <f t="shared" si="7"/>
        <v>0</v>
      </c>
      <c r="H26" s="457">
        <f t="shared" si="8"/>
        <v>0</v>
      </c>
      <c r="I26" s="457">
        <f t="shared" si="9"/>
        <v>0</v>
      </c>
      <c r="J26" s="457">
        <f t="shared" si="10"/>
        <v>87.900195559111935</v>
      </c>
      <c r="K26" s="457">
        <f t="shared" si="11"/>
        <v>0</v>
      </c>
      <c r="L26" s="457">
        <f t="shared" si="12"/>
        <v>0</v>
      </c>
      <c r="M26" s="457">
        <f t="shared" si="13"/>
        <v>0</v>
      </c>
      <c r="N26" s="457">
        <f t="shared" si="14"/>
        <v>0</v>
      </c>
      <c r="O26" s="457">
        <f t="shared" si="15"/>
        <v>0</v>
      </c>
      <c r="P26" s="458">
        <f t="shared" si="16"/>
        <v>0</v>
      </c>
      <c r="Q26" s="456">
        <f t="shared" ca="1" si="17"/>
        <v>17241.557349158556</v>
      </c>
    </row>
    <row r="27" spans="1:17" s="462" customFormat="1">
      <c r="A27" s="460" t="s">
        <v>572</v>
      </c>
      <c r="B27" s="768">
        <f t="shared" ca="1" si="2"/>
        <v>0.43230813577854021</v>
      </c>
      <c r="C27" s="461">
        <f t="shared" ca="1" si="3"/>
        <v>0</v>
      </c>
      <c r="D27" s="461">
        <f t="shared" si="4"/>
        <v>2.3314138398173134</v>
      </c>
      <c r="E27" s="461">
        <f t="shared" si="5"/>
        <v>287.82780376035259</v>
      </c>
      <c r="F27" s="461">
        <f t="shared" si="6"/>
        <v>0</v>
      </c>
      <c r="G27" s="461">
        <f t="shared" si="7"/>
        <v>74258.003010490662</v>
      </c>
      <c r="H27" s="461">
        <f t="shared" si="8"/>
        <v>10050.543726291084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84599.138262517692</v>
      </c>
    </row>
    <row r="28" spans="1:17">
      <c r="A28" s="456" t="s">
        <v>562</v>
      </c>
      <c r="B28" s="457">
        <f t="shared" ca="1" si="2"/>
        <v>0</v>
      </c>
      <c r="C28" s="457">
        <f t="shared" ca="1" si="3"/>
        <v>0</v>
      </c>
      <c r="D28" s="457">
        <f t="shared" si="4"/>
        <v>0</v>
      </c>
      <c r="E28" s="457">
        <f t="shared" si="5"/>
        <v>0</v>
      </c>
      <c r="F28" s="457">
        <f t="shared" si="6"/>
        <v>0</v>
      </c>
      <c r="G28" s="457">
        <f t="shared" si="7"/>
        <v>695.96536447880976</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695.96536447880976</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587.56936900765356</v>
      </c>
      <c r="C32" s="457">
        <f t="shared" ca="1" si="3"/>
        <v>0</v>
      </c>
      <c r="D32" s="457">
        <f t="shared" si="4"/>
        <v>1275.2968957205271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1862.8662647281808</v>
      </c>
    </row>
    <row r="33" spans="1:17" s="469" customFormat="1">
      <c r="A33" s="466" t="s">
        <v>566</v>
      </c>
      <c r="B33" s="467">
        <f ca="1">SUM(B22:B32)</f>
        <v>29205.476870839149</v>
      </c>
      <c r="C33" s="467">
        <f t="shared" ref="C33:Q33" ca="1" si="19">SUM(C22:C32)</f>
        <v>0</v>
      </c>
      <c r="D33" s="467">
        <f t="shared" ca="1" si="19"/>
        <v>39716.984874670852</v>
      </c>
      <c r="E33" s="467">
        <f t="shared" si="19"/>
        <v>5092.1390223242624</v>
      </c>
      <c r="F33" s="467">
        <f t="shared" ca="1" si="19"/>
        <v>6390.1668877199327</v>
      </c>
      <c r="G33" s="467">
        <f t="shared" si="19"/>
        <v>74953.968374969467</v>
      </c>
      <c r="H33" s="467">
        <f t="shared" si="19"/>
        <v>10050.543726291084</v>
      </c>
      <c r="I33" s="467">
        <f t="shared" si="19"/>
        <v>0</v>
      </c>
      <c r="J33" s="467">
        <f t="shared" si="19"/>
        <v>1656.5840288303118</v>
      </c>
      <c r="K33" s="467">
        <f t="shared" si="19"/>
        <v>0</v>
      </c>
      <c r="L33" s="467">
        <f t="shared" ca="1" si="19"/>
        <v>0</v>
      </c>
      <c r="M33" s="467">
        <f t="shared" si="19"/>
        <v>0</v>
      </c>
      <c r="N33" s="467">
        <f t="shared" ca="1" si="19"/>
        <v>0</v>
      </c>
      <c r="O33" s="467">
        <f t="shared" si="19"/>
        <v>0</v>
      </c>
      <c r="P33" s="467">
        <f t="shared" si="19"/>
        <v>0</v>
      </c>
      <c r="Q33" s="467">
        <f t="shared" ca="1" si="19"/>
        <v>167065.86378564508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7957.753241899276</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7957.753241899276</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0.20844791162119158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0.20844791162119158</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2020-06-20T16:43:57Z</dcterms:modified>
</cp:coreProperties>
</file>