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D20" i="18"/>
  <c r="G12" i="18"/>
  <c r="F12" i="18"/>
  <c r="E12" i="18"/>
  <c r="D12" i="18"/>
  <c r="C12" i="18"/>
  <c r="L10" i="18"/>
  <c r="K10" i="18"/>
  <c r="G10" i="18"/>
  <c r="D10" i="18"/>
  <c r="B6" i="18"/>
  <c r="B5" i="18"/>
  <c r="B4" i="18"/>
  <c r="F20" i="18" l="1"/>
  <c r="G20" i="18"/>
  <c r="K20" i="18"/>
  <c r="B46" i="18"/>
  <c r="I50" i="18" s="1"/>
  <c r="H17" i="18" s="1"/>
  <c r="J9" i="18"/>
  <c r="O9" i="18" s="1"/>
  <c r="B17" i="18"/>
  <c r="B20" i="18" s="1"/>
  <c r="C46" i="18"/>
  <c r="H49" i="18" s="1"/>
  <c r="O19" i="18"/>
  <c r="O18" i="18"/>
  <c r="L20" i="18"/>
  <c r="B10" i="18"/>
  <c r="D50"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50" i="18"/>
  <c r="C17" i="18" s="1"/>
  <c r="D87" i="14" s="1"/>
  <c r="D17" i="55" s="1"/>
  <c r="D20" i="55" s="1"/>
  <c r="L20" i="55"/>
  <c r="F50" i="18"/>
  <c r="J77" i="14"/>
  <c r="J9" i="55" s="1"/>
  <c r="H50" i="18"/>
  <c r="H20" i="18"/>
  <c r="M87" i="14"/>
  <c r="M17" i="55" s="1"/>
  <c r="M20" i="55" s="1"/>
  <c r="C50" i="18"/>
  <c r="E50" i="18"/>
  <c r="E17" i="18" s="1"/>
  <c r="G50" i="18"/>
  <c r="I17" i="18" s="1"/>
  <c r="K10" i="55"/>
  <c r="C49" i="18"/>
  <c r="E49" i="18"/>
  <c r="E8" i="18" s="1"/>
  <c r="G49" i="18"/>
  <c r="I49" i="18"/>
  <c r="H8" i="18" s="1"/>
  <c r="B49" i="18"/>
  <c r="C8" i="18" s="1"/>
  <c r="D76" i="14" s="1"/>
  <c r="D8" i="55" s="1"/>
  <c r="D10" i="55" s="1"/>
  <c r="D49" i="18"/>
  <c r="F49"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C24" i="14" l="1"/>
  <c r="C26" i="14" s="1"/>
  <c r="B7" i="48"/>
  <c r="B4" i="48"/>
  <c r="C11" i="14"/>
  <c r="B11" i="16"/>
  <c r="C18" i="16"/>
  <c r="O4" i="48"/>
  <c r="O22" i="48" s="1"/>
  <c r="P11" i="14"/>
  <c r="D4" i="48"/>
  <c r="D22" i="48" s="1"/>
  <c r="E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33" i="48" s="1"/>
  <c r="E15" i="48"/>
  <c r="F8" i="48"/>
  <c r="G13" i="14"/>
  <c r="N8" i="48"/>
  <c r="O13" i="14"/>
  <c r="N22" i="16"/>
  <c r="O43" i="14" s="1"/>
  <c r="J22" i="16"/>
  <c r="K43" i="14" s="1"/>
  <c r="K46" i="14" s="1"/>
  <c r="K61" i="14" s="1"/>
  <c r="K63" i="14" l="1"/>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<sst xmlns="http://schemas.openxmlformats.org/spreadsheetml/2006/main" count="2531" uniqueCount="980">
  <si>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</si>
  <si>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</si>
  <si>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</si>
  <si>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</si>
  <si>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</si>
  <si>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</si>
  <si>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</si>
  <si>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</si>
  <si>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</si>
  <si>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</si>
  <si>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</si>
  <si>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</si>
  <si>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</si>
  <si>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</si>
  <si>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</si>
  <si>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</si>
  <si>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</si>
  <si>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</si>
  <si>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</si>
  <si>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</si>
  <si>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</si>
  <si>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</si>
  <si>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</si>
  <si>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</si>
  <si>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</si>
  <si>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</si>
  <si>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</si>
  <si>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</si>
  <si>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</si>
  <si>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</si>
  <si>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</si>
  <si>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</si>
  <si>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</si>
  <si>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</si>
  <si>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</si>
  <si>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</si>
  <si>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</si>
  <si>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</si>
  <si>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</si>
  <si>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</si>
  <si>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</si>
  <si>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</si>
  <si>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</si>
  <si>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</si>
  <si>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</si>
  <si>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</si>
  <si>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</si>
  <si>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</si>
  <si>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</si>
  <si>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</si>
  <si>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</si>
  <si>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</si>
  <si>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</si>
  <si>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</si>
  <si>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</si>
  <si>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</si>
  <si>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</si>
  <si>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</si>
  <si>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</si>
  <si>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</si>
  <si>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</si>
  <si>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</si>
  <si>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</si>
  <si>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</si>
  <si>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</si>
  <si>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</si>
  <si>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</si>
  <si>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</si>
  <si>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</si>
  <si>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</si>
  <si>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</si>
  <si>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</si>
  <si>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</si>
  <si>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</si>
  <si>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</si>
  <si>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</si>
  <si>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</si>
  <si>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</si>
  <si>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</si>
  <si>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</si>
  <si>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</si>
  <si>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</si>
  <si>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</si>
  <si>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</si>
  <si>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</si>
  <si>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</si>
  <si>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</si>
  <si>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</si>
  <si>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</si>
  <si>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</si>
  <si>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</si>
  <si>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</si>
  <si>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</si>
  <si>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</si>
  <si>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</si>
  <si>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</si>
  <si>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</si>
  <si>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</si>
  <si>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</si>
  <si>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</si>
  <si>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</si>
  <si>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</si>
  <si>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</si>
  <si>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</si>
  <si>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</si>
  <si>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</si>
  <si>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</si>
  <si>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</si>
  <si>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</si>
  <si>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</si>
  <si>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</si>
  <si>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</si>
  <si>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</si>
  <si>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</si>
  <si>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</si>
  <si>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</si>
  <si>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</si>
  <si>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</si>
  <si>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</si>
  <si>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</si>
  <si>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</si>
  <si>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</si>
  <si>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</si>
  <si>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</si>
  <si>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</si>
  <si>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</si>
  <si>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</si>
  <si>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</si>
  <si>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</si>
  <si>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</si>
  <si>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</si>
  <si>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</si>
  <si>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</si>
  <si>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</si>
  <si>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</si>
  <si>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</si>
  <si>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</si>
  <si>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</si>
  <si>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</si>
  <si>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</si>
  <si>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</si>
  <si>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</si>
  <si>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</si>
  <si>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</si>
  <si>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</si>
  <si>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</si>
  <si>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</si>
  <si>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</si>
  <si>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</si>
  <si>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</si>
  <si>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</si>
  <si>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</si>
  <si>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</si>
  <si>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</si>
  <si>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</si>
  <si>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</si>
  <si>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</si>
  <si>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</si>
  <si>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</si>
  <si>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</si>
  <si>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</si>
  <si>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</si>
  <si>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</si>
  <si>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</si>
  <si>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</si>
  <si>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</si>
  <si>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</si>
  <si>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</si>
  <si>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</si>
  <si>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</si>
  <si>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</si>
  <si>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</si>
  <si>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</si>
  <si>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</si>
  <si>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</si>
  <si>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</si>
  <si>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</si>
  <si>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</si>
  <si>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</si>
  <si>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</si>
  <si>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</si>
  <si>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</si>
  <si>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</si>
  <si>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</si>
  <si>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</si>
  <si>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</si>
  <si>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</si>
  <si>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</si>
  <si>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</si>
  <si>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</si>
  <si>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</si>
  <si>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</si>
  <si>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</si>
  <si>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</si>
  <si>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</si>
  <si>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</si>
  <si>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</si>
  <si>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</si>
  <si>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</si>
  <si>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</si>
  <si>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</si>
  <si>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</si>
  <si>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</si>
  <si>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</si>
  <si>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</si>
  <si>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</si>
  <si>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</si>
  <si>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</si>
  <si>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</si>
  <si>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</si>
  <si>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</si>
  <si>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</si>
  <si>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</si>
  <si>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</si>
  <si>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</si>
  <si>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</si>
  <si>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</si>
  <si>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</si>
  <si>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</si>
  <si>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</si>
  <si>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</si>
  <si>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</si>
  <si>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</si>
  <si>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</si>
  <si>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</si>
  <si>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</si>
  <si>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</si>
  <si>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</si>
  <si>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</si>
  <si>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</si>
  <si>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</si>
  <si>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</si>
  <si>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</si>
  <si>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</si>
  <si>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</si>
  <si>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</si>
  <si>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</si>
  <si>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</si>
  <si>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</si>
  <si>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</si>
  <si>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</si>
  <si>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</si>
  <si>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</si>
  <si>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</si>
  <si>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</si>
  <si>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</si>
  <si>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</si>
  <si>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</si>
  <si>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</si>
  <si>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</si>
  <si>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</si>
  <si>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</si>
  <si>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</si>
  <si>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</si>
  <si>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</si>
  <si>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</si>
  <si>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</si>
  <si>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</si>
  <si>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</si>
  <si>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</si>
  <si>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</si>
  <si>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</si>
  <si>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</si>
  <si>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</si>
  <si>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</si>
  <si>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</si>
  <si>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</si>
  <si>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</si>
  <si>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</si>
  <si>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</si>
  <si>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</si>
  <si>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</si>
  <si>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</si>
  <si>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</si>
  <si>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</si>
  <si>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</si>
  <si>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</si>
  <si>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</si>
  <si>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</si>
  <si>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</si>
  <si>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</si>
  <si>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</si>
  <si>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</si>
  <si>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</si>
  <si>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</si>
  <si>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</si>
  <si>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</si>
  <si>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</si>
  <si>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</si>
  <si>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</si>
  <si>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</si>
  <si>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</si>
  <si>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</si>
  <si>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</si>
  <si>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</si>
  <si>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</si>
  <si>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</si>
  <si>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</si>
  <si>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</si>
  <si>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</si>
  <si>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</si>
  <si>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</si>
  <si>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</si>
  <si>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</si>
  <si>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</si>
  <si>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</si>
  <si>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</si>
  <si>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</si>
  <si>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</si>
  <si>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</si>
  <si>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</si>
  <si>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</si>
  <si>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</si>
  <si>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</si>
  <si>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</si>
  <si>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</si>
  <si>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</si>
  <si>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</si>
  <si>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</si>
  <si>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</si>
  <si>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</si>
  <si>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</si>
  <si>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</si>
  <si>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</si>
  <si>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</si>
  <si>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</si>
  <si>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</si>
  <si>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</si>
  <si>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</si>
  <si>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</si>
  <si>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</si>
  <si>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</si>
  <si>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</si>
  <si>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</si>
  <si>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</si>
  <si>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</si>
  <si>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</si>
  <si>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</si>
  <si>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</si>
  <si>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</si>
  <si>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</si>
  <si>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</si>
  <si>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</si>
  <si>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</si>
  <si>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</si>
  <si>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</si>
  <si>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</si>
  <si>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</si>
  <si>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</si>
  <si>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</si>
  <si>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</si>
  <si>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</si>
  <si>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</si>
  <si>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</si>
  <si>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</si>
  <si>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</si>
  <si>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</si>
  <si>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</si>
  <si>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</si>
  <si>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</si>
  <si>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</si>
  <si>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</si>
  <si>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</si>
  <si>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</si>
  <si>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</si>
  <si>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</si>
  <si>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</si>
  <si>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</si>
  <si>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</si>
  <si>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</si>
  <si>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</si>
  <si>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</si>
  <si>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</si>
  <si>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</si>
  <si>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</si>
  <si>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</si>
  <si>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</si>
  <si>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</si>
  <si>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</si>
  <si>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</si>
  <si>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</si>
  <si>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</si>
  <si>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</si>
  <si>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</si>
  <si>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</si>
  <si>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</si>
  <si>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</si>
  <si>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</si>
  <si>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</si>
  <si>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</si>
  <si>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</si>
  <si>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</si>
  <si>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</si>
  <si>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</si>
  <si>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</si>
  <si>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</si>
  <si>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</si>
  <si>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</si>
  <si>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</si>
  <si>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</si>
  <si>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</si>
  <si>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</si>
  <si>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</si>
  <si>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</si>
  <si>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</si>
  <si>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</si>
  <si>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</si>
  <si>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</si>
  <si>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</si>
  <si>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</si>
  <si>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</si>
  <si>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</si>
  <si>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</si>
  <si>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</si>
  <si>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</si>
  <si>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</si>
  <si>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</si>
  <si>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</si>
  <si>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</si>
  <si>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</si>
  <si>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</si>
  <si>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</si>
  <si>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</si>
  <si>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</si>
  <si>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</si>
  <si>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</si>
  <si>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</si>
  <si>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</si>
  <si>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</si>
  <si>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</si>
  <si>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</si>
  <si>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</si>
  <si>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</si>
  <si>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</si>
  <si>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</si>
  <si>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</si>
  <si>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</si>
  <si>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</si>
  <si>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</si>
  <si>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</si>
  <si>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</si>
  <si>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</si>
  <si>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</si>
  <si>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</si>
  <si>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</si>
  <si>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</si>
  <si>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</si>
  <si>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</si>
  <si>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</si>
  <si>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</si>
  <si>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</si>
  <si>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</si>
  <si>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</si>
  <si>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</si>
  <si>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</si>
  <si>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</si>
  <si>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</si>
  <si>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</si>
  <si>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</si>
  <si>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</si>
  <si>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</si>
  <si>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</si>
  <si>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</si>
  <si>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</si>
  <si>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</si>
  <si>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</si>
  <si>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</si>
  <si>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</si>
  <si>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</si>
  <si>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</si>
  <si>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</si>
  <si>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</si>
  <si>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</si>
  <si>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</si>
  <si>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</si>
  <si>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</si>
  <si>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</si>
  <si>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</si>
  <si>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</si>
  <si>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</si>
  <si>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</si>
  <si>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</si>
  <si>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</si>
  <si>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</si>
  <si>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</si>
  <si>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</si>
  <si>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</si>
  <si>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</si>
  <si>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</si>
  <si>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</si>
  <si>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</si>
  <si>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</si>
  <si>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</si>
  <si>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</si>
  <si>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</si>
  <si>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</si>
  <si>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</si>
  <si>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</si>
  <si>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</si>
  <si>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</si>
  <si>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</si>
  <si>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</si>
  <si>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</si>
  <si>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</si>
  <si>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</si>
  <si>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</si>
  <si>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</si>
  <si>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</si>
  <si>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</si>
  <si>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</si>
  <si>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</si>
  <si>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</si>
  <si>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</si>
  <si>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</si>
  <si>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</si>
  <si>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</si>
  <si>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</si>
  <si>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</si>
  <si>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</si>
  <si>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</si>
  <si>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</si>
  <si>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</si>
  <si>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</si>
  <si>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</si>
  <si>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</si>
  <si>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</si>
  <si>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</si>
  <si>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</si>
  <si>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</si>
  <si>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</si>
  <si>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</si>
  <si>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</si>
  <si>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</si>
  <si>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</si>
  <si>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</si>
  <si>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</si>
  <si>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</si>
  <si>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</si>
  <si>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</si>
  <si>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</si>
  <si>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</si>
  <si>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</si>
  <si>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</si>
  <si>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</si>
  <si>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</si>
  <si>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</si>
  <si>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</si>
  <si>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</si>
  <si>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</si>
  <si>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</si>
  <si>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</si>
  <si>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</si>
  <si>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</si>
  <si>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</si>
  <si>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</si>
  <si>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</si>
  <si>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</si>
  <si>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</si>
  <si>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</si>
  <si>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</si>
  <si>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</si>
  <si>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</si>
  <si>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</si>
  <si>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</si>
  <si>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</si>
  <si>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</si>
  <si>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</si>
  <si>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</si>
  <si>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</si>
  <si>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</si>
  <si>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</si>
  <si>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</si>
  <si>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</si>
  <si>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</si>
  <si>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</si>
  <si>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</si>
  <si>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</si>
  <si>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</si>
  <si>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</si>
  <si>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</si>
  <si>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</si>
  <si>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</si>
  <si>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</si>
  <si>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</si>
  <si>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</si>
  <si>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</si>
  <si>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</si>
  <si>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</si>
  <si>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</si>
  <si>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</si>
  <si>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</si>
  <si>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</si>
  <si>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</si>
  <si>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</si>
  <si>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</si>
  <si>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</si>
  <si>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</si>
  <si>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</si>
  <si>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</si>
  <si>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</si>
  <si>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</si>
  <si>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</si>
  <si>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</si>
  <si>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</si>
  <si>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</si>
  <si>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</si>
  <si>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</si>
  <si>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</si>
  <si>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</si>
  <si>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</si>
  <si>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</si>
  <si>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</si>
  <si>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</si>
  <si>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</si>
  <si>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</si>
  <si>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</si>
  <si>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</si>
  <si>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</si>
  <si>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</si>
  <si>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</si>
  <si>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</si>
  <si>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</si>
  <si>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</si>
  <si>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</si>
  <si>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</si>
  <si>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</si>
  <si>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</si>
  <si>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</si>
  <si>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</si>
  <si>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</si>
  <si>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</si>
  <si>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</si>
  <si>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</si>
  <si>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</si>
  <si>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</si>
  <si>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</si>
  <si>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</si>
  <si>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</si>
  <si>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</si>
  <si>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</si>
  <si>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</si>
  <si>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</si>
  <si>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</si>
  <si>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</si>
  <si>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</si>
  <si>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</si>
  <si>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</si>
  <si>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</si>
  <si>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</si>
  <si>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</si>
  <si>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</si>
  <si>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</si>
  <si>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</si>
  <si>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</si>
  <si>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</si>
  <si>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</si>
  <si>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</si>
  <si>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</si>
  <si>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</si>
  <si>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</si>
  <si>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</si>
  <si>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</si>
  <si>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</si>
  <si>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</si>
  <si>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</si>
  <si>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</si>
  <si>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</si>
  <si>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</si>
  <si>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</si>
  <si>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</si>
  <si>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</si>
  <si>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</si>
  <si>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</si>
  <si>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</si>
  <si>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</si>
  <si>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</si>
  <si>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</si>
  <si>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</si>
  <si>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</si>
  <si>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</si>
  <si>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</si>
  <si>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</si>
  <si>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</si>
  <si>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</si>
  <si>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</si>
  <si>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</si>
  <si>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</si>
  <si>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</si>
  <si>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</si>
  <si>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</si>
  <si>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</si>
  <si>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</si>
  <si>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</si>
  <si>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</si>
  <si>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</si>
  <si>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</si>
  <si>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</si>
  <si>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</si>
  <si>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</si>
  <si>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</si>
  <si>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</si>
  <si>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</si>
  <si>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</si>
  <si>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</si>
  <si>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</si>
  <si>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</si>
  <si>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</si>
  <si>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</si>
  <si>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</si>
  <si>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</si>
  <si>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</si>
  <si>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</si>
  <si>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</si>
  <si>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</si>
  <si>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</si>
  <si>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</si>
  <si>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</si>
  <si>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</si>
  <si>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</si>
  <si>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</si>
  <si>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</si>
  <si>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</si>
  <si>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</si>
  <si>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</si>
  <si>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</si>
  <si>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</si>
  <si>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</si>
  <si>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</si>
  <si>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</si>
  <si>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</si>
  <si>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</si>
  <si>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</si>
  <si>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</si>
  <si>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</si>
  <si>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</si>
  <si>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</si>
  <si>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</si>
  <si>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</si>
  <si>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</si>
  <si>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</si>
  <si>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</si>
  <si>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</si>
  <si>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</si>
  <si>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</si>
  <si>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</si>
  <si>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</si>
  <si>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</si>
  <si>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</si>
  <si>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</si>
  <si>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</si>
  <si>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</si>
  <si>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</si>
  <si>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</si>
  <si>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</si>
  <si>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</si>
  <si>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</si>
  <si>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</si>
  <si>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</si>
  <si>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</si>
  <si>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</si>
  <si>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</si>
  <si>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</si>
  <si>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</si>
  <si>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</si>
  <si>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</si>
  <si>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</si>
  <si>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</si>
  <si>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</si>
  <si>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</si>
  <si>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</si>
  <si>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</si>
  <si>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</si>
  <si>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</si>
  <si>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</si>
  <si>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</si>
  <si>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</si>
  <si>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</si>
  <si>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</si>
  <si>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</si>
  <si>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</si>
  <si>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</si>
  <si>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</si>
  <si>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</si>
  <si>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</si>
  <si>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</si>
  <si>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</si>
  <si>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</si>
  <si>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</si>
  <si>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</si>
  <si>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</si>
  <si>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</si>
  <si>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</si>
  <si>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</si>
  <si>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</si>
  <si>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</si>
  <si>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</si>
  <si>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</si>
  <si>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</si>
  <si>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</si>
  <si>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</si>
  <si>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</si>
  <si>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</si>
  <si>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</si>
  <si>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</si>
  <si>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</si>
  <si>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</si>
  <si>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</si>
  <si>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</si>
  <si>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</si>
  <si>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</si>
  <si>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</si>
  <si>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</si>
  <si>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</si>
  <si>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</si>
  <si>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</si>
  <si>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</si>
  <si>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</si>
  <si>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</si>
  <si>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</si>
  <si>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</si>
  <si>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</si>
  <si>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</si>
  <si>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</si>
  <si>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</si>
  <si>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</si>
  <si>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</si>
  <si>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</si>
  <si>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</si>
  <si>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</si>
  <si>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</si>
  <si>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</si>
  <si>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</si>
  <si>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</si>
  <si>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</si>
  <si>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</si>
  <si>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</si>
  <si>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</si>
  <si>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</si>
  <si>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</si>
  <si>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</si>
  <si>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</si>
  <si>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</si>
  <si>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</si>
  <si>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</si>
  <si>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</si>
  <si>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</si>
  <si>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</si>
  <si>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</si>
  <si>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</si>
  <si>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</si>
  <si>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</si>
  <si>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</si>
  <si>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</si>
  <si>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</si>
  <si>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</si>
  <si>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</si>
  <si>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</si>
  <si>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</si>
  <si>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</si>
  <si>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</si>
  <si>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</si>
  <si>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</si>
  <si>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</si>
  <si>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</si>
  <si>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</si>
  <si>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</si>
  <si>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</si>
  <si>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</si>
  <si>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</si>
  <si>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</si>
  <si>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</si>
  <si>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</si>
  <si>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</si>
  <si>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</si>
  <si>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</si>
  <si>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</si>
  <si>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</si>
  <si>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</si>
  <si>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</si>
  <si>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</si>
  <si>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</si>
  <si>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</si>
  <si>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</si>
  <si>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</si>
  <si>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</si>
  <si>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</si>
  <si>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</si>
  <si>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</si>
  <si>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</si>
  <si>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</si>
  <si>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</si>
  <si>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</si>
  <si>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</si>
  <si>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</si>
  <si>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</si>
  <si>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</si>
  <si>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</si>
  <si>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</si>
  <si>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</si>
  <si>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</si>
  <si>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</si>
  <si>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</si>
  <si>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</si>
  <si>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</si>
  <si>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</si>
  <si>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</si>
  <si>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</si>
  <si>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</si>
  <si>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</si>
  <si>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</si>
  <si>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</si>
  <si>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</si>
  <si>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</si>
  <si>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</si>
  <si>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</si>
  <si>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</si>
  <si>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</si>
  <si>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</si>
  <si>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</si>
  <si>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</si>
  <si>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</si>
  <si>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</si>
  <si>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</si>
  <si>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</si>
  <si>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</si>
  <si>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</si>
  <si>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</si>
  <si>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</si>
  <si>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</si>
  <si>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</si>
  <si>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</si>
  <si>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</si>
  <si>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</si>
  <si>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</si>
  <si>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</si>
  <si>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</si>
  <si>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</si>
  <si>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</si>
  <si>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</si>
  <si>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</si>
  <si>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</si>
  <si>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</si>
  <si>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</si>
  <si>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</si>
  <si>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</si>
  <si>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</si>
  <si>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</si>
  <si>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</si>
  <si>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</si>
  <si>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</si>
  <si>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</si>
  <si>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</si>
  <si>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</si>
  <si>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</si>
  <si>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</si>
  <si>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</si>
  <si>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</si>
  <si>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</si>
  <si>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</si>
  <si>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</si>
  <si>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</si>
  <si>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</si>
  <si>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</si>
  <si>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</si>
  <si>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46021</t>
  </si>
  <si>
    <t>SINT-NIKLAAS</t>
  </si>
  <si>
    <t>Paarden&amp;pony's 200 - 600 kg</t>
  </si>
  <si>
    <t>Paarden&amp;pony's &lt; 200 kg</t>
  </si>
  <si>
    <t>Fluvius</t>
  </si>
  <si>
    <t xml:space="preserve">Bron: </t>
  </si>
  <si>
    <t>referentietaak LNE (2017); Jaarverslag De Lijn</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</si>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</sst>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46021</v>
      </c>
      <c r="B6" s="394"/>
      <c r="C6" s="395"/>
    </row>
    <row r="7" spans="1:7" s="392" customFormat="1" ht="15.75" customHeight="1">
      <c r="A7" s="396" t="str">
        <f>txtMunicipality</f>
        <v>SINT-NIKLAAS</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0.21445444590939589</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0.21445444590939589</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30519</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3792</v>
      </c>
      <c r="C14" s="331"/>
      <c r="D14" s="331"/>
      <c r="E14" s="331"/>
      <c r="F14" s="331"/>
    </row>
    <row r="15" spans="1:6">
      <c r="A15" s="1290" t="s">
        <v>183</v>
      </c>
      <c r="B15" s="1291">
        <v>48</v>
      </c>
      <c r="C15" s="331"/>
      <c r="D15" s="331"/>
      <c r="E15" s="331"/>
      <c r="F15" s="331"/>
    </row>
    <row r="16" spans="1:6">
      <c r="A16" s="1290" t="s">
        <v>6</v>
      </c>
      <c r="B16" s="1291">
        <v>1888</v>
      </c>
      <c r="C16" s="331"/>
      <c r="D16" s="331"/>
      <c r="E16" s="331"/>
      <c r="F16" s="331"/>
    </row>
    <row r="17" spans="1:6">
      <c r="A17" s="1290" t="s">
        <v>7</v>
      </c>
      <c r="B17" s="1291">
        <v>1005</v>
      </c>
      <c r="C17" s="331"/>
      <c r="D17" s="331"/>
      <c r="E17" s="331"/>
      <c r="F17" s="331"/>
    </row>
    <row r="18" spans="1:6">
      <c r="A18" s="1290" t="s">
        <v>8</v>
      </c>
      <c r="B18" s="1291">
        <v>1885</v>
      </c>
      <c r="C18" s="331"/>
      <c r="D18" s="331"/>
      <c r="E18" s="331"/>
      <c r="F18" s="331"/>
    </row>
    <row r="19" spans="1:6">
      <c r="A19" s="1290" t="s">
        <v>9</v>
      </c>
      <c r="B19" s="1291">
        <v>1909</v>
      </c>
      <c r="C19" s="331"/>
      <c r="D19" s="331"/>
      <c r="E19" s="331"/>
      <c r="F19" s="331"/>
    </row>
    <row r="20" spans="1:6">
      <c r="A20" s="1290" t="s">
        <v>10</v>
      </c>
      <c r="B20" s="1291">
        <v>972</v>
      </c>
      <c r="C20" s="331"/>
      <c r="D20" s="331"/>
      <c r="E20" s="331"/>
      <c r="F20" s="331"/>
    </row>
    <row r="21" spans="1:6">
      <c r="A21" s="1290" t="s">
        <v>11</v>
      </c>
      <c r="B21" s="1291">
        <v>18511</v>
      </c>
      <c r="C21" s="331"/>
      <c r="D21" s="331"/>
      <c r="E21" s="331"/>
      <c r="F21" s="331"/>
    </row>
    <row r="22" spans="1:6">
      <c r="A22" s="1290" t="s">
        <v>12</v>
      </c>
      <c r="B22" s="1291">
        <v>30086</v>
      </c>
      <c r="C22" s="331"/>
      <c r="D22" s="331"/>
      <c r="E22" s="331"/>
      <c r="F22" s="331"/>
    </row>
    <row r="23" spans="1:6">
      <c r="A23" s="1290" t="s">
        <v>13</v>
      </c>
      <c r="B23" s="1291">
        <v>1110</v>
      </c>
      <c r="C23" s="331"/>
      <c r="D23" s="331"/>
      <c r="E23" s="331"/>
      <c r="F23" s="331"/>
    </row>
    <row r="24" spans="1:6">
      <c r="A24" s="1290" t="s">
        <v>14</v>
      </c>
      <c r="B24" s="1291">
        <v>46</v>
      </c>
      <c r="C24" s="331"/>
      <c r="D24" s="331"/>
      <c r="E24" s="331"/>
      <c r="F24" s="331"/>
    </row>
    <row r="25" spans="1:6">
      <c r="A25" s="1290" t="s">
        <v>15</v>
      </c>
      <c r="B25" s="1291">
        <v>5553</v>
      </c>
      <c r="C25" s="331"/>
      <c r="D25" s="331"/>
      <c r="E25" s="331"/>
      <c r="F25" s="331"/>
    </row>
    <row r="26" spans="1:6">
      <c r="A26" s="1290" t="s">
        <v>16</v>
      </c>
      <c r="B26" s="1291">
        <v>193</v>
      </c>
      <c r="C26" s="331"/>
      <c r="D26" s="331"/>
      <c r="E26" s="331"/>
      <c r="F26" s="331"/>
    </row>
    <row r="27" spans="1:6">
      <c r="A27" s="1290" t="s">
        <v>17</v>
      </c>
      <c r="B27" s="1291">
        <v>727</v>
      </c>
      <c r="C27" s="331"/>
      <c r="D27" s="331"/>
      <c r="E27" s="331"/>
      <c r="F27" s="331"/>
    </row>
    <row r="28" spans="1:6" s="43" customFormat="1">
      <c r="A28" s="1292" t="s">
        <v>18</v>
      </c>
      <c r="B28" s="1293">
        <v>158093</v>
      </c>
      <c r="C28" s="337"/>
      <c r="D28" s="337"/>
      <c r="E28" s="337"/>
      <c r="F28" s="337"/>
    </row>
    <row r="29" spans="1:6">
      <c r="A29" s="1292" t="s">
        <v>966</v>
      </c>
      <c r="B29" s="1293">
        <v>332</v>
      </c>
      <c r="C29" s="337"/>
      <c r="D29" s="337"/>
      <c r="E29" s="337"/>
      <c r="F29" s="337"/>
    </row>
    <row r="30" spans="1:6">
      <c r="A30" s="1285" t="s">
        <v>967</v>
      </c>
      <c r="B30" s="1294">
        <v>100</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4</v>
      </c>
      <c r="D36" s="1291">
        <v>1070936.5740700201</v>
      </c>
      <c r="E36" s="1291">
        <v>12</v>
      </c>
      <c r="F36" s="1291">
        <v>354032.719711777</v>
      </c>
    </row>
    <row r="37" spans="1:6">
      <c r="A37" s="1290" t="s">
        <v>24</v>
      </c>
      <c r="B37" s="1290" t="s">
        <v>27</v>
      </c>
      <c r="C37" s="1291">
        <v>0</v>
      </c>
      <c r="D37" s="1291">
        <v>0</v>
      </c>
      <c r="E37" s="1291">
        <v>0</v>
      </c>
      <c r="F37" s="1291">
        <v>0</v>
      </c>
    </row>
    <row r="38" spans="1:6">
      <c r="A38" s="1290" t="s">
        <v>24</v>
      </c>
      <c r="B38" s="1290" t="s">
        <v>28</v>
      </c>
      <c r="C38" s="1291">
        <v>2</v>
      </c>
      <c r="D38" s="1291">
        <v>248662.53917658399</v>
      </c>
      <c r="E38" s="1291">
        <v>5</v>
      </c>
      <c r="F38" s="1291">
        <v>103323.917071465</v>
      </c>
    </row>
    <row r="39" spans="1:6">
      <c r="A39" s="1290" t="s">
        <v>29</v>
      </c>
      <c r="B39" s="1290" t="s">
        <v>30</v>
      </c>
      <c r="C39" s="1291">
        <v>21688</v>
      </c>
      <c r="D39" s="1291">
        <v>320024838.59293199</v>
      </c>
      <c r="E39" s="1291">
        <v>29868</v>
      </c>
      <c r="F39" s="1291">
        <v>114730848.376495</v>
      </c>
    </row>
    <row r="40" spans="1:6">
      <c r="A40" s="1290" t="s">
        <v>29</v>
      </c>
      <c r="B40" s="1290" t="s">
        <v>28</v>
      </c>
      <c r="C40" s="1291">
        <v>0</v>
      </c>
      <c r="D40" s="1291">
        <v>0</v>
      </c>
      <c r="E40" s="1291">
        <v>1</v>
      </c>
      <c r="F40" s="1291">
        <v>5955.1248986292003</v>
      </c>
    </row>
    <row r="41" spans="1:6">
      <c r="A41" s="1290" t="s">
        <v>31</v>
      </c>
      <c r="B41" s="1290" t="s">
        <v>32</v>
      </c>
      <c r="C41" s="1291">
        <v>191</v>
      </c>
      <c r="D41" s="1291">
        <v>9116514.6647862792</v>
      </c>
      <c r="E41" s="1291">
        <v>487</v>
      </c>
      <c r="F41" s="1291">
        <v>12625455.8372325</v>
      </c>
    </row>
    <row r="42" spans="1:6">
      <c r="A42" s="1290" t="s">
        <v>31</v>
      </c>
      <c r="B42" s="1290" t="s">
        <v>33</v>
      </c>
      <c r="C42" s="1291">
        <v>4</v>
      </c>
      <c r="D42" s="1291">
        <v>797203.07235270506</v>
      </c>
      <c r="E42" s="1291">
        <v>6</v>
      </c>
      <c r="F42" s="1291">
        <v>2358674.4236328099</v>
      </c>
    </row>
    <row r="43" spans="1:6">
      <c r="A43" s="1290" t="s">
        <v>31</v>
      </c>
      <c r="B43" s="1290" t="s">
        <v>34</v>
      </c>
      <c r="C43" s="1291">
        <v>0</v>
      </c>
      <c r="D43" s="1291">
        <v>0</v>
      </c>
      <c r="E43" s="1291">
        <v>0</v>
      </c>
      <c r="F43" s="1291">
        <v>0</v>
      </c>
    </row>
    <row r="44" spans="1:6">
      <c r="A44" s="1290" t="s">
        <v>31</v>
      </c>
      <c r="B44" s="1290" t="s">
        <v>35</v>
      </c>
      <c r="C44" s="1291">
        <v>27</v>
      </c>
      <c r="D44" s="1291">
        <v>8804579.2722200193</v>
      </c>
      <c r="E44" s="1291">
        <v>51</v>
      </c>
      <c r="F44" s="1291">
        <v>5417585.6427666703</v>
      </c>
    </row>
    <row r="45" spans="1:6">
      <c r="A45" s="1290" t="s">
        <v>31</v>
      </c>
      <c r="B45" s="1290" t="s">
        <v>36</v>
      </c>
      <c r="C45" s="1291">
        <v>0</v>
      </c>
      <c r="D45" s="1291">
        <v>0</v>
      </c>
      <c r="E45" s="1291">
        <v>12</v>
      </c>
      <c r="F45" s="1291">
        <v>203975.34748624999</v>
      </c>
    </row>
    <row r="46" spans="1:6">
      <c r="A46" s="1290" t="s">
        <v>31</v>
      </c>
      <c r="B46" s="1290" t="s">
        <v>37</v>
      </c>
      <c r="C46" s="1291">
        <v>0</v>
      </c>
      <c r="D46" s="1291">
        <v>0</v>
      </c>
      <c r="E46" s="1291">
        <v>0</v>
      </c>
      <c r="F46" s="1291">
        <v>0</v>
      </c>
    </row>
    <row r="47" spans="1:6">
      <c r="A47" s="1290" t="s">
        <v>31</v>
      </c>
      <c r="B47" s="1290" t="s">
        <v>38</v>
      </c>
      <c r="C47" s="1291">
        <v>20</v>
      </c>
      <c r="D47" s="1291">
        <v>1499661.8522420099</v>
      </c>
      <c r="E47" s="1291">
        <v>27</v>
      </c>
      <c r="F47" s="1291">
        <v>2728506.0142211402</v>
      </c>
    </row>
    <row r="48" spans="1:6">
      <c r="A48" s="1290" t="s">
        <v>31</v>
      </c>
      <c r="B48" s="1290" t="s">
        <v>28</v>
      </c>
      <c r="C48" s="1291">
        <v>87</v>
      </c>
      <c r="D48" s="1291">
        <v>25897500.1952531</v>
      </c>
      <c r="E48" s="1291">
        <v>106</v>
      </c>
      <c r="F48" s="1291">
        <v>37113672.025581397</v>
      </c>
    </row>
    <row r="49" spans="1:6">
      <c r="A49" s="1290" t="s">
        <v>31</v>
      </c>
      <c r="B49" s="1290" t="s">
        <v>39</v>
      </c>
      <c r="C49" s="1291">
        <v>11</v>
      </c>
      <c r="D49" s="1291">
        <v>6244873.5637726802</v>
      </c>
      <c r="E49" s="1291">
        <v>33</v>
      </c>
      <c r="F49" s="1291">
        <v>3941764.9120099898</v>
      </c>
    </row>
    <row r="50" spans="1:6">
      <c r="A50" s="1290" t="s">
        <v>31</v>
      </c>
      <c r="B50" s="1290" t="s">
        <v>40</v>
      </c>
      <c r="C50" s="1291">
        <v>33</v>
      </c>
      <c r="D50" s="1291">
        <v>8593413.4977588691</v>
      </c>
      <c r="E50" s="1291">
        <v>60</v>
      </c>
      <c r="F50" s="1291">
        <v>14219896.160036299</v>
      </c>
    </row>
    <row r="51" spans="1:6">
      <c r="A51" s="1290" t="s">
        <v>41</v>
      </c>
      <c r="B51" s="1290" t="s">
        <v>42</v>
      </c>
      <c r="C51" s="1291">
        <v>22</v>
      </c>
      <c r="D51" s="1291">
        <v>424164.36411745002</v>
      </c>
      <c r="E51" s="1291">
        <v>177</v>
      </c>
      <c r="F51" s="1291">
        <v>3542822.9549614401</v>
      </c>
    </row>
    <row r="52" spans="1:6">
      <c r="A52" s="1290" t="s">
        <v>41</v>
      </c>
      <c r="B52" s="1290" t="s">
        <v>28</v>
      </c>
      <c r="C52" s="1291">
        <v>13</v>
      </c>
      <c r="D52" s="1291">
        <v>1369105.6888815199</v>
      </c>
      <c r="E52" s="1291">
        <v>22</v>
      </c>
      <c r="F52" s="1291">
        <v>1017944.48277685</v>
      </c>
    </row>
    <row r="53" spans="1:6">
      <c r="A53" s="1290" t="s">
        <v>43</v>
      </c>
      <c r="B53" s="1290" t="s">
        <v>44</v>
      </c>
      <c r="C53" s="1291">
        <v>940</v>
      </c>
      <c r="D53" s="1291">
        <v>16860265.871520702</v>
      </c>
      <c r="E53" s="1291">
        <v>1518</v>
      </c>
      <c r="F53" s="1291">
        <v>7448071.35354295</v>
      </c>
    </row>
    <row r="54" spans="1:6">
      <c r="A54" s="1290" t="s">
        <v>45</v>
      </c>
      <c r="B54" s="1290" t="s">
        <v>46</v>
      </c>
      <c r="C54" s="1291">
        <v>0</v>
      </c>
      <c r="D54" s="1291">
        <v>0</v>
      </c>
      <c r="E54" s="1291">
        <v>1</v>
      </c>
      <c r="F54" s="1291">
        <v>3785319</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261</v>
      </c>
      <c r="D57" s="1291">
        <v>20535859.295284301</v>
      </c>
      <c r="E57" s="1291">
        <v>433</v>
      </c>
      <c r="F57" s="1291">
        <v>13152274.6111307</v>
      </c>
    </row>
    <row r="58" spans="1:6">
      <c r="A58" s="1290" t="s">
        <v>48</v>
      </c>
      <c r="B58" s="1290" t="s">
        <v>50</v>
      </c>
      <c r="C58" s="1291">
        <v>147</v>
      </c>
      <c r="D58" s="1291">
        <v>35181828.727300502</v>
      </c>
      <c r="E58" s="1291">
        <v>190</v>
      </c>
      <c r="F58" s="1291">
        <v>18577197.928946901</v>
      </c>
    </row>
    <row r="59" spans="1:6">
      <c r="A59" s="1290" t="s">
        <v>48</v>
      </c>
      <c r="B59" s="1290" t="s">
        <v>51</v>
      </c>
      <c r="C59" s="1291">
        <v>595</v>
      </c>
      <c r="D59" s="1291">
        <v>33130779.863917299</v>
      </c>
      <c r="E59" s="1291">
        <v>1127</v>
      </c>
      <c r="F59" s="1291">
        <v>47642641.504831202</v>
      </c>
    </row>
    <row r="60" spans="1:6">
      <c r="A60" s="1290" t="s">
        <v>48</v>
      </c>
      <c r="B60" s="1290" t="s">
        <v>52</v>
      </c>
      <c r="C60" s="1291">
        <v>209</v>
      </c>
      <c r="D60" s="1291">
        <v>10490563.1950782</v>
      </c>
      <c r="E60" s="1291">
        <v>281</v>
      </c>
      <c r="F60" s="1291">
        <v>9061410.3640565798</v>
      </c>
    </row>
    <row r="61" spans="1:6">
      <c r="A61" s="1290" t="s">
        <v>48</v>
      </c>
      <c r="B61" s="1290" t="s">
        <v>53</v>
      </c>
      <c r="C61" s="1291">
        <v>581</v>
      </c>
      <c r="D61" s="1291">
        <v>49740764.1422875</v>
      </c>
      <c r="E61" s="1291">
        <v>1466</v>
      </c>
      <c r="F61" s="1291">
        <v>27172407.1494225</v>
      </c>
    </row>
    <row r="62" spans="1:6">
      <c r="A62" s="1290" t="s">
        <v>48</v>
      </c>
      <c r="B62" s="1290" t="s">
        <v>54</v>
      </c>
      <c r="C62" s="1291">
        <v>68</v>
      </c>
      <c r="D62" s="1291">
        <v>14684309.676400101</v>
      </c>
      <c r="E62" s="1291">
        <v>67</v>
      </c>
      <c r="F62" s="1291">
        <v>4102788.9627302801</v>
      </c>
    </row>
    <row r="63" spans="1:6">
      <c r="A63" s="1290" t="s">
        <v>48</v>
      </c>
      <c r="B63" s="1290" t="s">
        <v>28</v>
      </c>
      <c r="C63" s="1291">
        <v>239</v>
      </c>
      <c r="D63" s="1291">
        <v>13885936.9160849</v>
      </c>
      <c r="E63" s="1291">
        <v>255</v>
      </c>
      <c r="F63" s="1291">
        <v>9768246.7980464306</v>
      </c>
    </row>
    <row r="64" spans="1:6">
      <c r="A64" s="1290" t="s">
        <v>55</v>
      </c>
      <c r="B64" s="1290" t="s">
        <v>56</v>
      </c>
      <c r="C64" s="1291">
        <v>0</v>
      </c>
      <c r="D64" s="1291">
        <v>0</v>
      </c>
      <c r="E64" s="1291">
        <v>0</v>
      </c>
      <c r="F64" s="1291">
        <v>0</v>
      </c>
    </row>
    <row r="65" spans="1:6">
      <c r="A65" s="1290" t="s">
        <v>55</v>
      </c>
      <c r="B65" s="1290" t="s">
        <v>28</v>
      </c>
      <c r="C65" s="1291">
        <v>6</v>
      </c>
      <c r="D65" s="1291">
        <v>140354.900488663</v>
      </c>
      <c r="E65" s="1291">
        <v>6</v>
      </c>
      <c r="F65" s="1291">
        <v>35066.669952541502</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6</v>
      </c>
      <c r="D68" s="1294">
        <v>83693.575415142594</v>
      </c>
      <c r="E68" s="1294">
        <v>34</v>
      </c>
      <c r="F68" s="1294">
        <v>556654.99198408006</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174409067</v>
      </c>
      <c r="E73" s="455"/>
      <c r="F73" s="331"/>
    </row>
    <row r="74" spans="1:6">
      <c r="A74" s="1290" t="s">
        <v>63</v>
      </c>
      <c r="B74" s="1290" t="s">
        <v>773</v>
      </c>
      <c r="C74" s="1304" t="s">
        <v>774</v>
      </c>
      <c r="D74" s="1305">
        <v>19930762.529866003</v>
      </c>
      <c r="E74" s="455"/>
      <c r="F74" s="331"/>
    </row>
    <row r="75" spans="1:6">
      <c r="A75" s="1290" t="s">
        <v>64</v>
      </c>
      <c r="B75" s="1290" t="s">
        <v>771</v>
      </c>
      <c r="C75" s="1304" t="s">
        <v>775</v>
      </c>
      <c r="D75" s="1305">
        <v>163845064</v>
      </c>
      <c r="E75" s="455"/>
      <c r="F75" s="331"/>
    </row>
    <row r="76" spans="1:6">
      <c r="A76" s="1290" t="s">
        <v>64</v>
      </c>
      <c r="B76" s="1290" t="s">
        <v>773</v>
      </c>
      <c r="C76" s="1304" t="s">
        <v>776</v>
      </c>
      <c r="D76" s="1305">
        <v>10362723.529866003</v>
      </c>
      <c r="E76" s="455"/>
      <c r="F76" s="331"/>
    </row>
    <row r="77" spans="1:6">
      <c r="A77" s="1290" t="s">
        <v>65</v>
      </c>
      <c r="B77" s="1290" t="s">
        <v>771</v>
      </c>
      <c r="C77" s="1304" t="s">
        <v>777</v>
      </c>
      <c r="D77" s="1305">
        <v>128738398</v>
      </c>
      <c r="E77" s="455"/>
      <c r="F77" s="331"/>
    </row>
    <row r="78" spans="1:6">
      <c r="A78" s="1285" t="s">
        <v>65</v>
      </c>
      <c r="B78" s="1285" t="s">
        <v>773</v>
      </c>
      <c r="C78" s="1285" t="s">
        <v>778</v>
      </c>
      <c r="D78" s="1306">
        <v>30498866</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3025884.940267995</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4901.6866046314981</v>
      </c>
      <c r="C91" s="331"/>
      <c r="D91" s="331"/>
      <c r="E91" s="331"/>
      <c r="F91" s="331"/>
    </row>
    <row r="92" spans="1:6">
      <c r="A92" s="1285" t="s">
        <v>68</v>
      </c>
      <c r="B92" s="1286">
        <v>5273.7463540856288</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16810</v>
      </c>
      <c r="C97" s="331"/>
      <c r="D97" s="331"/>
      <c r="E97" s="331"/>
      <c r="F97" s="331"/>
    </row>
    <row r="98" spans="1:6">
      <c r="A98" s="1290" t="s">
        <v>71</v>
      </c>
      <c r="B98" s="1291">
        <v>15</v>
      </c>
      <c r="C98" s="331"/>
      <c r="D98" s="331"/>
      <c r="E98" s="331"/>
      <c r="F98" s="331"/>
    </row>
    <row r="99" spans="1:6">
      <c r="A99" s="1290" t="s">
        <v>72</v>
      </c>
      <c r="B99" s="1291">
        <v>215</v>
      </c>
      <c r="C99" s="331"/>
      <c r="D99" s="331"/>
      <c r="E99" s="331"/>
      <c r="F99" s="331"/>
    </row>
    <row r="100" spans="1:6">
      <c r="A100" s="1290" t="s">
        <v>73</v>
      </c>
      <c r="B100" s="1291">
        <v>2077</v>
      </c>
      <c r="C100" s="331"/>
      <c r="D100" s="331"/>
      <c r="E100" s="331"/>
      <c r="F100" s="331"/>
    </row>
    <row r="101" spans="1:6">
      <c r="A101" s="1290" t="s">
        <v>74</v>
      </c>
      <c r="B101" s="1291">
        <v>290</v>
      </c>
      <c r="C101" s="331"/>
      <c r="D101" s="331"/>
      <c r="E101" s="331"/>
      <c r="F101" s="331"/>
    </row>
    <row r="102" spans="1:6">
      <c r="A102" s="1290" t="s">
        <v>75</v>
      </c>
      <c r="B102" s="1291">
        <v>856</v>
      </c>
      <c r="C102" s="331"/>
      <c r="D102" s="331"/>
      <c r="E102" s="331"/>
      <c r="F102" s="331"/>
    </row>
    <row r="103" spans="1:6">
      <c r="A103" s="1290" t="s">
        <v>76</v>
      </c>
      <c r="B103" s="1291">
        <v>965</v>
      </c>
      <c r="C103" s="331"/>
      <c r="D103" s="331"/>
      <c r="E103" s="331"/>
      <c r="F103" s="331"/>
    </row>
    <row r="104" spans="1:6">
      <c r="A104" s="1290" t="s">
        <v>77</v>
      </c>
      <c r="B104" s="1291">
        <v>6412</v>
      </c>
      <c r="C104" s="331"/>
      <c r="D104" s="331"/>
      <c r="E104" s="331"/>
      <c r="F104" s="331"/>
    </row>
    <row r="105" spans="1:6">
      <c r="A105" s="1285" t="s">
        <v>78</v>
      </c>
      <c r="B105" s="1294">
        <v>32</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20</v>
      </c>
      <c r="C123" s="1291">
        <v>15</v>
      </c>
      <c r="D123" s="331"/>
      <c r="E123" s="331"/>
      <c r="F123" s="331"/>
    </row>
    <row r="124" spans="1:6" s="43" customFormat="1">
      <c r="A124" s="1292" t="s">
        <v>88</v>
      </c>
      <c r="B124" s="1313">
        <v>2</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144</v>
      </c>
      <c r="C129" s="331"/>
      <c r="D129" s="331"/>
      <c r="E129" s="331"/>
      <c r="F129" s="331"/>
    </row>
    <row r="130" spans="1:6">
      <c r="A130" s="1290" t="s">
        <v>294</v>
      </c>
      <c r="B130" s="1291">
        <v>6</v>
      </c>
      <c r="C130" s="331"/>
      <c r="D130" s="331"/>
      <c r="E130" s="331"/>
      <c r="F130" s="331"/>
    </row>
    <row r="131" spans="1:6">
      <c r="A131" s="1290" t="s">
        <v>295</v>
      </c>
      <c r="B131" s="1291">
        <v>8</v>
      </c>
      <c r="C131" s="331"/>
      <c r="D131" s="331"/>
      <c r="E131" s="331"/>
      <c r="F131" s="331"/>
    </row>
    <row r="132" spans="1:6">
      <c r="A132" s="1285" t="s">
        <v>296</v>
      </c>
      <c r="B132" s="1286">
        <v>26</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343532.16609740333</v>
      </c>
      <c r="C3" s="43" t="s">
        <v>169</v>
      </c>
      <c r="D3" s="43"/>
      <c r="E3" s="156"/>
      <c r="F3" s="43"/>
      <c r="G3" s="43"/>
      <c r="H3" s="43"/>
      <c r="I3" s="43"/>
      <c r="J3" s="43"/>
      <c r="K3" s="96"/>
    </row>
    <row r="4" spans="1:11">
      <c r="A4" s="362" t="s">
        <v>170</v>
      </c>
      <c r="B4" s="49">
        <f>IF(ISERROR('SEAP template'!B78+'SEAP template'!C78),0,'SEAP template'!B78+'SEAP template'!C78)</f>
        <v>10185.182958717127</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2.3170588235294125</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0.21445444590939589</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3.3100840336134461</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13.928571428571431</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0.23764705882352943</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3785.319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3785.319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0.21445444590939589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811.77848873530854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114736.80350139363</v>
      </c>
      <c r="C5" s="17">
        <f>IF(ISERROR('Eigen informatie GS &amp; warmtenet'!B57),0,'Eigen informatie GS &amp; warmtenet'!B57)</f>
        <v>0</v>
      </c>
      <c r="D5" s="30">
        <f>(SUM(HH_hh_gas_kWh,HH_rest_gas_kWh)/1000)*0.902</f>
        <v>288662.40441082465</v>
      </c>
      <c r="E5" s="17">
        <f>B46*B57</f>
        <v>35625.48472335648</v>
      </c>
      <c r="F5" s="17">
        <f>B51*B62</f>
        <v>45750.663735896451</v>
      </c>
      <c r="G5" s="18"/>
      <c r="H5" s="17"/>
      <c r="I5" s="17"/>
      <c r="J5" s="17">
        <f>B50*B61+C50*C61</f>
        <v>13772.239587737982</v>
      </c>
      <c r="K5" s="17"/>
      <c r="L5" s="17"/>
      <c r="M5" s="17"/>
      <c r="N5" s="17">
        <f>B48*B59+C48*C59</f>
        <v>42720.770273007882</v>
      </c>
      <c r="O5" s="17">
        <f>B69*B70*B71</f>
        <v>248.57000000000002</v>
      </c>
      <c r="P5" s="17">
        <f>B77*B78*B79/1000-B77*B78*B79/1000/B80</f>
        <v>915.2</v>
      </c>
    </row>
    <row r="6" spans="1:16">
      <c r="A6" s="16" t="s">
        <v>631</v>
      </c>
      <c r="B6" s="776">
        <f>kWh_PV_kleiner_dan_10kW</f>
        <v>4901.6866046314981</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119638.49010602513</v>
      </c>
      <c r="C8" s="21">
        <f>C5</f>
        <v>0</v>
      </c>
      <c r="D8" s="21">
        <f>D5</f>
        <v>288662.40441082465</v>
      </c>
      <c r="E8" s="21">
        <f>E5</f>
        <v>35625.48472335648</v>
      </c>
      <c r="F8" s="21">
        <f>F5</f>
        <v>45750.663735896451</v>
      </c>
      <c r="G8" s="21"/>
      <c r="H8" s="21"/>
      <c r="I8" s="21"/>
      <c r="J8" s="21">
        <f>J5</f>
        <v>13772.239587737982</v>
      </c>
      <c r="K8" s="21"/>
      <c r="L8" s="21">
        <f>L5</f>
        <v>0</v>
      </c>
      <c r="M8" s="21">
        <f>M5</f>
        <v>0</v>
      </c>
      <c r="N8" s="21">
        <f>N5</f>
        <v>42720.770273007882</v>
      </c>
      <c r="O8" s="21">
        <f>O5</f>
        <v>248.57000000000002</v>
      </c>
      <c r="P8" s="21">
        <f>P5</f>
        <v>915.2</v>
      </c>
    </row>
    <row r="9" spans="1:16">
      <c r="B9" s="19"/>
      <c r="C9" s="19"/>
      <c r="D9" s="260"/>
      <c r="E9" s="19"/>
      <c r="F9" s="19"/>
      <c r="G9" s="19"/>
      <c r="H9" s="19"/>
      <c r="I9" s="19"/>
      <c r="J9" s="19"/>
      <c r="K9" s="19"/>
      <c r="L9" s="19"/>
      <c r="M9" s="19"/>
      <c r="N9" s="19"/>
      <c r="O9" s="19"/>
      <c r="P9" s="19"/>
    </row>
    <row r="10" spans="1:16">
      <c r="A10" s="24" t="s">
        <v>213</v>
      </c>
      <c r="B10" s="25">
        <f ca="1">'EF ele_warmte'!B12</f>
        <v>0.21445444590939589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25657.006105124361</v>
      </c>
      <c r="C12" s="23">
        <f ca="1">C10*C8</f>
        <v>0</v>
      </c>
      <c r="D12" s="23">
        <f>D8*D10</f>
        <v>58309.805690986585</v>
      </c>
      <c r="E12" s="23">
        <f>E10*E8</f>
        <v>8086.9850322019211</v>
      </c>
      <c r="F12" s="23">
        <f>F10*F8</f>
        <v>12215.427217484354</v>
      </c>
      <c r="G12" s="23"/>
      <c r="H12" s="23"/>
      <c r="I12" s="23"/>
      <c r="J12" s="23">
        <f>J10*J8</f>
        <v>4875.3728140592457</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16810</v>
      </c>
      <c r="C18" s="167" t="s">
        <v>110</v>
      </c>
      <c r="D18" s="229"/>
      <c r="E18" s="15"/>
    </row>
    <row r="19" spans="1:7">
      <c r="A19" s="172" t="s">
        <v>71</v>
      </c>
      <c r="B19" s="37">
        <f>aantalw2001_ander</f>
        <v>15</v>
      </c>
      <c r="C19" s="167" t="s">
        <v>110</v>
      </c>
      <c r="D19" s="230"/>
      <c r="E19" s="15"/>
    </row>
    <row r="20" spans="1:7">
      <c r="A20" s="172" t="s">
        <v>72</v>
      </c>
      <c r="B20" s="37">
        <f>aantalw2001_propaan</f>
        <v>215</v>
      </c>
      <c r="C20" s="168">
        <f>IF(ISERROR(B20/SUM($B$20,$B$21,$B$22)*100),0,B20/SUM($B$20,$B$21,$B$22)*100)</f>
        <v>8.3268783888458557</v>
      </c>
      <c r="D20" s="230"/>
      <c r="E20" s="15"/>
    </row>
    <row r="21" spans="1:7">
      <c r="A21" s="172" t="s">
        <v>73</v>
      </c>
      <c r="B21" s="37">
        <f>aantalw2001_elektriciteit</f>
        <v>2077</v>
      </c>
      <c r="C21" s="168">
        <f>IF(ISERROR(B21/SUM($B$20,$B$21,$B$22)*100),0,B21/SUM($B$20,$B$21,$B$22)*100)</f>
        <v>80.441518202943456</v>
      </c>
      <c r="D21" s="230"/>
      <c r="E21" s="15"/>
    </row>
    <row r="22" spans="1:7">
      <c r="A22" s="172" t="s">
        <v>74</v>
      </c>
      <c r="B22" s="37">
        <f>aantalw2001_hout</f>
        <v>290</v>
      </c>
      <c r="C22" s="168">
        <f>IF(ISERROR(B22/SUM($B$20,$B$21,$B$22)*100),0,B22/SUM($B$20,$B$21,$B$22)*100)</f>
        <v>11.23160340821069</v>
      </c>
      <c r="D22" s="230"/>
      <c r="E22" s="15"/>
    </row>
    <row r="23" spans="1:7">
      <c r="A23" s="172" t="s">
        <v>75</v>
      </c>
      <c r="B23" s="37">
        <f>aantalw2001_niet_gespec</f>
        <v>856</v>
      </c>
      <c r="C23" s="167" t="s">
        <v>110</v>
      </c>
      <c r="D23" s="229"/>
      <c r="E23" s="15"/>
    </row>
    <row r="24" spans="1:7">
      <c r="A24" s="172" t="s">
        <v>76</v>
      </c>
      <c r="B24" s="37">
        <f>aantalw2001_steenkool</f>
        <v>965</v>
      </c>
      <c r="C24" s="167" t="s">
        <v>110</v>
      </c>
      <c r="D24" s="230"/>
      <c r="E24" s="15"/>
    </row>
    <row r="25" spans="1:7">
      <c r="A25" s="172" t="s">
        <v>77</v>
      </c>
      <c r="B25" s="37">
        <f>aantalw2001_stookolie</f>
        <v>6412</v>
      </c>
      <c r="C25" s="167" t="s">
        <v>110</v>
      </c>
      <c r="D25" s="229"/>
      <c r="E25" s="52"/>
    </row>
    <row r="26" spans="1:7">
      <c r="A26" s="172" t="s">
        <v>78</v>
      </c>
      <c r="B26" s="37">
        <f>aantalw2001_WP</f>
        <v>32</v>
      </c>
      <c r="C26" s="167" t="s">
        <v>110</v>
      </c>
      <c r="D26" s="229"/>
      <c r="E26" s="15"/>
    </row>
    <row r="27" spans="1:7" s="15" customFormat="1">
      <c r="A27" s="172"/>
      <c r="B27" s="29"/>
      <c r="C27" s="36"/>
      <c r="D27" s="229"/>
    </row>
    <row r="28" spans="1:7" s="15" customFormat="1">
      <c r="A28" s="231" t="s">
        <v>711</v>
      </c>
      <c r="B28" s="37">
        <f>aantalHuishoudens</f>
        <v>30519</v>
      </c>
      <c r="C28" s="36"/>
      <c r="D28" s="229"/>
    </row>
    <row r="29" spans="1:7" s="15" customFormat="1">
      <c r="A29" s="231" t="s">
        <v>712</v>
      </c>
      <c r="B29" s="37">
        <f>SUM(HH_hh_gas_aantal,HH_rest_gas_aantal)</f>
        <v>21688</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21688</v>
      </c>
      <c r="C32" s="168">
        <f>IF(ISERROR(B32/SUM($B$32,$B$34,$B$35,$B$36,$B$38,$B$39)*100),0,B32/SUM($B$32,$B$34,$B$35,$B$36,$B$38,$B$39)*100)</f>
        <v>71.175872140723968</v>
      </c>
      <c r="D32" s="234"/>
      <c r="G32" s="15"/>
    </row>
    <row r="33" spans="1:7">
      <c r="A33" s="172" t="s">
        <v>71</v>
      </c>
      <c r="B33" s="34" t="s">
        <v>110</v>
      </c>
      <c r="C33" s="168"/>
      <c r="D33" s="234"/>
      <c r="G33" s="15"/>
    </row>
    <row r="34" spans="1:7">
      <c r="A34" s="172" t="s">
        <v>72</v>
      </c>
      <c r="B34" s="33">
        <f>IF((($B$28-$B$32-$B$39-$B$77-$B$38)*C20/100)&lt;0,0,($B$28-$B$32-$B$39-$B$77-$B$38)*C20/100)</f>
        <v>523.26103795507356</v>
      </c>
      <c r="C34" s="168">
        <f>IF(ISERROR(B34/SUM($B$32,$B$34,$B$35,$B$36,$B$38,$B$39)*100),0,B34/SUM($B$32,$B$34,$B$35,$B$36,$B$38,$B$39)*100)</f>
        <v>1.7172427486957225</v>
      </c>
      <c r="D34" s="234"/>
      <c r="G34" s="15"/>
    </row>
    <row r="35" spans="1:7">
      <c r="A35" s="172" t="s">
        <v>73</v>
      </c>
      <c r="B35" s="33">
        <f>IF((($B$28-$B$32-$B$39-$B$77-$B$38)*C21/100)&lt;0,0,($B$28-$B$32-$B$39-$B$77-$B$38)*C21/100)</f>
        <v>5054.9450038729665</v>
      </c>
      <c r="C35" s="168">
        <f>IF(ISERROR(B35/SUM($B$32,$B$34,$B$35,$B$36,$B$38,$B$39)*100),0,B35/SUM($B$32,$B$34,$B$35,$B$36,$B$38,$B$39)*100)</f>
        <v>16.58936366995821</v>
      </c>
      <c r="D35" s="234"/>
      <c r="G35" s="15"/>
    </row>
    <row r="36" spans="1:7">
      <c r="A36" s="172" t="s">
        <v>74</v>
      </c>
      <c r="B36" s="33">
        <f>IF((($B$28-$B$32-$B$39-$B$77-$B$38)*C22/100)&lt;0,0,($B$28-$B$32-$B$39-$B$77-$B$38)*C22/100)</f>
        <v>705.79395817195984</v>
      </c>
      <c r="C36" s="168">
        <f>IF(ISERROR(B36/SUM($B$32,$B$34,$B$35,$B$36,$B$38,$B$39)*100),0,B36/SUM($B$32,$B$34,$B$35,$B$36,$B$38,$B$39)*100)</f>
        <v>2.3162809168453933</v>
      </c>
      <c r="D36" s="234"/>
      <c r="G36" s="15"/>
    </row>
    <row r="37" spans="1:7">
      <c r="A37" s="172" t="s">
        <v>75</v>
      </c>
      <c r="B37" s="34" t="s">
        <v>110</v>
      </c>
      <c r="C37" s="168"/>
      <c r="D37" s="174"/>
      <c r="G37" s="15"/>
    </row>
    <row r="38" spans="1:7">
      <c r="A38" s="172" t="s">
        <v>76</v>
      </c>
      <c r="B38" s="33">
        <f>IF((B24-(B29-B18)*0.1)&lt;0,0,B24-(B29-B18)*0.1)</f>
        <v>477.2</v>
      </c>
      <c r="C38" s="168">
        <f>IF(ISERROR(B38/SUM($B$32,$B$34,$B$35,$B$36,$B$38,$B$39)*100),0,B38/SUM($B$32,$B$34,$B$35,$B$36,$B$38,$B$39)*100)</f>
        <v>1.5660792228676446</v>
      </c>
      <c r="D38" s="235"/>
      <c r="G38" s="15"/>
    </row>
    <row r="39" spans="1:7">
      <c r="A39" s="172" t="s">
        <v>77</v>
      </c>
      <c r="B39" s="33">
        <f>IF((B25-(B29-B18))&lt;0,0,B25-(B29-B18)*0.9)</f>
        <v>2021.8000000000002</v>
      </c>
      <c r="C39" s="168">
        <f>IF(ISERROR(B39/SUM($B$32,$B$34,$B$35,$B$36,$B$38,$B$39)*100),0,B39/SUM($B$32,$B$34,$B$35,$B$36,$B$38,$B$39)*100)</f>
        <v>6.6351613009090622</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21688</v>
      </c>
      <c r="C44" s="34" t="s">
        <v>110</v>
      </c>
      <c r="D44" s="175"/>
    </row>
    <row r="45" spans="1:7">
      <c r="A45" s="172" t="s">
        <v>71</v>
      </c>
      <c r="B45" s="33" t="str">
        <f t="shared" si="0"/>
        <v>-</v>
      </c>
      <c r="C45" s="34" t="s">
        <v>110</v>
      </c>
      <c r="D45" s="175"/>
    </row>
    <row r="46" spans="1:7">
      <c r="A46" s="172" t="s">
        <v>72</v>
      </c>
      <c r="B46" s="33">
        <f t="shared" si="0"/>
        <v>523.26103795507356</v>
      </c>
      <c r="C46" s="34" t="s">
        <v>110</v>
      </c>
      <c r="D46" s="175"/>
    </row>
    <row r="47" spans="1:7">
      <c r="A47" s="172" t="s">
        <v>73</v>
      </c>
      <c r="B47" s="33">
        <f t="shared" si="0"/>
        <v>5054.9450038729665</v>
      </c>
      <c r="C47" s="34" t="s">
        <v>110</v>
      </c>
      <c r="D47" s="175"/>
    </row>
    <row r="48" spans="1:7">
      <c r="A48" s="172" t="s">
        <v>74</v>
      </c>
      <c r="B48" s="33">
        <f t="shared" si="0"/>
        <v>705.79395817195984</v>
      </c>
      <c r="C48" s="33">
        <f>B48*10</f>
        <v>7057.9395817195982</v>
      </c>
      <c r="D48" s="235"/>
    </row>
    <row r="49" spans="1:6">
      <c r="A49" s="172" t="s">
        <v>75</v>
      </c>
      <c r="B49" s="33" t="str">
        <f t="shared" si="0"/>
        <v>-</v>
      </c>
      <c r="C49" s="34" t="s">
        <v>110</v>
      </c>
      <c r="D49" s="235"/>
    </row>
    <row r="50" spans="1:6">
      <c r="A50" s="172" t="s">
        <v>76</v>
      </c>
      <c r="B50" s="33">
        <f t="shared" si="0"/>
        <v>477.2</v>
      </c>
      <c r="C50" s="33">
        <f>B50*2</f>
        <v>954.4</v>
      </c>
      <c r="D50" s="235"/>
    </row>
    <row r="51" spans="1:6">
      <c r="A51" s="172" t="s">
        <v>77</v>
      </c>
      <c r="B51" s="33">
        <f t="shared" si="0"/>
        <v>2021.8000000000002</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159</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48</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129476.96731916459</v>
      </c>
      <c r="C5" s="17">
        <f>IF(ISERROR('Eigen informatie GS &amp; warmtenet'!B58),0,'Eigen informatie GS &amp; warmtenet'!B58)</f>
        <v>0</v>
      </c>
      <c r="D5" s="30">
        <f>SUM(D6:D12)</f>
        <v>160240.33771835023</v>
      </c>
      <c r="E5" s="17">
        <f>SUM(E6:E12)</f>
        <v>2007.4210116356692</v>
      </c>
      <c r="F5" s="17">
        <f>SUM(F6:F12)</f>
        <v>26002.824347341801</v>
      </c>
      <c r="G5" s="18"/>
      <c r="H5" s="17"/>
      <c r="I5" s="17"/>
      <c r="J5" s="17">
        <f>SUM(J6:J12)</f>
        <v>0</v>
      </c>
      <c r="K5" s="17"/>
      <c r="L5" s="17"/>
      <c r="M5" s="17"/>
      <c r="N5" s="17">
        <f>SUM(N6:N12)</f>
        <v>3713.3313091936575</v>
      </c>
      <c r="O5" s="17">
        <f>B38*B39*B40</f>
        <v>9.3800000000000008</v>
      </c>
      <c r="P5" s="17">
        <f>B46*B47*B48/1000-B46*B47*B48/1000/B49</f>
        <v>152.53333333333333</v>
      </c>
      <c r="R5" s="32"/>
    </row>
    <row r="6" spans="1:18">
      <c r="A6" s="32" t="s">
        <v>53</v>
      </c>
      <c r="B6" s="37">
        <f>B26</f>
        <v>27172.407149422499</v>
      </c>
      <c r="C6" s="33"/>
      <c r="D6" s="37">
        <f>IF(ISERROR(TER_kantoor_gas_kWh/1000),0,TER_kantoor_gas_kWh/1000)*0.902</f>
        <v>44866.169256343332</v>
      </c>
      <c r="E6" s="33">
        <f>$C$26*'E Balans VL '!I12/100/3.6*1000000</f>
        <v>951.14113959498286</v>
      </c>
      <c r="F6" s="33">
        <f>$C$26*('E Balans VL '!L12+'E Balans VL '!N12)/100/3.6*1000000</f>
        <v>4119.9203097172913</v>
      </c>
      <c r="G6" s="34"/>
      <c r="H6" s="33"/>
      <c r="I6" s="33"/>
      <c r="J6" s="33">
        <f>$C$26*('E Balans VL '!D12+'E Balans VL '!E12)/100/3.6*1000000</f>
        <v>0</v>
      </c>
      <c r="K6" s="33"/>
      <c r="L6" s="33"/>
      <c r="M6" s="33"/>
      <c r="N6" s="33">
        <f>$C$26*'E Balans VL '!Y12/100/3.6*1000000</f>
        <v>210.03420253565878</v>
      </c>
      <c r="O6" s="33"/>
      <c r="P6" s="33"/>
      <c r="R6" s="32"/>
    </row>
    <row r="7" spans="1:18">
      <c r="A7" s="32" t="s">
        <v>52</v>
      </c>
      <c r="B7" s="37">
        <f t="shared" ref="B7:B12" si="0">B27</f>
        <v>9061.4103640565791</v>
      </c>
      <c r="C7" s="33"/>
      <c r="D7" s="37">
        <f>IF(ISERROR(TER_horeca_gas_kWh/1000),0,TER_horeca_gas_kWh/1000)*0.902</f>
        <v>9462.4880019605353</v>
      </c>
      <c r="E7" s="33">
        <f>$C$27*'E Balans VL '!I9/100/3.6*1000000</f>
        <v>511.18403194697572</v>
      </c>
      <c r="F7" s="33">
        <f>$C$27*('E Balans VL '!L9+'E Balans VL '!N9)/100/3.6*1000000</f>
        <v>1578.5478319074612</v>
      </c>
      <c r="G7" s="34"/>
      <c r="H7" s="33"/>
      <c r="I7" s="33"/>
      <c r="J7" s="33">
        <f>$C$27*('E Balans VL '!D9+'E Balans VL '!E9)/100/3.6*1000000</f>
        <v>0</v>
      </c>
      <c r="K7" s="33"/>
      <c r="L7" s="33"/>
      <c r="M7" s="33"/>
      <c r="N7" s="33">
        <f>$C$27*'E Balans VL '!Y9/100/3.6*1000000</f>
        <v>0</v>
      </c>
      <c r="O7" s="33"/>
      <c r="P7" s="33"/>
      <c r="R7" s="32"/>
    </row>
    <row r="8" spans="1:18">
      <c r="A8" s="6" t="s">
        <v>51</v>
      </c>
      <c r="B8" s="37">
        <f t="shared" si="0"/>
        <v>47642.641504831205</v>
      </c>
      <c r="C8" s="33"/>
      <c r="D8" s="37">
        <f>IF(ISERROR(TER_handel_gas_kWh/1000),0,TER_handel_gas_kWh/1000)*0.902</f>
        <v>29883.963437253402</v>
      </c>
      <c r="E8" s="33">
        <f>$C$28*'E Balans VL '!I13/100/3.6*1000000</f>
        <v>244.59248106362895</v>
      </c>
      <c r="F8" s="33">
        <f>$C$28*('E Balans VL '!L13+'E Balans VL '!N13)/100/3.6*1000000</f>
        <v>7345.7591656641762</v>
      </c>
      <c r="G8" s="34"/>
      <c r="H8" s="33"/>
      <c r="I8" s="33"/>
      <c r="J8" s="33">
        <f>$C$28*('E Balans VL '!D13+'E Balans VL '!E13)/100/3.6*1000000</f>
        <v>0</v>
      </c>
      <c r="K8" s="33"/>
      <c r="L8" s="33"/>
      <c r="M8" s="33"/>
      <c r="N8" s="33">
        <f>$C$28*'E Balans VL '!Y13/100/3.6*1000000</f>
        <v>22.283044988528836</v>
      </c>
      <c r="O8" s="33"/>
      <c r="P8" s="33"/>
      <c r="R8" s="32"/>
    </row>
    <row r="9" spans="1:18">
      <c r="A9" s="32" t="s">
        <v>50</v>
      </c>
      <c r="B9" s="37">
        <f t="shared" si="0"/>
        <v>18577.197928946902</v>
      </c>
      <c r="C9" s="33"/>
      <c r="D9" s="37">
        <f>IF(ISERROR(TER_gezond_gas_kWh/1000),0,TER_gezond_gas_kWh/1000)*0.902</f>
        <v>31734.009512025055</v>
      </c>
      <c r="E9" s="33">
        <f>$C$29*'E Balans VL '!I10/100/3.6*1000000</f>
        <v>7.700116239486519</v>
      </c>
      <c r="F9" s="33">
        <f>$C$29*('E Balans VL '!L10+'E Balans VL '!N10)/100/3.6*1000000</f>
        <v>4575.2974173412103</v>
      </c>
      <c r="G9" s="34"/>
      <c r="H9" s="33"/>
      <c r="I9" s="33"/>
      <c r="J9" s="33">
        <f>$C$29*('E Balans VL '!D10+'E Balans VL '!E10)/100/3.6*1000000</f>
        <v>0</v>
      </c>
      <c r="K9" s="33"/>
      <c r="L9" s="33"/>
      <c r="M9" s="33"/>
      <c r="N9" s="33">
        <f>$C$29*'E Balans VL '!Y10/100/3.6*1000000</f>
        <v>160.55297099531438</v>
      </c>
      <c r="O9" s="33"/>
      <c r="P9" s="33"/>
      <c r="R9" s="32"/>
    </row>
    <row r="10" spans="1:18">
      <c r="A10" s="32" t="s">
        <v>49</v>
      </c>
      <c r="B10" s="37">
        <f t="shared" si="0"/>
        <v>13152.274611130699</v>
      </c>
      <c r="C10" s="33"/>
      <c r="D10" s="37">
        <f>IF(ISERROR(TER_ander_gas_kWh/1000),0,TER_ander_gas_kWh/1000)*0.902</f>
        <v>18523.345084346442</v>
      </c>
      <c r="E10" s="33">
        <f>$C$30*'E Balans VL '!I14/100/3.6*1000000</f>
        <v>80.176590531545017</v>
      </c>
      <c r="F10" s="33">
        <f>$C$30*('E Balans VL '!L14+'E Balans VL '!N14)/100/3.6*1000000</f>
        <v>3486.8481651358356</v>
      </c>
      <c r="G10" s="34"/>
      <c r="H10" s="33"/>
      <c r="I10" s="33"/>
      <c r="J10" s="33">
        <f>$C$30*('E Balans VL '!D14+'E Balans VL '!E14)/100/3.6*1000000</f>
        <v>0</v>
      </c>
      <c r="K10" s="33"/>
      <c r="L10" s="33"/>
      <c r="M10" s="33"/>
      <c r="N10" s="33">
        <f>$C$30*'E Balans VL '!Y14/100/3.6*1000000</f>
        <v>3031.3150981295794</v>
      </c>
      <c r="O10" s="33"/>
      <c r="P10" s="33"/>
      <c r="R10" s="32"/>
    </row>
    <row r="11" spans="1:18">
      <c r="A11" s="32" t="s">
        <v>54</v>
      </c>
      <c r="B11" s="37">
        <f t="shared" si="0"/>
        <v>4102.7889627302802</v>
      </c>
      <c r="C11" s="33"/>
      <c r="D11" s="37">
        <f>IF(ISERROR(TER_onderwijs_gas_kWh/1000),0,TER_onderwijs_gas_kWh/1000)*0.902</f>
        <v>13245.247328112891</v>
      </c>
      <c r="E11" s="33">
        <f>$C$31*'E Balans VL '!I11/100/3.6*1000000</f>
        <v>3.1265388240786693</v>
      </c>
      <c r="F11" s="33">
        <f>$C$31*('E Balans VL '!L11+'E Balans VL '!N11)/100/3.6*1000000</f>
        <v>2969.0029356219829</v>
      </c>
      <c r="G11" s="34"/>
      <c r="H11" s="33"/>
      <c r="I11" s="33"/>
      <c r="J11" s="33">
        <f>$C$31*('E Balans VL '!D11+'E Balans VL '!E11)/100/3.6*1000000</f>
        <v>0</v>
      </c>
      <c r="K11" s="33"/>
      <c r="L11" s="33"/>
      <c r="M11" s="33"/>
      <c r="N11" s="33">
        <f>$C$31*'E Balans VL '!Y11/100/3.6*1000000</f>
        <v>12.091899621860703</v>
      </c>
      <c r="O11" s="33"/>
      <c r="P11" s="33"/>
      <c r="R11" s="32"/>
    </row>
    <row r="12" spans="1:18">
      <c r="A12" s="32" t="s">
        <v>259</v>
      </c>
      <c r="B12" s="37">
        <f t="shared" si="0"/>
        <v>9768.2467980464298</v>
      </c>
      <c r="C12" s="33"/>
      <c r="D12" s="37">
        <f>IF(ISERROR(TER_rest_gas_kWh/1000),0,TER_rest_gas_kWh/1000)*0.902</f>
        <v>12525.115098308581</v>
      </c>
      <c r="E12" s="33">
        <f>$C$32*'E Balans VL '!I8/100/3.6*1000000</f>
        <v>209.50011343497141</v>
      </c>
      <c r="F12" s="33">
        <f>$C$32*('E Balans VL '!L8+'E Balans VL '!N8)/100/3.6*1000000</f>
        <v>1927.4485219538435</v>
      </c>
      <c r="G12" s="34"/>
      <c r="H12" s="33"/>
      <c r="I12" s="33"/>
      <c r="J12" s="33">
        <f>$C$32*('E Balans VL '!D8+'E Balans VL '!E8)/100/3.6*1000000</f>
        <v>0</v>
      </c>
      <c r="K12" s="33"/>
      <c r="L12" s="33"/>
      <c r="M12" s="33"/>
      <c r="N12" s="33">
        <f>$C$32*'E Balans VL '!Y8/100/3.6*1000000</f>
        <v>277.05409292271548</v>
      </c>
      <c r="O12" s="33"/>
      <c r="P12" s="33"/>
      <c r="R12" s="32"/>
    </row>
    <row r="13" spans="1:18">
      <c r="A13" s="16" t="s">
        <v>495</v>
      </c>
      <c r="B13" s="248">
        <f ca="1">'lokale energieproductie'!N39+'lokale energieproductie'!N32</f>
        <v>9.75</v>
      </c>
      <c r="C13" s="248">
        <f ca="1">'lokale energieproductie'!O39+'lokale energieproductie'!O32</f>
        <v>13.928571428571431</v>
      </c>
      <c r="D13" s="309">
        <f ca="1">('lokale energieproductie'!P32+'lokale energieproductie'!P39)*(-1)</f>
        <v>-27.857142857142861</v>
      </c>
      <c r="E13" s="249"/>
      <c r="F13" s="309">
        <f ca="1">('lokale energieproductie'!S32+'lokale energieproductie'!S39)*(-1)</f>
        <v>0</v>
      </c>
      <c r="G13" s="250"/>
      <c r="H13" s="249"/>
      <c r="I13" s="249"/>
      <c r="J13" s="249"/>
      <c r="K13" s="249"/>
      <c r="L13" s="309">
        <f ca="1">('lokale energieproductie'!U32+'lokale energieproductie'!T32+'lokale energieproductie'!U39+'lokale energieproductie'!T39)*(-1)</f>
        <v>0</v>
      </c>
      <c r="M13" s="249"/>
      <c r="N13" s="309">
        <f ca="1">('lokale energieproductie'!Q32+'lokale energieproductie'!R32+'lokale energieproductie'!V32+'lokale energieproductie'!Q39+'lokale energieproductie'!R39+'lokale energieproductie'!V39)*(-1)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129486.71731916459</v>
      </c>
      <c r="C16" s="21">
        <f ca="1">C5+C13+C14</f>
        <v>13.928571428571431</v>
      </c>
      <c r="D16" s="21">
        <f t="shared" ref="D16:N16" ca="1" si="1">MAX((D5+D13+D14),0)</f>
        <v>160212.4805754931</v>
      </c>
      <c r="E16" s="21">
        <f t="shared" si="1"/>
        <v>2007.4210116356692</v>
      </c>
      <c r="F16" s="21">
        <f t="shared" ca="1" si="1"/>
        <v>26002.824347341801</v>
      </c>
      <c r="G16" s="21">
        <f t="shared" si="1"/>
        <v>0</v>
      </c>
      <c r="H16" s="21">
        <f t="shared" si="1"/>
        <v>0</v>
      </c>
      <c r="I16" s="21">
        <f t="shared" si="1"/>
        <v>0</v>
      </c>
      <c r="J16" s="21">
        <f t="shared" si="1"/>
        <v>0</v>
      </c>
      <c r="K16" s="21">
        <f t="shared" si="1"/>
        <v>0</v>
      </c>
      <c r="L16" s="21">
        <f t="shared" ca="1" si="1"/>
        <v>0</v>
      </c>
      <c r="M16" s="21">
        <f t="shared" si="1"/>
        <v>0</v>
      </c>
      <c r="N16" s="21">
        <f t="shared" ca="1" si="1"/>
        <v>3713.3313091936575</v>
      </c>
      <c r="O16" s="21">
        <f>O5</f>
        <v>9.3800000000000008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0.21445444590939589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27769.002215308017</v>
      </c>
      <c r="C20" s="23">
        <f t="shared" ref="C20:P20" ca="1" si="2">C16*C18</f>
        <v>3.3100840336134461</v>
      </c>
      <c r="D20" s="23">
        <f t="shared" ca="1" si="2"/>
        <v>32362.921076249608</v>
      </c>
      <c r="E20" s="23">
        <f t="shared" si="2"/>
        <v>455.68456964129689</v>
      </c>
      <c r="F20" s="23">
        <f t="shared" ca="1" si="2"/>
        <v>6942.7541007402615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27172.407149422499</v>
      </c>
      <c r="C26" s="39">
        <f>IF(ISERROR(B26*3.6/1000000/'E Balans VL '!Z12*100),0,B26*3.6/1000000/'E Balans VL '!Z12*100)</f>
        <v>0.57179824641426813</v>
      </c>
      <c r="D26" s="238" t="s">
        <v>718</v>
      </c>
      <c r="F26" s="6"/>
    </row>
    <row r="27" spans="1:18">
      <c r="A27" s="232" t="s">
        <v>52</v>
      </c>
      <c r="B27" s="33">
        <f>IF(ISERROR(TER_horeca_ele_kWh/1000),0,TER_horeca_ele_kWh/1000)</f>
        <v>9061.4103640565791</v>
      </c>
      <c r="C27" s="39">
        <f>IF(ISERROR(B27*3.6/1000000/'E Balans VL '!Z9*100),0,B27*3.6/1000000/'E Balans VL '!Z9*100)</f>
        <v>0.7672041531973447</v>
      </c>
      <c r="D27" s="238" t="s">
        <v>718</v>
      </c>
      <c r="F27" s="6"/>
    </row>
    <row r="28" spans="1:18">
      <c r="A28" s="172" t="s">
        <v>51</v>
      </c>
      <c r="B28" s="33">
        <f>IF(ISERROR(TER_handel_ele_kWh/1000),0,TER_handel_ele_kWh/1000)</f>
        <v>47642.641504831205</v>
      </c>
      <c r="C28" s="39">
        <f>IF(ISERROR(B28*3.6/1000000/'E Balans VL '!Z13*100),0,B28*3.6/1000000/'E Balans VL '!Z13*100)</f>
        <v>1.3189799420822497</v>
      </c>
      <c r="D28" s="238" t="s">
        <v>718</v>
      </c>
      <c r="F28" s="6"/>
    </row>
    <row r="29" spans="1:18">
      <c r="A29" s="232" t="s">
        <v>50</v>
      </c>
      <c r="B29" s="33">
        <f>IF(ISERROR(TER_gezond_ele_kWh/1000),0,TER_gezond_ele_kWh/1000)</f>
        <v>18577.197928946902</v>
      </c>
      <c r="C29" s="39">
        <f>IF(ISERROR(B29*3.6/1000000/'E Balans VL '!Z10*100),0,B29*3.6/1000000/'E Balans VL '!Z10*100)</f>
        <v>2.4148297785121402</v>
      </c>
      <c r="D29" s="238" t="s">
        <v>718</v>
      </c>
      <c r="F29" s="6"/>
    </row>
    <row r="30" spans="1:18">
      <c r="A30" s="232" t="s">
        <v>49</v>
      </c>
      <c r="B30" s="33">
        <f>IF(ISERROR(TER_ander_ele_kWh/1000),0,TER_ander_ele_kWh/1000)</f>
        <v>13152.274611130699</v>
      </c>
      <c r="C30" s="39">
        <f>IF(ISERROR(B30*3.6/1000000/'E Balans VL '!Z14*100),0,B30*3.6/1000000/'E Balans VL '!Z14*100)</f>
        <v>1.0194218979347598</v>
      </c>
      <c r="D30" s="238" t="s">
        <v>718</v>
      </c>
      <c r="F30" s="6"/>
    </row>
    <row r="31" spans="1:18">
      <c r="A31" s="232" t="s">
        <v>54</v>
      </c>
      <c r="B31" s="33">
        <f>IF(ISERROR(TER_onderwijs_ele_kWh/1000),0,TER_onderwijs_ele_kWh/1000)</f>
        <v>4102.7889627302802</v>
      </c>
      <c r="C31" s="39">
        <f>IF(ISERROR(B31*3.6/1000000/'E Balans VL '!Z11*100),0,B31*3.6/1000000/'E Balans VL '!Z11*100)</f>
        <v>0.78493343861478115</v>
      </c>
      <c r="D31" s="238" t="s">
        <v>718</v>
      </c>
    </row>
    <row r="32" spans="1:18">
      <c r="A32" s="232" t="s">
        <v>259</v>
      </c>
      <c r="B32" s="33">
        <f>IF(ISERROR(TER_rest_ele_kWh/1000),0,TER_rest_ele_kWh/1000)</f>
        <v>9768.2467980464298</v>
      </c>
      <c r="C32" s="39">
        <f>IF(ISERROR(B32*3.6/1000000/'E Balans VL '!Z8*100),0,B32*3.6/1000000/'E Balans VL '!Z8*100)</f>
        <v>8.0546696038634652E-2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6</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8</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78609.530362967052</v>
      </c>
      <c r="C5" s="17">
        <f>IF(ISERROR('Eigen informatie GS &amp; warmtenet'!B59),0,'Eigen informatie GS &amp; warmtenet'!B59)</f>
        <v>0</v>
      </c>
      <c r="D5" s="30">
        <f>SUM(D6:D15)</f>
        <v>54980.27899878387</v>
      </c>
      <c r="E5" s="17">
        <f>SUM(E6:E15)</f>
        <v>820.80293916665789</v>
      </c>
      <c r="F5" s="17">
        <f>SUM(F6:F15)</f>
        <v>20870.976521807112</v>
      </c>
      <c r="G5" s="18"/>
      <c r="H5" s="17"/>
      <c r="I5" s="17"/>
      <c r="J5" s="17">
        <f>SUM(J6:J15)</f>
        <v>422.54015459082598</v>
      </c>
      <c r="K5" s="17"/>
      <c r="L5" s="17"/>
      <c r="M5" s="17"/>
      <c r="N5" s="17">
        <f>SUM(N6:N15)</f>
        <v>1870.9634070992779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5417.5856427666704</v>
      </c>
      <c r="C8" s="33"/>
      <c r="D8" s="37">
        <f>IF( ISERROR(IND_metaal_Gas_kWH/1000),0,IND_metaal_Gas_kWH/1000)*0.902</f>
        <v>7941.730503542457</v>
      </c>
      <c r="E8" s="33">
        <f>C30*'E Balans VL '!I18/100/3.6*1000000</f>
        <v>38.068178975670072</v>
      </c>
      <c r="F8" s="33">
        <f>C30*'E Balans VL '!L18/100/3.6*1000000+C30*'E Balans VL '!N18/100/3.6*1000000</f>
        <v>594.81920757997977</v>
      </c>
      <c r="G8" s="34"/>
      <c r="H8" s="33"/>
      <c r="I8" s="33"/>
      <c r="J8" s="40">
        <f>C30*'E Balans VL '!D18/100/3.6*1000000+C30*'E Balans VL '!E18/100/3.6*1000000</f>
        <v>111.77646882979715</v>
      </c>
      <c r="K8" s="33"/>
      <c r="L8" s="33"/>
      <c r="M8" s="33"/>
      <c r="N8" s="33">
        <f>C30*'E Balans VL '!Y18/100/3.6*1000000</f>
        <v>20.305501163188964</v>
      </c>
      <c r="O8" s="33"/>
      <c r="P8" s="33"/>
      <c r="R8" s="32"/>
    </row>
    <row r="9" spans="1:18">
      <c r="A9" s="6" t="s">
        <v>32</v>
      </c>
      <c r="B9" s="37">
        <f t="shared" si="0"/>
        <v>12625.455837232501</v>
      </c>
      <c r="C9" s="33"/>
      <c r="D9" s="37">
        <f>IF( ISERROR(IND_andere_gas_kWh/1000),0,IND_andere_gas_kWh/1000)*0.902</f>
        <v>8223.0962276372229</v>
      </c>
      <c r="E9" s="33">
        <f>C31*'E Balans VL '!I19/100/3.6*1000000</f>
        <v>212.05999746354402</v>
      </c>
      <c r="F9" s="33">
        <f>C31*'E Balans VL '!L19/100/3.6*1000000+C31*'E Balans VL '!N19/100/3.6*1000000</f>
        <v>9869.8622812767589</v>
      </c>
      <c r="G9" s="34"/>
      <c r="H9" s="33"/>
      <c r="I9" s="33"/>
      <c r="J9" s="40">
        <f>C31*'E Balans VL '!D19/100/3.6*1000000+C31*'E Balans VL '!E19/100/3.6*1000000</f>
        <v>1.1387046667599852</v>
      </c>
      <c r="K9" s="33"/>
      <c r="L9" s="33"/>
      <c r="M9" s="33"/>
      <c r="N9" s="33">
        <f>C31*'E Balans VL '!Y19/100/3.6*1000000</f>
        <v>935.74883514521878</v>
      </c>
      <c r="O9" s="33"/>
      <c r="P9" s="33"/>
      <c r="R9" s="32"/>
    </row>
    <row r="10" spans="1:18">
      <c r="A10" s="6" t="s">
        <v>40</v>
      </c>
      <c r="B10" s="37">
        <f t="shared" si="0"/>
        <v>14219.8961600363</v>
      </c>
      <c r="C10" s="33"/>
      <c r="D10" s="37">
        <f>IF( ISERROR(IND_voed_gas_kWh/1000),0,IND_voed_gas_kWh/1000)*0.902</f>
        <v>7751.2589749785002</v>
      </c>
      <c r="E10" s="33">
        <f>C32*'E Balans VL '!I20/100/3.6*1000000</f>
        <v>129.73642348660601</v>
      </c>
      <c r="F10" s="33">
        <f>C32*'E Balans VL '!L20/100/3.6*1000000+C32*'E Balans VL '!N20/100/3.6*1000000</f>
        <v>2294.1140229367593</v>
      </c>
      <c r="G10" s="34"/>
      <c r="H10" s="33"/>
      <c r="I10" s="33"/>
      <c r="J10" s="40">
        <f>C32*'E Balans VL '!D20/100/3.6*1000000+C32*'E Balans VL '!E20/100/3.6*1000000</f>
        <v>58.566855402233301</v>
      </c>
      <c r="K10" s="33"/>
      <c r="L10" s="33"/>
      <c r="M10" s="33"/>
      <c r="N10" s="33">
        <f>C32*'E Balans VL '!Y20/100/3.6*1000000</f>
        <v>208.02586811851239</v>
      </c>
      <c r="O10" s="33"/>
      <c r="P10" s="33"/>
      <c r="R10" s="32"/>
    </row>
    <row r="11" spans="1:18">
      <c r="A11" s="6" t="s">
        <v>39</v>
      </c>
      <c r="B11" s="37">
        <f t="shared" si="0"/>
        <v>3941.76491200999</v>
      </c>
      <c r="C11" s="33"/>
      <c r="D11" s="37">
        <f>IF( ISERROR(IND_textiel_gas_kWh/1000),0,IND_textiel_gas_kWh/1000)*0.902</f>
        <v>5632.8759545229577</v>
      </c>
      <c r="E11" s="33">
        <f>C33*'E Balans VL '!I21/100/3.6*1000000</f>
        <v>8.9904345981647875</v>
      </c>
      <c r="F11" s="33">
        <f>C33*'E Balans VL '!L21/100/3.6*1000000+C33*'E Balans VL '!N21/100/3.6*1000000</f>
        <v>84.258880964698761</v>
      </c>
      <c r="G11" s="34"/>
      <c r="H11" s="33"/>
      <c r="I11" s="33"/>
      <c r="J11" s="40">
        <f>C33*'E Balans VL '!D21/100/3.6*1000000+C33*'E Balans VL '!E21/100/3.6*1000000</f>
        <v>0</v>
      </c>
      <c r="K11" s="33"/>
      <c r="L11" s="33"/>
      <c r="M11" s="33"/>
      <c r="N11" s="33">
        <f>C33*'E Balans VL '!Y21/100/3.6*1000000</f>
        <v>27.962348504084812</v>
      </c>
      <c r="O11" s="33"/>
      <c r="P11" s="33"/>
      <c r="R11" s="32"/>
    </row>
    <row r="12" spans="1:18">
      <c r="A12" s="6" t="s">
        <v>36</v>
      </c>
      <c r="B12" s="37">
        <f t="shared" si="0"/>
        <v>203.97534748624997</v>
      </c>
      <c r="C12" s="33"/>
      <c r="D12" s="37">
        <f>IF( ISERROR(IND_min_gas_kWh/1000),0,IND_min_gas_kWh/1000)*0.902</f>
        <v>0</v>
      </c>
      <c r="E12" s="33">
        <f>C34*'E Balans VL '!I22/100/3.6*1000000</f>
        <v>5.0592517513689437</v>
      </c>
      <c r="F12" s="33">
        <f>C34*'E Balans VL '!L22/100/3.6*1000000+C34*'E Balans VL '!N22/100/3.6*1000000</f>
        <v>21.674333733603444</v>
      </c>
      <c r="G12" s="34"/>
      <c r="H12" s="33"/>
      <c r="I12" s="33"/>
      <c r="J12" s="40">
        <f>C34*'E Balans VL '!D22/100/3.6*1000000+C34*'E Balans VL '!E22/100/3.6*1000000</f>
        <v>1.1586996587459746</v>
      </c>
      <c r="K12" s="33"/>
      <c r="L12" s="33"/>
      <c r="M12" s="33"/>
      <c r="N12" s="33">
        <f>C34*'E Balans VL '!Y22/100/3.6*1000000</f>
        <v>0</v>
      </c>
      <c r="O12" s="33"/>
      <c r="P12" s="33"/>
      <c r="R12" s="32"/>
    </row>
    <row r="13" spans="1:18">
      <c r="A13" s="6" t="s">
        <v>38</v>
      </c>
      <c r="B13" s="37">
        <f t="shared" si="0"/>
        <v>2728.50601422114</v>
      </c>
      <c r="C13" s="33"/>
      <c r="D13" s="37">
        <f>IF( ISERROR(IND_papier_gas_kWh/1000),0,IND_papier_gas_kWh/1000)*0.902</f>
        <v>1352.6949907222929</v>
      </c>
      <c r="E13" s="33">
        <f>C35*'E Balans VL '!I23/100/3.6*1000000</f>
        <v>83.949009291080642</v>
      </c>
      <c r="F13" s="33">
        <f>C35*'E Balans VL '!L23/100/3.6*1000000+C35*'E Balans VL '!N23/100/3.6*1000000</f>
        <v>579.35718247050545</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2358.67442363281</v>
      </c>
      <c r="C14" s="33"/>
      <c r="D14" s="37">
        <f>IF( ISERROR(IND_chemie_gas_kWh/1000),0,IND_chemie_gas_kWh/1000)*0.902</f>
        <v>719.07717126213993</v>
      </c>
      <c r="E14" s="33">
        <f>C36*'E Balans VL '!I24/100/3.6*1000000</f>
        <v>7.9975308725022112</v>
      </c>
      <c r="F14" s="33">
        <f>C36*'E Balans VL '!L24/100/3.6*1000000+C36*'E Balans VL '!N24/100/3.6*1000000</f>
        <v>7.5695576994393274</v>
      </c>
      <c r="G14" s="34"/>
      <c r="H14" s="33"/>
      <c r="I14" s="33"/>
      <c r="J14" s="40">
        <f>C36*'E Balans VL '!D24/100/3.6*1000000+C36*'E Balans VL '!E24/100/3.6*1000000</f>
        <v>0</v>
      </c>
      <c r="K14" s="33"/>
      <c r="L14" s="33"/>
      <c r="M14" s="33"/>
      <c r="N14" s="33">
        <f>C36*'E Balans VL '!Y24/100/3.6*1000000</f>
        <v>11.028522392764904</v>
      </c>
      <c r="O14" s="33"/>
      <c r="P14" s="33"/>
      <c r="R14" s="32"/>
    </row>
    <row r="15" spans="1:18">
      <c r="A15" s="6" t="s">
        <v>269</v>
      </c>
      <c r="B15" s="37">
        <f t="shared" si="0"/>
        <v>37113.6720255814</v>
      </c>
      <c r="C15" s="33"/>
      <c r="D15" s="37">
        <f>IF( ISERROR(IND_rest_gas_kWh/1000),0,IND_rest_gas_kWh/1000)*0.902</f>
        <v>23359.545176118299</v>
      </c>
      <c r="E15" s="33">
        <f>C37*'E Balans VL '!I15/100/3.6*1000000</f>
        <v>334.94211272772117</v>
      </c>
      <c r="F15" s="33">
        <f>C37*'E Balans VL '!L15/100/3.6*1000000+C37*'E Balans VL '!N15/100/3.6*1000000</f>
        <v>7419.3210551453676</v>
      </c>
      <c r="G15" s="34"/>
      <c r="H15" s="33"/>
      <c r="I15" s="33"/>
      <c r="J15" s="40">
        <f>C37*'E Balans VL '!D15/100/3.6*1000000+C37*'E Balans VL '!E15/100/3.6*1000000</f>
        <v>249.89942603328956</v>
      </c>
      <c r="K15" s="33"/>
      <c r="L15" s="33"/>
      <c r="M15" s="33"/>
      <c r="N15" s="33">
        <f>C37*'E Balans VL '!Y15/100/3.6*1000000</f>
        <v>667.89233177550807</v>
      </c>
      <c r="O15" s="33"/>
      <c r="P15" s="33"/>
      <c r="R15" s="32"/>
    </row>
    <row r="16" spans="1:18">
      <c r="A16" s="16" t="s">
        <v>495</v>
      </c>
      <c r="B16" s="248">
        <f>'lokale energieproductie'!N38+'lokale energieproductie'!N31</f>
        <v>0</v>
      </c>
      <c r="C16" s="248">
        <f>'lokale energieproductie'!O38+'lokale energieproductie'!O31</f>
        <v>0</v>
      </c>
      <c r="D16" s="309">
        <f>('lokale energieproductie'!P31+'lokale energieproductie'!P38)*(-1)</f>
        <v>0</v>
      </c>
      <c r="E16" s="249"/>
      <c r="F16" s="309">
        <f>('lokale energieproductie'!S31+'lokale energieproductie'!S38)*(-1)</f>
        <v>0</v>
      </c>
      <c r="G16" s="250"/>
      <c r="H16" s="249"/>
      <c r="I16" s="249"/>
      <c r="J16" s="249"/>
      <c r="K16" s="249"/>
      <c r="L16" s="309">
        <f>('lokale energieproductie'!T31+'lokale energieproductie'!U31+'lokale energieproductie'!T38+'lokale energieproductie'!U38)*(-1)</f>
        <v>0</v>
      </c>
      <c r="M16" s="249"/>
      <c r="N16" s="309">
        <f>('lokale energieproductie'!Q31+'lokale energieproductie'!R31+'lokale energieproductie'!V31+'lokale energieproductie'!Q38+'lokale energieproductie'!R38+'lokale energieproductie'!V38)*(-1)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78609.530362967052</v>
      </c>
      <c r="C18" s="21">
        <f>C5+C16</f>
        <v>0</v>
      </c>
      <c r="D18" s="21">
        <f>MAX((D5+D16),0)</f>
        <v>54980.27899878387</v>
      </c>
      <c r="E18" s="21">
        <f>MAX((E5+E16),0)</f>
        <v>820.80293916665789</v>
      </c>
      <c r="F18" s="21">
        <f>MAX((F5+F16),0)</f>
        <v>20870.976521807112</v>
      </c>
      <c r="G18" s="21"/>
      <c r="H18" s="21"/>
      <c r="I18" s="21"/>
      <c r="J18" s="21">
        <f>MAX((J5+J16),0)</f>
        <v>422.54015459082598</v>
      </c>
      <c r="K18" s="21"/>
      <c r="L18" s="21">
        <f>MAX((L5+L16),0)</f>
        <v>0</v>
      </c>
      <c r="M18" s="21"/>
      <c r="N18" s="21">
        <f>MAX((N5+N16),0)</f>
        <v>1870.9634070992779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0.21445444590939589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16858.16327718793</v>
      </c>
      <c r="C22" s="23">
        <f ca="1">C18*C20</f>
        <v>0</v>
      </c>
      <c r="D22" s="23">
        <f>D18*D20</f>
        <v>11106.016357754343</v>
      </c>
      <c r="E22" s="23">
        <f>E18*E20</f>
        <v>186.32226719083135</v>
      </c>
      <c r="F22" s="23">
        <f>F18*F20</f>
        <v>5572.5507313224989</v>
      </c>
      <c r="G22" s="23"/>
      <c r="H22" s="23"/>
      <c r="I22" s="23"/>
      <c r="J22" s="23">
        <f>J18*J20</f>
        <v>149.57921472515238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5417.5856427666704</v>
      </c>
      <c r="C30" s="39">
        <f>IF(ISERROR(B30*3.6/1000000/'E Balans VL '!Z18*100),0,B30*3.6/1000000/'E Balans VL '!Z18*100)</f>
        <v>0.36065198449399666</v>
      </c>
      <c r="D30" s="238" t="s">
        <v>718</v>
      </c>
    </row>
    <row r="31" spans="1:18">
      <c r="A31" s="6" t="s">
        <v>32</v>
      </c>
      <c r="B31" s="37">
        <f>IF( ISERROR(IND_ander_ele_kWh/1000),0,IND_ander_ele_kWh/1000)</f>
        <v>12625.455837232501</v>
      </c>
      <c r="C31" s="39">
        <f>IF(ISERROR(B31*3.6/1000000/'E Balans VL '!Z19*100),0,B31*3.6/1000000/'E Balans VL '!Z19*100)</f>
        <v>0.55963642325405427</v>
      </c>
      <c r="D31" s="238" t="s">
        <v>718</v>
      </c>
    </row>
    <row r="32" spans="1:18">
      <c r="A32" s="172" t="s">
        <v>40</v>
      </c>
      <c r="B32" s="37">
        <f>IF( ISERROR(IND_voed_ele_kWh/1000),0,IND_voed_ele_kWh/1000)</f>
        <v>14219.8961600363</v>
      </c>
      <c r="C32" s="39">
        <f>IF(ISERROR(B32*3.6/1000000/'E Balans VL '!Z20*100),0,B32*3.6/1000000/'E Balans VL '!Z20*100)</f>
        <v>0.47498532334783045</v>
      </c>
      <c r="D32" s="238" t="s">
        <v>718</v>
      </c>
    </row>
    <row r="33" spans="1:5">
      <c r="A33" s="172" t="s">
        <v>39</v>
      </c>
      <c r="B33" s="37">
        <f>IF( ISERROR(IND_textiel_ele_kWh/1000),0,IND_textiel_ele_kWh/1000)</f>
        <v>3941.76491200999</v>
      </c>
      <c r="C33" s="39">
        <f>IF(ISERROR(B33*3.6/1000000/'E Balans VL '!Z21*100),0,B33*3.6/1000000/'E Balans VL '!Z21*100)</f>
        <v>0.51894244053358762</v>
      </c>
      <c r="D33" s="238" t="s">
        <v>718</v>
      </c>
    </row>
    <row r="34" spans="1:5">
      <c r="A34" s="172" t="s">
        <v>36</v>
      </c>
      <c r="B34" s="37">
        <f>IF( ISERROR(IND_min_ele_kWh/1000),0,IND_min_ele_kWh/1000)</f>
        <v>203.97534748624997</v>
      </c>
      <c r="C34" s="39">
        <f>IF(ISERROR(B34*3.6/1000000/'E Balans VL '!Z22*100),0,B34*3.6/1000000/'E Balans VL '!Z22*100)</f>
        <v>3.9670964544243584E-2</v>
      </c>
      <c r="D34" s="238" t="s">
        <v>718</v>
      </c>
    </row>
    <row r="35" spans="1:5">
      <c r="A35" s="172" t="s">
        <v>38</v>
      </c>
      <c r="B35" s="37">
        <f>IF( ISERROR(IND_papier_ele_kWh/1000),0,IND_papier_ele_kWh/1000)</f>
        <v>2728.50601422114</v>
      </c>
      <c r="C35" s="39">
        <f>IF(ISERROR(B35*3.6/1000000/'E Balans VL '!Z22*100),0,B35*3.6/1000000/'E Balans VL '!Z22*100)</f>
        <v>0.53066444883109642</v>
      </c>
      <c r="D35" s="238" t="s">
        <v>718</v>
      </c>
    </row>
    <row r="36" spans="1:5">
      <c r="A36" s="172" t="s">
        <v>33</v>
      </c>
      <c r="B36" s="37">
        <f>IF( ISERROR(IND_chemie_ele_kWh/1000),0,IND_chemie_ele_kWh/1000)</f>
        <v>2358.67442363281</v>
      </c>
      <c r="C36" s="39">
        <f>IF(ISERROR(B36*3.6/1000000/'E Balans VL '!Z24*100),0,B36*3.6/1000000/'E Balans VL '!Z24*100)</f>
        <v>5.5388028316803298E-2</v>
      </c>
      <c r="D36" s="238" t="s">
        <v>718</v>
      </c>
    </row>
    <row r="37" spans="1:5">
      <c r="A37" s="172" t="s">
        <v>269</v>
      </c>
      <c r="B37" s="37">
        <f>IF( ISERROR(IND_rest_ele_kWh/1000),0,IND_rest_ele_kWh/1000)</f>
        <v>37113.6720255814</v>
      </c>
      <c r="C37" s="39">
        <f>IF(ISERROR(B37*3.6/1000000/'E Balans VL '!Z15*100),0,B37*3.6/1000000/'E Balans VL '!Z15*100)</f>
        <v>0.27606525652660724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4560.76743773829</v>
      </c>
      <c r="C5" s="17">
        <f>'Eigen informatie GS &amp; warmtenet'!B60</f>
        <v>0</v>
      </c>
      <c r="D5" s="30">
        <f>IF(ISERROR(SUM(LB_lb_gas_kWh,LB_rest_gas_kWh)/1000),0,SUM(LB_lb_gas_kWh,LB_rest_gas_kWh)/1000)*0.902</f>
        <v>1617.5295878050708</v>
      </c>
      <c r="E5" s="17">
        <f>B17*'E Balans VL '!I25/3.6*1000000/100</f>
        <v>47.761343973881104</v>
      </c>
      <c r="F5" s="17">
        <f>B17*('E Balans VL '!L25/3.6*1000000+'E Balans VL '!N25/3.6*1000000)/100</f>
        <v>19523.550080783287</v>
      </c>
      <c r="G5" s="18"/>
      <c r="H5" s="17"/>
      <c r="I5" s="17"/>
      <c r="J5" s="17">
        <f>('E Balans VL '!D25+'E Balans VL '!E25)/3.6*1000000*landbouw!B17/100</f>
        <v>407.31741104595318</v>
      </c>
      <c r="K5" s="17"/>
      <c r="L5" s="17">
        <f>L6*(-1)</f>
        <v>0</v>
      </c>
      <c r="M5" s="17"/>
      <c r="N5" s="17">
        <f>N6*(-1)</f>
        <v>0</v>
      </c>
      <c r="O5" s="17"/>
      <c r="P5" s="17"/>
      <c r="R5" s="32"/>
    </row>
    <row r="6" spans="1:18">
      <c r="A6" s="16" t="s">
        <v>495</v>
      </c>
      <c r="B6" s="17" t="s">
        <v>210</v>
      </c>
      <c r="C6" s="17">
        <f>'lokale energieproductie'!O40+'lokale energieproductie'!O33</f>
        <v>0</v>
      </c>
      <c r="D6" s="309">
        <f>('lokale energieproductie'!P33+'lokale energieproductie'!P40)*(-1)</f>
        <v>0</v>
      </c>
      <c r="E6" s="249"/>
      <c r="F6" s="309">
        <f>('lokale energieproductie'!S33+'lokale energieproductie'!S40)*(-1)</f>
        <v>0</v>
      </c>
      <c r="G6" s="250"/>
      <c r="H6" s="249"/>
      <c r="I6" s="249"/>
      <c r="J6" s="249"/>
      <c r="K6" s="249"/>
      <c r="L6" s="309">
        <f>('lokale energieproductie'!T33+'lokale energieproductie'!U33+'lokale energieproductie'!T40+'lokale energieproductie'!U40)*(-1)</f>
        <v>0</v>
      </c>
      <c r="M6" s="249"/>
      <c r="N6" s="309">
        <f>('lokale energieproductie'!V33+'lokale energieproductie'!R33+'lokale energieproductie'!Q33+'lokale energieproductie'!Q40+'lokale energieproductie'!R40+'lokale energieproductie'!V40)*(-1)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4560.76743773829</v>
      </c>
      <c r="C8" s="21">
        <f>C5+C6</f>
        <v>0</v>
      </c>
      <c r="D8" s="21">
        <f>MAX((D5+D6),0)</f>
        <v>1617.5295878050708</v>
      </c>
      <c r="E8" s="21">
        <f>MAX((E5+E6),0)</f>
        <v>47.761343973881104</v>
      </c>
      <c r="F8" s="21">
        <f>MAX((F5+F6),0)</f>
        <v>19523.550080783287</v>
      </c>
      <c r="G8" s="21"/>
      <c r="H8" s="21"/>
      <c r="I8" s="21"/>
      <c r="J8" s="21">
        <f>MAX((J5+J6),0)</f>
        <v>407.31741104595318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0.21445444590939589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978.07685378178019</v>
      </c>
      <c r="C12" s="23">
        <f ca="1">C8*C10</f>
        <v>0</v>
      </c>
      <c r="D12" s="23">
        <f>D8*D10</f>
        <v>326.7409767366243</v>
      </c>
      <c r="E12" s="23">
        <f>E8*E10</f>
        <v>10.841825082071011</v>
      </c>
      <c r="F12" s="23">
        <f>F8*F10</f>
        <v>5212.7878715691377</v>
      </c>
      <c r="G12" s="23"/>
      <c r="H12" s="23"/>
      <c r="I12" s="23"/>
      <c r="J12" s="23">
        <f>J8*J10</f>
        <v>144.19036351026742</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0.70199014774895596</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657.74276319918806</v>
      </c>
      <c r="C26" s="248">
        <f>B26*'GWP N2O_CH4'!B5</f>
        <v>13812.598027182948</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351.51365700956092</v>
      </c>
      <c r="C27" s="248">
        <f>B27*'GWP N2O_CH4'!B5</f>
        <v>7381.7867972007789</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9.1734421040256358</v>
      </c>
      <c r="C28" s="248">
        <f>B28*'GWP N2O_CH4'!B4</f>
        <v>2843.767052247947</v>
      </c>
      <c r="D28" s="50"/>
    </row>
    <row r="29" spans="1:4">
      <c r="A29" s="41" t="s">
        <v>276</v>
      </c>
      <c r="B29" s="248">
        <f>B34*'ha_N2O bodem landbouw'!B4</f>
        <v>34.116860491147101</v>
      </c>
      <c r="C29" s="248">
        <f>B29*'GWP N2O_CH4'!B4</f>
        <v>10576.226752255601</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5.6382592766612942E-3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1.1773864675363544E-5</v>
      </c>
      <c r="C5" s="443" t="s">
        <v>210</v>
      </c>
      <c r="D5" s="428">
        <f>SUM(D6:D11)</f>
        <v>6.925102130298221E-5</v>
      </c>
      <c r="E5" s="428">
        <f>SUM(E6:E11)</f>
        <v>7.343959065420653E-3</v>
      </c>
      <c r="F5" s="441" t="s">
        <v>210</v>
      </c>
      <c r="G5" s="428">
        <f>SUM(G6:G11)</f>
        <v>1.553003510071242</v>
      </c>
      <c r="H5" s="428">
        <f>SUM(H6:H11)</f>
        <v>0.23896068549968413</v>
      </c>
      <c r="I5" s="443" t="s">
        <v>210</v>
      </c>
      <c r="J5" s="443" t="s">
        <v>210</v>
      </c>
      <c r="K5" s="443" t="s">
        <v>210</v>
      </c>
      <c r="L5" s="443" t="s">
        <v>210</v>
      </c>
      <c r="M5" s="428">
        <f>SUM(M6:M11)</f>
        <v>7.7900292315012651E-2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4.3972197101560351E-6</v>
      </c>
      <c r="C6" s="429"/>
      <c r="D6" s="429">
        <f>vkm_GW_PW*SUMIFS(TableVerdeelsleutelVkm[CNG],TableVerdeelsleutelVkm[Voertuigtype],"Lichte voertuigen")*SUMIFS(TableECFTransport[EnergieConsumptieFactor (PJ per km)],TableECFTransport[Index],CONCATENATE($A6,"_CNG_CNG"))</f>
        <v>2.085713544860235E-5</v>
      </c>
      <c r="E6" s="431">
        <f>vkm_GW_PW*SUMIFS(TableVerdeelsleutelVkm[LPG],TableVerdeelsleutelVkm[Voertuigtype],"Lichte voertuigen")*SUMIFS(TableECFTransport[EnergieConsumptieFactor (PJ per km)],TableECFTransport[Index],CONCATENATE($A6,"_LPG_LPG"))</f>
        <v>2.1582784343856694E-3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0.29233355473723582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7.2787784785458304E-2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1.594355222469078E-2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0.18723100743534254</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5.1998384736954495E-6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8.065995667200258E-3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4.1308789572997196E-6</v>
      </c>
      <c r="C8" s="429"/>
      <c r="D8" s="431">
        <f>vkm_NGW_PW*SUMIFS(TableVerdeelsleutelVkm[CNG],TableVerdeelsleutelVkm[Voertuigtype],"Lichte voertuigen")*SUMIFS(TableECFTransport[EnergieConsumptieFactor (PJ per km)],TableECFTransport[Index],CONCATENATE($A8,"_CNG_CNG"))</f>
        <v>3.3149060250643149E-5</v>
      </c>
      <c r="E8" s="431">
        <f>vkm_NGW_PW*SUMIFS(TableVerdeelsleutelVkm[LPG],TableVerdeelsleutelVkm[Voertuigtype],"Lichte voertuigen")*SUMIFS(TableECFTransport[EnergieConsumptieFactor (PJ per km)],TableECFTransport[Index],CONCATENATE($A8,"_LPG_LPG"))</f>
        <v>3.2139782496667991E-3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0.41725049453463026</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0.10958994562615619</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2.3018693576040822E-2</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0.13474226603535119</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4.5057038940576735E-6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5.8047923210025817E-3</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3.2457660079077897E-6</v>
      </c>
      <c r="C10" s="429"/>
      <c r="D10" s="431">
        <f>vkm_SW_PW*SUMIFS(TableVerdeelsleutelVkm[CNG],TableVerdeelsleutelVkm[Voertuigtype],"Lichte voertuigen")*SUMIFS(TableECFTransport[EnergieConsumptieFactor (PJ per km)],TableECFTransport[Index],CONCATENATE($A10,"_CNG_CNG"))</f>
        <v>1.5244825603736708E-5</v>
      </c>
      <c r="E10" s="431">
        <f>vkm_SW_PW*SUMIFS(TableVerdeelsleutelVkm[LPG],TableVerdeelsleutelVkm[Voertuigtype],"Lichte voertuigen")*SUMIFS(TableECFTransport[EnergieConsumptieFactor (PJ per km)],TableECFTransport[Index],CONCATENATE($A10,"_LPG_LPG"))</f>
        <v>1.971702381368185E-3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0.24560048159933009</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5.6565202371103455E-2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1.3183684183417196E-2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0.27584570572935208</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8.0471745984219725E-6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1.1883574342661015E-2</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3.2705179653787622</v>
      </c>
      <c r="C14" s="21"/>
      <c r="D14" s="21">
        <f t="shared" ref="D14:M14" si="0">((D5)*10^9/3600)+D12</f>
        <v>19.236394806383945</v>
      </c>
      <c r="E14" s="21">
        <f t="shared" si="0"/>
        <v>2039.9886292835147</v>
      </c>
      <c r="F14" s="21"/>
      <c r="G14" s="21">
        <f t="shared" si="0"/>
        <v>431389.86390867835</v>
      </c>
      <c r="H14" s="21">
        <f t="shared" si="0"/>
        <v>66377.968194356697</v>
      </c>
      <c r="I14" s="21"/>
      <c r="J14" s="21"/>
      <c r="K14" s="21"/>
      <c r="L14" s="21"/>
      <c r="M14" s="21">
        <f t="shared" si="0"/>
        <v>21638.970087503512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0.21445444590939589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0.70137711810202719</v>
      </c>
      <c r="C18" s="23"/>
      <c r="D18" s="23">
        <f t="shared" ref="D18:M18" si="1">D14*D16</f>
        <v>3.8857517508895572</v>
      </c>
      <c r="E18" s="23">
        <f t="shared" si="1"/>
        <v>463.07741884735788</v>
      </c>
      <c r="F18" s="23"/>
      <c r="G18" s="23">
        <f t="shared" si="1"/>
        <v>115181.09366361712</v>
      </c>
      <c r="H18" s="23">
        <f t="shared" si="1"/>
        <v>16528.114080394818</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3.9917951603042484E-2</v>
      </c>
      <c r="H50" s="320">
        <f t="shared" si="2"/>
        <v>0</v>
      </c>
      <c r="I50" s="320">
        <f t="shared" si="2"/>
        <v>0</v>
      </c>
      <c r="J50" s="320">
        <f t="shared" si="2"/>
        <v>0</v>
      </c>
      <c r="K50" s="320">
        <f t="shared" si="2"/>
        <v>0</v>
      </c>
      <c r="L50" s="320">
        <f t="shared" si="2"/>
        <v>0</v>
      </c>
      <c r="M50" s="320">
        <f t="shared" si="2"/>
        <v>1.6974580785665103E-3</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3.9917951603042484E-2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1.6974580785665103E-3</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11088.319889734023</v>
      </c>
      <c r="H54" s="21">
        <f t="shared" si="3"/>
        <v>0</v>
      </c>
      <c r="I54" s="21">
        <f t="shared" si="3"/>
        <v>0</v>
      </c>
      <c r="J54" s="21">
        <f t="shared" si="3"/>
        <v>0</v>
      </c>
      <c r="K54" s="21">
        <f t="shared" si="3"/>
        <v>0</v>
      </c>
      <c r="L54" s="21">
        <f t="shared" si="3"/>
        <v>0</v>
      </c>
      <c r="M54" s="21">
        <f t="shared" si="3"/>
        <v>471.51613293514174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0.21445444590939589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2960.5814105589843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133272.03631916459</v>
      </c>
      <c r="D10" s="684">
        <f ca="1">tertiair!C16</f>
        <v>13.928571428571431</v>
      </c>
      <c r="E10" s="684">
        <f ca="1">tertiair!D16</f>
        <v>160212.4805754931</v>
      </c>
      <c r="F10" s="684">
        <f>tertiair!E16</f>
        <v>2007.4210116356692</v>
      </c>
      <c r="G10" s="684">
        <f ca="1">tertiair!F16</f>
        <v>26002.824347341801</v>
      </c>
      <c r="H10" s="684">
        <f>tertiair!G16</f>
        <v>0</v>
      </c>
      <c r="I10" s="684">
        <f>tertiair!H16</f>
        <v>0</v>
      </c>
      <c r="J10" s="684">
        <f>tertiair!I16</f>
        <v>0</v>
      </c>
      <c r="K10" s="684">
        <f>tertiair!J16</f>
        <v>0</v>
      </c>
      <c r="L10" s="684">
        <f>tertiair!K16</f>
        <v>0</v>
      </c>
      <c r="M10" s="684">
        <f ca="1">tertiair!L16</f>
        <v>0</v>
      </c>
      <c r="N10" s="684">
        <f>tertiair!M16</f>
        <v>0</v>
      </c>
      <c r="O10" s="684">
        <f ca="1">tertiair!N16</f>
        <v>3713.3313091936575</v>
      </c>
      <c r="P10" s="684">
        <f>tertiair!O16</f>
        <v>9.3800000000000008</v>
      </c>
      <c r="Q10" s="685">
        <f>tertiair!P16</f>
        <v>152.53333333333333</v>
      </c>
      <c r="R10" s="687">
        <f ca="1">SUM(C10:Q10)</f>
        <v>325383.93546759069</v>
      </c>
      <c r="S10" s="67"/>
    </row>
    <row r="11" spans="1:19" s="453" customFormat="1">
      <c r="A11" s="799" t="s">
        <v>224</v>
      </c>
      <c r="B11" s="804"/>
      <c r="C11" s="684">
        <f>huishoudens!B8</f>
        <v>119638.49010602513</v>
      </c>
      <c r="D11" s="684">
        <f>huishoudens!C8</f>
        <v>0</v>
      </c>
      <c r="E11" s="684">
        <f>huishoudens!D8</f>
        <v>288662.40441082465</v>
      </c>
      <c r="F11" s="684">
        <f>huishoudens!E8</f>
        <v>35625.48472335648</v>
      </c>
      <c r="G11" s="684">
        <f>huishoudens!F8</f>
        <v>45750.663735896451</v>
      </c>
      <c r="H11" s="684">
        <f>huishoudens!G8</f>
        <v>0</v>
      </c>
      <c r="I11" s="684">
        <f>huishoudens!H8</f>
        <v>0</v>
      </c>
      <c r="J11" s="684">
        <f>huishoudens!I8</f>
        <v>0</v>
      </c>
      <c r="K11" s="684">
        <f>huishoudens!J8</f>
        <v>13772.239587737982</v>
      </c>
      <c r="L11" s="684">
        <f>huishoudens!K8</f>
        <v>0</v>
      </c>
      <c r="M11" s="684">
        <f>huishoudens!L8</f>
        <v>0</v>
      </c>
      <c r="N11" s="684">
        <f>huishoudens!M8</f>
        <v>0</v>
      </c>
      <c r="O11" s="684">
        <f>huishoudens!N8</f>
        <v>42720.770273007882</v>
      </c>
      <c r="P11" s="684">
        <f>huishoudens!O8</f>
        <v>248.57000000000002</v>
      </c>
      <c r="Q11" s="685">
        <f>huishoudens!P8</f>
        <v>915.2</v>
      </c>
      <c r="R11" s="687">
        <f>SUM(C11:Q11)</f>
        <v>547333.82283684856</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78609.530362967052</v>
      </c>
      <c r="D13" s="684">
        <f>industrie!C18</f>
        <v>0</v>
      </c>
      <c r="E13" s="684">
        <f>industrie!D18</f>
        <v>54980.27899878387</v>
      </c>
      <c r="F13" s="684">
        <f>industrie!E18</f>
        <v>820.80293916665789</v>
      </c>
      <c r="G13" s="684">
        <f>industrie!F18</f>
        <v>20870.976521807112</v>
      </c>
      <c r="H13" s="684">
        <f>industrie!G18</f>
        <v>0</v>
      </c>
      <c r="I13" s="684">
        <f>industrie!H18</f>
        <v>0</v>
      </c>
      <c r="J13" s="684">
        <f>industrie!I18</f>
        <v>0</v>
      </c>
      <c r="K13" s="684">
        <f>industrie!J18</f>
        <v>422.54015459082598</v>
      </c>
      <c r="L13" s="684">
        <f>industrie!K18</f>
        <v>0</v>
      </c>
      <c r="M13" s="684">
        <f>industrie!L18</f>
        <v>0</v>
      </c>
      <c r="N13" s="684">
        <f>industrie!M18</f>
        <v>0</v>
      </c>
      <c r="O13" s="684">
        <f>industrie!N18</f>
        <v>1870.9634070992779</v>
      </c>
      <c r="P13" s="684">
        <f>industrie!O18</f>
        <v>0</v>
      </c>
      <c r="Q13" s="685">
        <f>industrie!P18</f>
        <v>0</v>
      </c>
      <c r="R13" s="687">
        <f>SUM(C13:Q13)</f>
        <v>157575.09238441481</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331520.05678815674</v>
      </c>
      <c r="D16" s="717">
        <f t="shared" ref="D16:R16" ca="1" si="0">SUM(D9:D15)</f>
        <v>13.928571428571431</v>
      </c>
      <c r="E16" s="717">
        <f t="shared" ca="1" si="0"/>
        <v>503855.16398510156</v>
      </c>
      <c r="F16" s="717">
        <f t="shared" si="0"/>
        <v>38453.708674158806</v>
      </c>
      <c r="G16" s="717">
        <f t="shared" ca="1" si="0"/>
        <v>92624.464605045359</v>
      </c>
      <c r="H16" s="717">
        <f t="shared" si="0"/>
        <v>0</v>
      </c>
      <c r="I16" s="717">
        <f t="shared" si="0"/>
        <v>0</v>
      </c>
      <c r="J16" s="717">
        <f t="shared" si="0"/>
        <v>0</v>
      </c>
      <c r="K16" s="717">
        <f t="shared" si="0"/>
        <v>14194.779742328808</v>
      </c>
      <c r="L16" s="717">
        <f t="shared" si="0"/>
        <v>0</v>
      </c>
      <c r="M16" s="717">
        <f t="shared" ca="1" si="0"/>
        <v>0</v>
      </c>
      <c r="N16" s="717">
        <f t="shared" si="0"/>
        <v>0</v>
      </c>
      <c r="O16" s="717">
        <f t="shared" ca="1" si="0"/>
        <v>48305.064989300816</v>
      </c>
      <c r="P16" s="717">
        <f t="shared" si="0"/>
        <v>257.95000000000005</v>
      </c>
      <c r="Q16" s="717">
        <f t="shared" si="0"/>
        <v>1067.7333333333333</v>
      </c>
      <c r="R16" s="717">
        <f t="shared" ca="1" si="0"/>
        <v>1030292.850688854</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11088.319889734023</v>
      </c>
      <c r="I19" s="684">
        <f>transport!H54</f>
        <v>0</v>
      </c>
      <c r="J19" s="684">
        <f>transport!I54</f>
        <v>0</v>
      </c>
      <c r="K19" s="684">
        <f>transport!J54</f>
        <v>0</v>
      </c>
      <c r="L19" s="684">
        <f>transport!K54</f>
        <v>0</v>
      </c>
      <c r="M19" s="684">
        <f>transport!L54</f>
        <v>0</v>
      </c>
      <c r="N19" s="684">
        <f>transport!M54</f>
        <v>471.51613293514174</v>
      </c>
      <c r="O19" s="684">
        <f>transport!N54</f>
        <v>0</v>
      </c>
      <c r="P19" s="684">
        <f>transport!O54</f>
        <v>0</v>
      </c>
      <c r="Q19" s="685">
        <f>transport!P54</f>
        <v>0</v>
      </c>
      <c r="R19" s="687">
        <f>SUM(C19:Q19)</f>
        <v>11559.836022669164</v>
      </c>
      <c r="S19" s="67"/>
    </row>
    <row r="20" spans="1:19" s="453" customFormat="1">
      <c r="A20" s="799" t="s">
        <v>306</v>
      </c>
      <c r="B20" s="804"/>
      <c r="C20" s="684">
        <f>transport!B14</f>
        <v>3.2705179653787622</v>
      </c>
      <c r="D20" s="684">
        <f>transport!C14</f>
        <v>0</v>
      </c>
      <c r="E20" s="684">
        <f>transport!D14</f>
        <v>19.236394806383945</v>
      </c>
      <c r="F20" s="684">
        <f>transport!E14</f>
        <v>2039.9886292835147</v>
      </c>
      <c r="G20" s="684">
        <f>transport!F14</f>
        <v>0</v>
      </c>
      <c r="H20" s="684">
        <f>transport!G14</f>
        <v>431389.86390867835</v>
      </c>
      <c r="I20" s="684">
        <f>transport!H14</f>
        <v>66377.968194356697</v>
      </c>
      <c r="J20" s="684">
        <f>transport!I14</f>
        <v>0</v>
      </c>
      <c r="K20" s="684">
        <f>transport!J14</f>
        <v>0</v>
      </c>
      <c r="L20" s="684">
        <f>transport!K14</f>
        <v>0</v>
      </c>
      <c r="M20" s="684">
        <f>transport!L14</f>
        <v>0</v>
      </c>
      <c r="N20" s="684">
        <f>transport!M14</f>
        <v>21638.970087503512</v>
      </c>
      <c r="O20" s="684">
        <f>transport!N14</f>
        <v>0</v>
      </c>
      <c r="P20" s="684">
        <f>transport!O14</f>
        <v>0</v>
      </c>
      <c r="Q20" s="685">
        <f>transport!P14</f>
        <v>0</v>
      </c>
      <c r="R20" s="687">
        <f>SUM(C20:Q20)</f>
        <v>521469.29773259384</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3.2705179653787622</v>
      </c>
      <c r="D22" s="802">
        <f t="shared" ref="D22:R22" si="1">SUM(D18:D21)</f>
        <v>0</v>
      </c>
      <c r="E22" s="802">
        <f t="shared" si="1"/>
        <v>19.236394806383945</v>
      </c>
      <c r="F22" s="802">
        <f t="shared" si="1"/>
        <v>2039.9886292835147</v>
      </c>
      <c r="G22" s="802">
        <f t="shared" si="1"/>
        <v>0</v>
      </c>
      <c r="H22" s="802">
        <f t="shared" si="1"/>
        <v>442478.18379841238</v>
      </c>
      <c r="I22" s="802">
        <f t="shared" si="1"/>
        <v>66377.968194356697</v>
      </c>
      <c r="J22" s="802">
        <f t="shared" si="1"/>
        <v>0</v>
      </c>
      <c r="K22" s="802">
        <f t="shared" si="1"/>
        <v>0</v>
      </c>
      <c r="L22" s="802">
        <f t="shared" si="1"/>
        <v>0</v>
      </c>
      <c r="M22" s="802">
        <f t="shared" si="1"/>
        <v>0</v>
      </c>
      <c r="N22" s="802">
        <f t="shared" si="1"/>
        <v>22110.486220438655</v>
      </c>
      <c r="O22" s="802">
        <f t="shared" si="1"/>
        <v>0</v>
      </c>
      <c r="P22" s="802">
        <f t="shared" si="1"/>
        <v>0</v>
      </c>
      <c r="Q22" s="802">
        <f t="shared" si="1"/>
        <v>0</v>
      </c>
      <c r="R22" s="802">
        <f t="shared" si="1"/>
        <v>533029.13375526306</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4560.76743773829</v>
      </c>
      <c r="D24" s="684">
        <f>+landbouw!C8</f>
        <v>0</v>
      </c>
      <c r="E24" s="684">
        <f>+landbouw!D8</f>
        <v>1617.5295878050708</v>
      </c>
      <c r="F24" s="684">
        <f>+landbouw!E8</f>
        <v>47.761343973881104</v>
      </c>
      <c r="G24" s="684">
        <f>+landbouw!F8</f>
        <v>19523.550080783287</v>
      </c>
      <c r="H24" s="684">
        <f>+landbouw!G8</f>
        <v>0</v>
      </c>
      <c r="I24" s="684">
        <f>+landbouw!H8</f>
        <v>0</v>
      </c>
      <c r="J24" s="684">
        <f>+landbouw!I8</f>
        <v>0</v>
      </c>
      <c r="K24" s="684">
        <f>+landbouw!J8</f>
        <v>407.31741104595318</v>
      </c>
      <c r="L24" s="684">
        <f>+landbouw!K8</f>
        <v>0</v>
      </c>
      <c r="M24" s="684">
        <f>+landbouw!L8</f>
        <v>0</v>
      </c>
      <c r="N24" s="684">
        <f>+landbouw!M8</f>
        <v>0</v>
      </c>
      <c r="O24" s="684">
        <f>+landbouw!N8</f>
        <v>0</v>
      </c>
      <c r="P24" s="684">
        <f>+landbouw!O8</f>
        <v>0</v>
      </c>
      <c r="Q24" s="685">
        <f>+landbouw!P8</f>
        <v>0</v>
      </c>
      <c r="R24" s="687">
        <f>SUM(C24:Q24)</f>
        <v>26156.925861346484</v>
      </c>
      <c r="S24" s="67"/>
    </row>
    <row r="25" spans="1:19" s="453" customFormat="1" ht="15" thickBot="1">
      <c r="A25" s="821" t="s">
        <v>912</v>
      </c>
      <c r="B25" s="978"/>
      <c r="C25" s="979">
        <f>IF(Onbekend_ele_kWh="---",0,Onbekend_ele_kWh)/1000+IF(REST_rest_ele_kWh="---",0,REST_rest_ele_kWh)/1000</f>
        <v>7448.0713535429504</v>
      </c>
      <c r="D25" s="979"/>
      <c r="E25" s="979">
        <f>IF(onbekend_gas_kWh="---",0,onbekend_gas_kWh)/1000+IF(REST_rest_gas_kWh="---",0,REST_rest_gas_kWh)/1000</f>
        <v>16860.265871520704</v>
      </c>
      <c r="F25" s="979"/>
      <c r="G25" s="979"/>
      <c r="H25" s="979"/>
      <c r="I25" s="979"/>
      <c r="J25" s="979"/>
      <c r="K25" s="979"/>
      <c r="L25" s="979"/>
      <c r="M25" s="979"/>
      <c r="N25" s="979"/>
      <c r="O25" s="979"/>
      <c r="P25" s="979"/>
      <c r="Q25" s="980"/>
      <c r="R25" s="687">
        <f>SUM(C25:Q25)</f>
        <v>24308.337225063653</v>
      </c>
      <c r="S25" s="67"/>
    </row>
    <row r="26" spans="1:19" s="453" customFormat="1" ht="15.75" thickBot="1">
      <c r="A26" s="690" t="s">
        <v>913</v>
      </c>
      <c r="B26" s="807"/>
      <c r="C26" s="802">
        <f>SUM(C24:C25)</f>
        <v>12008.83879128124</v>
      </c>
      <c r="D26" s="802">
        <f t="shared" ref="D26:R26" si="2">SUM(D24:D25)</f>
        <v>0</v>
      </c>
      <c r="E26" s="802">
        <f t="shared" si="2"/>
        <v>18477.795459325775</v>
      </c>
      <c r="F26" s="802">
        <f t="shared" si="2"/>
        <v>47.761343973881104</v>
      </c>
      <c r="G26" s="802">
        <f t="shared" si="2"/>
        <v>19523.550080783287</v>
      </c>
      <c r="H26" s="802">
        <f t="shared" si="2"/>
        <v>0</v>
      </c>
      <c r="I26" s="802">
        <f t="shared" si="2"/>
        <v>0</v>
      </c>
      <c r="J26" s="802">
        <f t="shared" si="2"/>
        <v>0</v>
      </c>
      <c r="K26" s="802">
        <f t="shared" si="2"/>
        <v>407.31741104595318</v>
      </c>
      <c r="L26" s="802">
        <f t="shared" si="2"/>
        <v>0</v>
      </c>
      <c r="M26" s="802">
        <f t="shared" si="2"/>
        <v>0</v>
      </c>
      <c r="N26" s="802">
        <f t="shared" si="2"/>
        <v>0</v>
      </c>
      <c r="O26" s="802">
        <f t="shared" si="2"/>
        <v>0</v>
      </c>
      <c r="P26" s="802">
        <f t="shared" si="2"/>
        <v>0</v>
      </c>
      <c r="Q26" s="802">
        <f t="shared" si="2"/>
        <v>0</v>
      </c>
      <c r="R26" s="802">
        <f t="shared" si="2"/>
        <v>50465.263086410137</v>
      </c>
      <c r="S26" s="67"/>
    </row>
    <row r="27" spans="1:19" s="453" customFormat="1" ht="17.25" thickTop="1" thickBot="1">
      <c r="A27" s="691" t="s">
        <v>115</v>
      </c>
      <c r="B27" s="794"/>
      <c r="C27" s="692">
        <f ca="1">C22+C16+C26</f>
        <v>343532.16609740333</v>
      </c>
      <c r="D27" s="692">
        <f t="shared" ref="D27:R27" ca="1" si="3">D22+D16+D26</f>
        <v>13.928571428571431</v>
      </c>
      <c r="E27" s="692">
        <f t="shared" ca="1" si="3"/>
        <v>522352.1958392337</v>
      </c>
      <c r="F27" s="692">
        <f t="shared" si="3"/>
        <v>40541.458647416199</v>
      </c>
      <c r="G27" s="692">
        <f t="shared" ca="1" si="3"/>
        <v>112148.01468582865</v>
      </c>
      <c r="H27" s="692">
        <f t="shared" si="3"/>
        <v>442478.18379841238</v>
      </c>
      <c r="I27" s="692">
        <f t="shared" si="3"/>
        <v>66377.968194356697</v>
      </c>
      <c r="J27" s="692">
        <f t="shared" si="3"/>
        <v>0</v>
      </c>
      <c r="K27" s="692">
        <f t="shared" si="3"/>
        <v>14602.097153374762</v>
      </c>
      <c r="L27" s="692">
        <f t="shared" si="3"/>
        <v>0</v>
      </c>
      <c r="M27" s="692">
        <f t="shared" ca="1" si="3"/>
        <v>0</v>
      </c>
      <c r="N27" s="692">
        <f t="shared" si="3"/>
        <v>22110.486220438655</v>
      </c>
      <c r="O27" s="692">
        <f t="shared" ca="1" si="3"/>
        <v>48305.064989300816</v>
      </c>
      <c r="P27" s="692">
        <f t="shared" si="3"/>
        <v>257.95000000000005</v>
      </c>
      <c r="Q27" s="692">
        <f t="shared" si="3"/>
        <v>1067.7333333333333</v>
      </c>
      <c r="R27" s="692">
        <f t="shared" ca="1" si="3"/>
        <v>1613787.2475305274</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28580.780704043325</v>
      </c>
      <c r="D40" s="684">
        <f ca="1">tertiair!C20</f>
        <v>3.3100840336134461</v>
      </c>
      <c r="E40" s="684">
        <f ca="1">tertiair!D20</f>
        <v>32362.921076249608</v>
      </c>
      <c r="F40" s="684">
        <f>tertiair!E20</f>
        <v>455.68456964129689</v>
      </c>
      <c r="G40" s="684">
        <f ca="1">tertiair!F20</f>
        <v>6942.7541007402615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68345.450534708099</v>
      </c>
    </row>
    <row r="41" spans="1:18">
      <c r="A41" s="812" t="s">
        <v>224</v>
      </c>
      <c r="B41" s="819"/>
      <c r="C41" s="684">
        <f ca="1">huishoudens!B12</f>
        <v>25657.006105124361</v>
      </c>
      <c r="D41" s="684">
        <f ca="1">huishoudens!C12</f>
        <v>0</v>
      </c>
      <c r="E41" s="684">
        <f>huishoudens!D12</f>
        <v>58309.805690986585</v>
      </c>
      <c r="F41" s="684">
        <f>huishoudens!E12</f>
        <v>8086.9850322019211</v>
      </c>
      <c r="G41" s="684">
        <f>huishoudens!F12</f>
        <v>12215.427217484354</v>
      </c>
      <c r="H41" s="684">
        <f>huishoudens!G12</f>
        <v>0</v>
      </c>
      <c r="I41" s="684">
        <f>huishoudens!H12</f>
        <v>0</v>
      </c>
      <c r="J41" s="684">
        <f>huishoudens!I12</f>
        <v>0</v>
      </c>
      <c r="K41" s="684">
        <f>huishoudens!J12</f>
        <v>4875.3728140592457</v>
      </c>
      <c r="L41" s="684">
        <f>huishoudens!K12</f>
        <v>0</v>
      </c>
      <c r="M41" s="684">
        <f>huishoudens!L12</f>
        <v>0</v>
      </c>
      <c r="N41" s="684">
        <f>huishoudens!M12</f>
        <v>0</v>
      </c>
      <c r="O41" s="684">
        <f>huishoudens!N12</f>
        <v>0</v>
      </c>
      <c r="P41" s="684">
        <f>huishoudens!O12</f>
        <v>0</v>
      </c>
      <c r="Q41" s="759">
        <f>huishoudens!P12</f>
        <v>0</v>
      </c>
      <c r="R41" s="840">
        <f t="shared" ca="1" si="4"/>
        <v>109144.59685985645</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16858.16327718793</v>
      </c>
      <c r="D43" s="684">
        <f ca="1">industrie!C22</f>
        <v>0</v>
      </c>
      <c r="E43" s="684">
        <f>industrie!D22</f>
        <v>11106.016357754343</v>
      </c>
      <c r="F43" s="684">
        <f>industrie!E22</f>
        <v>186.32226719083135</v>
      </c>
      <c r="G43" s="684">
        <f>industrie!F22</f>
        <v>5572.5507313224989</v>
      </c>
      <c r="H43" s="684">
        <f>industrie!G22</f>
        <v>0</v>
      </c>
      <c r="I43" s="684">
        <f>industrie!H22</f>
        <v>0</v>
      </c>
      <c r="J43" s="684">
        <f>industrie!I22</f>
        <v>0</v>
      </c>
      <c r="K43" s="684">
        <f>industrie!J22</f>
        <v>149.57921472515238</v>
      </c>
      <c r="L43" s="684">
        <f>industrie!K22</f>
        <v>0</v>
      </c>
      <c r="M43" s="684">
        <f>industrie!L22</f>
        <v>0</v>
      </c>
      <c r="N43" s="684">
        <f>industrie!M22</f>
        <v>0</v>
      </c>
      <c r="O43" s="684">
        <f>industrie!N22</f>
        <v>0</v>
      </c>
      <c r="P43" s="684">
        <f>industrie!O22</f>
        <v>0</v>
      </c>
      <c r="Q43" s="759">
        <f>industrie!P22</f>
        <v>0</v>
      </c>
      <c r="R43" s="839">
        <f t="shared" ca="1" si="4"/>
        <v>33872.631848180761</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71095.950086355617</v>
      </c>
      <c r="D46" s="717">
        <f t="shared" ref="D46:Q46" ca="1" si="5">SUM(D39:D45)</f>
        <v>3.3100840336134461</v>
      </c>
      <c r="E46" s="717">
        <f t="shared" ca="1" si="5"/>
        <v>101778.74312499053</v>
      </c>
      <c r="F46" s="717">
        <f t="shared" si="5"/>
        <v>8728.9918690340492</v>
      </c>
      <c r="G46" s="717">
        <f t="shared" ca="1" si="5"/>
        <v>24730.732049547114</v>
      </c>
      <c r="H46" s="717">
        <f t="shared" si="5"/>
        <v>0</v>
      </c>
      <c r="I46" s="717">
        <f t="shared" si="5"/>
        <v>0</v>
      </c>
      <c r="J46" s="717">
        <f t="shared" si="5"/>
        <v>0</v>
      </c>
      <c r="K46" s="717">
        <f t="shared" si="5"/>
        <v>5024.952028784398</v>
      </c>
      <c r="L46" s="717">
        <f t="shared" si="5"/>
        <v>0</v>
      </c>
      <c r="M46" s="717">
        <f t="shared" ca="1" si="5"/>
        <v>0</v>
      </c>
      <c r="N46" s="717">
        <f t="shared" si="5"/>
        <v>0</v>
      </c>
      <c r="O46" s="717">
        <f t="shared" ca="1" si="5"/>
        <v>0</v>
      </c>
      <c r="P46" s="717">
        <f t="shared" si="5"/>
        <v>0</v>
      </c>
      <c r="Q46" s="717">
        <f t="shared" si="5"/>
        <v>0</v>
      </c>
      <c r="R46" s="717">
        <f ca="1">SUM(R39:R45)</f>
        <v>211362.6792427453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2960.5814105589843</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2960.5814105589843</v>
      </c>
    </row>
    <row r="50" spans="1:18">
      <c r="A50" s="815" t="s">
        <v>306</v>
      </c>
      <c r="B50" s="825"/>
      <c r="C50" s="985">
        <f ca="1">transport!B18</f>
        <v>0.70137711810202719</v>
      </c>
      <c r="D50" s="985">
        <f>transport!C18</f>
        <v>0</v>
      </c>
      <c r="E50" s="985">
        <f>transport!D18</f>
        <v>3.8857517508895572</v>
      </c>
      <c r="F50" s="985">
        <f>transport!E18</f>
        <v>463.07741884735788</v>
      </c>
      <c r="G50" s="985">
        <f>transport!F18</f>
        <v>0</v>
      </c>
      <c r="H50" s="985">
        <f>transport!G18</f>
        <v>115181.09366361712</v>
      </c>
      <c r="I50" s="985">
        <f>transport!H18</f>
        <v>16528.114080394818</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132176.8722917283</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0.70137711810202719</v>
      </c>
      <c r="D52" s="717">
        <f t="shared" ref="D52:Q52" ca="1" si="6">SUM(D48:D51)</f>
        <v>0</v>
      </c>
      <c r="E52" s="717">
        <f t="shared" si="6"/>
        <v>3.8857517508895572</v>
      </c>
      <c r="F52" s="717">
        <f t="shared" si="6"/>
        <v>463.07741884735788</v>
      </c>
      <c r="G52" s="717">
        <f t="shared" si="6"/>
        <v>0</v>
      </c>
      <c r="H52" s="717">
        <f t="shared" si="6"/>
        <v>118141.67507417611</v>
      </c>
      <c r="I52" s="717">
        <f t="shared" si="6"/>
        <v>16528.114080394818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135137.45370228728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978.07685378178019</v>
      </c>
      <c r="D54" s="985">
        <f ca="1">+landbouw!C12</f>
        <v>0</v>
      </c>
      <c r="E54" s="985">
        <f>+landbouw!D12</f>
        <v>326.7409767366243</v>
      </c>
      <c r="F54" s="985">
        <f>+landbouw!E12</f>
        <v>10.841825082071011</v>
      </c>
      <c r="G54" s="985">
        <f>+landbouw!F12</f>
        <v>5212.7878715691377</v>
      </c>
      <c r="H54" s="985">
        <f>+landbouw!G12</f>
        <v>0</v>
      </c>
      <c r="I54" s="985">
        <f>+landbouw!H12</f>
        <v>0</v>
      </c>
      <c r="J54" s="985">
        <f>+landbouw!I12</f>
        <v>0</v>
      </c>
      <c r="K54" s="985">
        <f>+landbouw!J12</f>
        <v>144.19036351026742</v>
      </c>
      <c r="L54" s="985">
        <f>+landbouw!K12</f>
        <v>0</v>
      </c>
      <c r="M54" s="985">
        <f>+landbouw!L12</f>
        <v>0</v>
      </c>
      <c r="N54" s="985">
        <f>+landbouw!M12</f>
        <v>0</v>
      </c>
      <c r="O54" s="985">
        <f>+landbouw!N12</f>
        <v>0</v>
      </c>
      <c r="P54" s="985">
        <f>+landbouw!O12</f>
        <v>0</v>
      </c>
      <c r="Q54" s="986">
        <f>+landbouw!P12</f>
        <v>0</v>
      </c>
      <c r="R54" s="716">
        <f ca="1">SUM(C54:Q54)</f>
        <v>6672.63789067988</v>
      </c>
    </row>
    <row r="55" spans="1:18" ht="15" thickBot="1">
      <c r="A55" s="815" t="s">
        <v>912</v>
      </c>
      <c r="B55" s="825"/>
      <c r="C55" s="985">
        <f ca="1">C25*'EF ele_warmte'!B12</f>
        <v>1597.2720152176976</v>
      </c>
      <c r="D55" s="985"/>
      <c r="E55" s="985">
        <f>E25*EF_CO2_aardgas</f>
        <v>3405.7737060471823</v>
      </c>
      <c r="F55" s="985"/>
      <c r="G55" s="985"/>
      <c r="H55" s="985"/>
      <c r="I55" s="985"/>
      <c r="J55" s="985"/>
      <c r="K55" s="985"/>
      <c r="L55" s="985"/>
      <c r="M55" s="985"/>
      <c r="N55" s="985"/>
      <c r="O55" s="985"/>
      <c r="P55" s="985"/>
      <c r="Q55" s="986"/>
      <c r="R55" s="716">
        <f ca="1">SUM(C55:Q55)</f>
        <v>5003.0457212648798</v>
      </c>
    </row>
    <row r="56" spans="1:18" ht="15.75" thickBot="1">
      <c r="A56" s="813" t="s">
        <v>913</v>
      </c>
      <c r="B56" s="826"/>
      <c r="C56" s="717">
        <f ca="1">SUM(C54:C55)</f>
        <v>2575.3488689994779</v>
      </c>
      <c r="D56" s="717">
        <f t="shared" ref="D56:Q56" ca="1" si="7">SUM(D54:D55)</f>
        <v>0</v>
      </c>
      <c r="E56" s="717">
        <f t="shared" si="7"/>
        <v>3732.5146827838066</v>
      </c>
      <c r="F56" s="717">
        <f t="shared" si="7"/>
        <v>10.841825082071011</v>
      </c>
      <c r="G56" s="717">
        <f t="shared" si="7"/>
        <v>5212.7878715691377</v>
      </c>
      <c r="H56" s="717">
        <f t="shared" si="7"/>
        <v>0</v>
      </c>
      <c r="I56" s="717">
        <f t="shared" si="7"/>
        <v>0</v>
      </c>
      <c r="J56" s="717">
        <f t="shared" si="7"/>
        <v>0</v>
      </c>
      <c r="K56" s="717">
        <f t="shared" si="7"/>
        <v>144.19036351026742</v>
      </c>
      <c r="L56" s="717">
        <f t="shared" si="7"/>
        <v>0</v>
      </c>
      <c r="M56" s="717">
        <f t="shared" si="7"/>
        <v>0</v>
      </c>
      <c r="N56" s="717">
        <f t="shared" si="7"/>
        <v>0</v>
      </c>
      <c r="O56" s="717">
        <f t="shared" si="7"/>
        <v>0</v>
      </c>
      <c r="P56" s="717">
        <f t="shared" si="7"/>
        <v>0</v>
      </c>
      <c r="Q56" s="718">
        <f t="shared" si="7"/>
        <v>0</v>
      </c>
      <c r="R56" s="719">
        <f ca="1">SUM(R54:R55)</f>
        <v>11675.68361194476</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73672.00033247321</v>
      </c>
      <c r="D61" s="725">
        <f t="shared" ref="D61:Q61" ca="1" si="8">D46+D52+D56</f>
        <v>3.3100840336134461</v>
      </c>
      <c r="E61" s="725">
        <f t="shared" ca="1" si="8"/>
        <v>105515.14355952523</v>
      </c>
      <c r="F61" s="725">
        <f t="shared" si="8"/>
        <v>9202.9111129634784</v>
      </c>
      <c r="G61" s="725">
        <f t="shared" ca="1" si="8"/>
        <v>29943.519921116251</v>
      </c>
      <c r="H61" s="725">
        <f t="shared" si="8"/>
        <v>118141.67507417611</v>
      </c>
      <c r="I61" s="725">
        <f t="shared" si="8"/>
        <v>16528.114080394818</v>
      </c>
      <c r="J61" s="725">
        <f t="shared" si="8"/>
        <v>0</v>
      </c>
      <c r="K61" s="725">
        <f t="shared" si="8"/>
        <v>5169.1423922946651</v>
      </c>
      <c r="L61" s="725">
        <f t="shared" si="8"/>
        <v>0</v>
      </c>
      <c r="M61" s="725">
        <f t="shared" ca="1" si="8"/>
        <v>0</v>
      </c>
      <c r="N61" s="725">
        <f t="shared" si="8"/>
        <v>0</v>
      </c>
      <c r="O61" s="725">
        <f t="shared" ca="1" si="8"/>
        <v>0</v>
      </c>
      <c r="P61" s="725">
        <f t="shared" si="8"/>
        <v>0</v>
      </c>
      <c r="Q61" s="725">
        <f t="shared" si="8"/>
        <v>0</v>
      </c>
      <c r="R61" s="725">
        <f ca="1">R46+R52+R56</f>
        <v>358175.81655697734</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0.21445444590939597</v>
      </c>
      <c r="D63" s="769">
        <f t="shared" ca="1" si="9"/>
        <v>0.23764705882352943</v>
      </c>
      <c r="E63" s="987">
        <f t="shared" ca="1" si="9"/>
        <v>0.20200000000000004</v>
      </c>
      <c r="F63" s="769">
        <f t="shared" si="9"/>
        <v>0.22700000000000004</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10175.432958717127</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9.75</v>
      </c>
      <c r="D76" s="997">
        <f>'lokale energieproductie'!C8</f>
        <v>11.47058823529412</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2.3170588235294125</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10175.432958717127</v>
      </c>
      <c r="C78" s="740">
        <f>SUM(C72:C77)</f>
        <v>9.75</v>
      </c>
      <c r="D78" s="741">
        <f t="shared" ref="D78:H78" si="10">SUM(D76:D77)</f>
        <v>11.47058823529412</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2.3170588235294125</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13.928571428571431</v>
      </c>
      <c r="D87" s="762">
        <f>'lokale energieproductie'!C17</f>
        <v>16.386554621848742</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3.3100840336134461</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13.928571428571431</v>
      </c>
      <c r="D90" s="740">
        <f t="shared" ref="D90:H90" si="12">SUM(D87:D89)</f>
        <v>16.386554621848742</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3.3100840336134461</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07" zoomScale="65" zoomScaleNormal="65" workbookViewId="0">
      <selection activeCell="M29" sqref="M2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10175.432958717127</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N30</f>
        <v>9.75</v>
      </c>
      <c r="C8" s="554">
        <f>B49</f>
        <v>11.47058823529412</v>
      </c>
      <c r="D8" s="975"/>
      <c r="E8" s="975">
        <f>E49</f>
        <v>0</v>
      </c>
      <c r="F8" s="976"/>
      <c r="G8" s="555"/>
      <c r="H8" s="975">
        <f>I49</f>
        <v>0</v>
      </c>
      <c r="I8" s="975">
        <f>G49+F49</f>
        <v>0</v>
      </c>
      <c r="J8" s="975">
        <f>H49+D49+C49</f>
        <v>0</v>
      </c>
      <c r="K8" s="975"/>
      <c r="L8" s="975"/>
      <c r="M8" s="975"/>
      <c r="N8" s="556"/>
      <c r="O8" s="557">
        <f>C8*$C$12+D8*$D$12+E8*$E$12+F8*$F$12+G8*$G$12+H8*$H$12+I8*$I$12+J8*$J$12</f>
        <v>2.3170588235294125</v>
      </c>
      <c r="P8" s="1236"/>
      <c r="Q8" s="1237"/>
      <c r="S8" s="1008"/>
      <c r="T8" s="1224"/>
      <c r="U8" s="1224"/>
    </row>
    <row r="9" spans="1:21" s="542" customFormat="1" ht="17.45" customHeight="1" thickBot="1">
      <c r="A9" s="558" t="s">
        <v>247</v>
      </c>
      <c r="B9" s="1012">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10185.182958717127</v>
      </c>
      <c r="C10" s="566">
        <f t="shared" ref="C10:L10" si="0">SUM(C8:C9)</f>
        <v>11.47058823529412</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2.3170588235294125</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O30</f>
        <v>13.928571428571431</v>
      </c>
      <c r="C17" s="578">
        <f>B50</f>
        <v>16.386554621848742</v>
      </c>
      <c r="D17" s="579"/>
      <c r="E17" s="579">
        <f>E50</f>
        <v>0</v>
      </c>
      <c r="F17" s="580"/>
      <c r="G17" s="581"/>
      <c r="H17" s="578">
        <f>I50</f>
        <v>0</v>
      </c>
      <c r="I17" s="579">
        <f>G50+F50</f>
        <v>0</v>
      </c>
      <c r="J17" s="579">
        <f>H50+D50+C50</f>
        <v>0</v>
      </c>
      <c r="K17" s="579"/>
      <c r="L17" s="579"/>
      <c r="M17" s="579"/>
      <c r="N17" s="971"/>
      <c r="O17" s="582">
        <f>C17*$C$22+E17*$E$22+H17*$H$22+I17*$I$22+J17*$J$22+D17*$D$22+F17*$F$22+G17*$G$22+K17*$K$22+L17*$L$22</f>
        <v>3.3100840336134461</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13.928571428571431</v>
      </c>
      <c r="C20" s="565">
        <f>SUM(C17:C19)</f>
        <v>16.386554621848742</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3.3100840336134461</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46021</v>
      </c>
      <c r="C28" s="785">
        <v>9100</v>
      </c>
      <c r="D28" s="638" t="s">
        <v>971</v>
      </c>
      <c r="E28" s="637" t="s">
        <v>972</v>
      </c>
      <c r="F28" s="637" t="s">
        <v>973</v>
      </c>
      <c r="G28" s="637" t="s">
        <v>974</v>
      </c>
      <c r="H28" s="637" t="s">
        <v>975</v>
      </c>
      <c r="I28" s="637" t="s">
        <v>972</v>
      </c>
      <c r="J28" s="784">
        <v>40688</v>
      </c>
      <c r="K28" s="784">
        <v>40787</v>
      </c>
      <c r="L28" s="637" t="s">
        <v>976</v>
      </c>
      <c r="M28" s="637">
        <v>5</v>
      </c>
      <c r="N28" s="637">
        <v>5.625</v>
      </c>
      <c r="O28" s="637">
        <v>8.0357142857142865</v>
      </c>
      <c r="P28" s="637">
        <v>16.071428571428573</v>
      </c>
      <c r="Q28" s="637">
        <v>0</v>
      </c>
      <c r="R28" s="637">
        <v>0</v>
      </c>
      <c r="S28" s="637">
        <v>0</v>
      </c>
      <c r="T28" s="637">
        <v>0</v>
      </c>
      <c r="U28" s="637">
        <v>0</v>
      </c>
      <c r="V28" s="637">
        <v>0</v>
      </c>
      <c r="W28" s="637">
        <v>0</v>
      </c>
      <c r="X28" s="637">
        <v>1600</v>
      </c>
      <c r="Y28" s="637" t="s">
        <v>49</v>
      </c>
      <c r="Z28" s="639" t="s">
        <v>155</v>
      </c>
    </row>
    <row r="29" spans="1:26" s="591" customFormat="1" ht="63.75">
      <c r="A29" s="590"/>
      <c r="B29" s="785">
        <v>46021</v>
      </c>
      <c r="C29" s="785">
        <v>9100</v>
      </c>
      <c r="D29" s="638" t="s">
        <v>977</v>
      </c>
      <c r="E29" s="637" t="s">
        <v>978</v>
      </c>
      <c r="F29" s="637" t="s">
        <v>979</v>
      </c>
      <c r="G29" s="637" t="s">
        <v>974</v>
      </c>
      <c r="H29" s="637" t="s">
        <v>975</v>
      </c>
      <c r="I29" s="637" t="s">
        <v>978</v>
      </c>
      <c r="J29" s="784">
        <v>40735</v>
      </c>
      <c r="K29" s="784">
        <v>40817</v>
      </c>
      <c r="L29" s="637" t="s">
        <v>976</v>
      </c>
      <c r="M29" s="637">
        <v>5.5</v>
      </c>
      <c r="N29" s="637">
        <v>4.125</v>
      </c>
      <c r="O29" s="637">
        <v>5.8928571428571432</v>
      </c>
      <c r="P29" s="637">
        <v>11.785714285714286</v>
      </c>
      <c r="Q29" s="637">
        <v>0</v>
      </c>
      <c r="R29" s="637">
        <v>0</v>
      </c>
      <c r="S29" s="637">
        <v>0</v>
      </c>
      <c r="T29" s="637">
        <v>0</v>
      </c>
      <c r="U29" s="637">
        <v>0</v>
      </c>
      <c r="V29" s="637">
        <v>0</v>
      </c>
      <c r="W29" s="637">
        <v>0</v>
      </c>
      <c r="X29" s="637">
        <v>1600</v>
      </c>
      <c r="Y29" s="637" t="s">
        <v>49</v>
      </c>
      <c r="Z29" s="639" t="s">
        <v>155</v>
      </c>
    </row>
    <row r="30" spans="1:26" s="573" customFormat="1">
      <c r="A30" s="593" t="s">
        <v>279</v>
      </c>
      <c r="B30" s="594"/>
      <c r="C30" s="594"/>
      <c r="D30" s="594"/>
      <c r="E30" s="594"/>
      <c r="F30" s="594"/>
      <c r="G30" s="594"/>
      <c r="H30" s="594"/>
      <c r="I30" s="594"/>
      <c r="J30" s="594"/>
      <c r="K30" s="594"/>
      <c r="L30" s="595"/>
      <c r="M30" s="595">
        <f>SUM(M28:M29)</f>
        <v>10.5</v>
      </c>
      <c r="N30" s="595">
        <f>SUM(N28:N29)</f>
        <v>9.75</v>
      </c>
      <c r="O30" s="595">
        <f>SUM(O28:O29)</f>
        <v>13.928571428571431</v>
      </c>
      <c r="P30" s="595">
        <f>SUM(P28:P29)</f>
        <v>27.857142857142861</v>
      </c>
      <c r="Q30" s="595">
        <f>SUM(Q28:Q29)</f>
        <v>0</v>
      </c>
      <c r="R30" s="595">
        <f>SUM(R28:R29)</f>
        <v>0</v>
      </c>
      <c r="S30" s="595">
        <f>SUM(S28:S29)</f>
        <v>0</v>
      </c>
      <c r="T30" s="595">
        <f>SUM(T28:T29)</f>
        <v>0</v>
      </c>
      <c r="U30" s="595">
        <f>SUM(U28:U29)</f>
        <v>0</v>
      </c>
      <c r="V30" s="595">
        <f>SUM(V28:V29)</f>
        <v>0</v>
      </c>
      <c r="W30" s="595">
        <f>SUM(W28:W29)</f>
        <v>0</v>
      </c>
      <c r="X30" s="596"/>
      <c r="Y30" s="596"/>
      <c r="Z30" s="597"/>
    </row>
    <row r="31" spans="1:26" s="573" customFormat="1">
      <c r="A31" s="593" t="s">
        <v>286</v>
      </c>
      <c r="B31" s="594"/>
      <c r="C31" s="594"/>
      <c r="D31" s="594"/>
      <c r="E31" s="594"/>
      <c r="F31" s="594"/>
      <c r="G31" s="594"/>
      <c r="H31" s="594"/>
      <c r="I31" s="594"/>
      <c r="J31" s="594"/>
      <c r="K31" s="594"/>
      <c r="L31" s="595"/>
      <c r="M31" s="595">
        <f>SUMIF($Z$28:$Z$29,"industrie",M28:M29)</f>
        <v>0</v>
      </c>
      <c r="N31" s="595">
        <f>SUMIF($Z$28:$Z$29,"industrie",N28:N29)</f>
        <v>0</v>
      </c>
      <c r="O31" s="595">
        <f>SUMIF($Z$28:$Z$29,"industrie",O28:O29)</f>
        <v>0</v>
      </c>
      <c r="P31" s="595">
        <f>SUMIF($Z$28:$Z$29,"industrie",P28:P29)</f>
        <v>0</v>
      </c>
      <c r="Q31" s="595">
        <f>SUMIF($Z$28:$Z$29,"industrie",Q28:Q29)</f>
        <v>0</v>
      </c>
      <c r="R31" s="595">
        <f>SUMIF($Z$28:$Z$29,"industrie",R28:R29)</f>
        <v>0</v>
      </c>
      <c r="S31" s="595">
        <f>SUMIF($Z$28:$Z$29,"industrie",S28:S29)</f>
        <v>0</v>
      </c>
      <c r="T31" s="595">
        <f>SUMIF($Z$28:$Z$29,"industrie",T28:T29)</f>
        <v>0</v>
      </c>
      <c r="U31" s="595">
        <f>SUMIF($Z$28:$Z$29,"industrie",U28:U29)</f>
        <v>0</v>
      </c>
      <c r="V31" s="595">
        <f>SUMIF($Z$28:$Z$29,"industrie",V28:V29)</f>
        <v>0</v>
      </c>
      <c r="W31" s="595">
        <f>SUMIF($Z$28:$Z$29,"industrie",W28:W29)</f>
        <v>0</v>
      </c>
      <c r="X31" s="596"/>
      <c r="Y31" s="596"/>
      <c r="Z31" s="597"/>
    </row>
    <row r="32" spans="1:26" s="573" customFormat="1">
      <c r="A32" s="593" t="s">
        <v>287</v>
      </c>
      <c r="B32" s="594"/>
      <c r="C32" s="594"/>
      <c r="D32" s="594"/>
      <c r="E32" s="594"/>
      <c r="F32" s="594"/>
      <c r="G32" s="594"/>
      <c r="H32" s="594"/>
      <c r="I32" s="594"/>
      <c r="J32" s="594"/>
      <c r="K32" s="594"/>
      <c r="L32" s="595"/>
      <c r="M32" s="595">
        <f ca="1">SUMIF($Z$28:AC29,"tertiair",M28:M29)</f>
        <v>10.5</v>
      </c>
      <c r="N32" s="595">
        <f ca="1">SUMIF($Z$28:AD29,"tertiair",N28:N29)</f>
        <v>9.75</v>
      </c>
      <c r="O32" s="595">
        <f ca="1">SUMIF($Z$28:AE29,"tertiair",O28:O29)</f>
        <v>13.928571428571431</v>
      </c>
      <c r="P32" s="595">
        <f ca="1">SUMIF($Z$28:AF29,"tertiair",P28:P29)</f>
        <v>27.857142857142861</v>
      </c>
      <c r="Q32" s="595">
        <f ca="1">SUMIF($Z$28:AG29,"tertiair",Q28:Q29)</f>
        <v>0</v>
      </c>
      <c r="R32" s="595">
        <f ca="1">SUMIF($Z$28:AH29,"tertiair",R28:R29)</f>
        <v>0</v>
      </c>
      <c r="S32" s="595">
        <f ca="1">SUMIF($Z$28:AI29,"tertiair",S28:S29)</f>
        <v>0</v>
      </c>
      <c r="T32" s="595">
        <f ca="1">SUMIF($Z$28:AJ29,"tertiair",T28:T29)</f>
        <v>0</v>
      </c>
      <c r="U32" s="595">
        <f ca="1">SUMIF($Z$28:AK29,"tertiair",U28:U29)</f>
        <v>0</v>
      </c>
      <c r="V32" s="595">
        <f ca="1">SUMIF($Z$28:AL29,"tertiair",V28:V29)</f>
        <v>0</v>
      </c>
      <c r="W32" s="595">
        <f ca="1">SUMIF($Z$28:AM29,"tertiair",W28:W29)</f>
        <v>0</v>
      </c>
      <c r="X32" s="596"/>
      <c r="Y32" s="596"/>
      <c r="Z32" s="597"/>
    </row>
    <row r="33" spans="1:27" s="573" customFormat="1" ht="15.75" thickBot="1">
      <c r="A33" s="598" t="s">
        <v>288</v>
      </c>
      <c r="B33" s="599"/>
      <c r="C33" s="599"/>
      <c r="D33" s="599"/>
      <c r="E33" s="599"/>
      <c r="F33" s="599"/>
      <c r="G33" s="599"/>
      <c r="H33" s="599"/>
      <c r="I33" s="599"/>
      <c r="J33" s="599"/>
      <c r="K33" s="599"/>
      <c r="L33" s="600"/>
      <c r="M33" s="600">
        <f>SUMIF($Z$28:$Z$29,"landbouw",M28:M29)</f>
        <v>0</v>
      </c>
      <c r="N33" s="600">
        <f>SUMIF($Z$28:$Z$29,"landbouw",N28:N29)</f>
        <v>0</v>
      </c>
      <c r="O33" s="600">
        <f>SUMIF($Z$28:$Z$29,"landbouw",O28:O29)</f>
        <v>0</v>
      </c>
      <c r="P33" s="600">
        <f>SUMIF($Z$28:$Z$29,"landbouw",P28:P29)</f>
        <v>0</v>
      </c>
      <c r="Q33" s="600">
        <f>SUMIF($Z$28:$Z$29,"landbouw",Q28:Q29)</f>
        <v>0</v>
      </c>
      <c r="R33" s="600">
        <f>SUMIF($Z$28:$Z$29,"landbouw",R28:R29)</f>
        <v>0</v>
      </c>
      <c r="S33" s="600">
        <f>SUMIF($Z$28:$Z$29,"landbouw",S28:S29)</f>
        <v>0</v>
      </c>
      <c r="T33" s="600">
        <f>SUMIF($Z$28:$Z$29,"landbouw",T28:T29)</f>
        <v>0</v>
      </c>
      <c r="U33" s="600">
        <f>SUMIF($Z$28:$Z$29,"landbouw",U28:U29)</f>
        <v>0</v>
      </c>
      <c r="V33" s="600">
        <f>SUMIF($Z$28:$Z$29,"landbouw",V28:V29)</f>
        <v>0</v>
      </c>
      <c r="W33" s="600">
        <f>SUMIF($Z$28:$Z$29,"landbouw",W28:W29)</f>
        <v>0</v>
      </c>
      <c r="X33" s="601"/>
      <c r="Y33" s="601"/>
      <c r="Z33" s="602"/>
    </row>
    <row r="34" spans="1:27" s="542" customFormat="1" ht="15.75" thickBot="1">
      <c r="A34" s="603"/>
      <c r="B34" s="604"/>
      <c r="C34" s="604"/>
      <c r="D34" s="604"/>
      <c r="E34" s="604"/>
      <c r="F34" s="604"/>
      <c r="G34" s="604"/>
      <c r="H34" s="604"/>
      <c r="I34" s="604"/>
      <c r="J34" s="604"/>
      <c r="K34" s="604"/>
      <c r="L34" s="587"/>
      <c r="M34" s="587"/>
      <c r="N34" s="587"/>
      <c r="O34" s="588"/>
      <c r="P34" s="588"/>
    </row>
    <row r="35" spans="1:27" s="542" customFormat="1" ht="45">
      <c r="A35" s="605" t="s">
        <v>280</v>
      </c>
      <c r="B35" s="634" t="s">
        <v>89</v>
      </c>
      <c r="C35" s="634" t="s">
        <v>90</v>
      </c>
      <c r="D35" s="634" t="s">
        <v>91</v>
      </c>
      <c r="E35" s="634" t="s">
        <v>92</v>
      </c>
      <c r="F35" s="634" t="s">
        <v>93</v>
      </c>
      <c r="G35" s="634" t="s">
        <v>94</v>
      </c>
      <c r="H35" s="634" t="s">
        <v>95</v>
      </c>
      <c r="I35" s="634" t="s">
        <v>96</v>
      </c>
      <c r="J35" s="634" t="s">
        <v>97</v>
      </c>
      <c r="K35" s="634" t="s">
        <v>98</v>
      </c>
      <c r="L35" s="634" t="s">
        <v>99</v>
      </c>
      <c r="M35" s="635" t="s">
        <v>297</v>
      </c>
      <c r="N35" s="635" t="s">
        <v>100</v>
      </c>
      <c r="O35" s="635" t="s">
        <v>101</v>
      </c>
      <c r="P35" s="635" t="s">
        <v>545</v>
      </c>
      <c r="Q35" s="635" t="s">
        <v>102</v>
      </c>
      <c r="R35" s="635" t="s">
        <v>103</v>
      </c>
      <c r="S35" s="635" t="s">
        <v>104</v>
      </c>
      <c r="T35" s="635" t="s">
        <v>105</v>
      </c>
      <c r="U35" s="635" t="s">
        <v>106</v>
      </c>
      <c r="V35" s="635" t="s">
        <v>107</v>
      </c>
      <c r="W35" s="634" t="s">
        <v>108</v>
      </c>
      <c r="X35" s="634" t="s">
        <v>298</v>
      </c>
      <c r="Y35" s="634" t="s">
        <v>109</v>
      </c>
      <c r="Z35" s="636" t="s">
        <v>299</v>
      </c>
    </row>
    <row r="36" spans="1:27" s="606" customFormat="1" ht="12.75">
      <c r="A36" s="592"/>
      <c r="B36" s="785"/>
      <c r="C36" s="785"/>
      <c r="D36" s="640"/>
      <c r="E36" s="640"/>
      <c r="F36" s="640"/>
      <c r="G36" s="640"/>
      <c r="H36" s="640"/>
      <c r="I36" s="640"/>
      <c r="J36" s="784"/>
      <c r="K36" s="784"/>
      <c r="L36" s="640"/>
      <c r="M36" s="640"/>
      <c r="N36" s="640"/>
      <c r="O36" s="640"/>
      <c r="P36" s="640"/>
      <c r="Q36" s="640"/>
      <c r="R36" s="640"/>
      <c r="S36" s="640"/>
      <c r="T36" s="640"/>
      <c r="U36" s="640"/>
      <c r="V36" s="640"/>
      <c r="W36" s="640"/>
      <c r="X36" s="640"/>
      <c r="Y36" s="640"/>
      <c r="Z36" s="641"/>
    </row>
    <row r="37" spans="1:27" s="573" customFormat="1">
      <c r="A37" s="593" t="s">
        <v>279</v>
      </c>
      <c r="B37" s="594"/>
      <c r="C37" s="594"/>
      <c r="D37" s="594"/>
      <c r="E37" s="594"/>
      <c r="F37" s="594"/>
      <c r="G37" s="594"/>
      <c r="H37" s="594"/>
      <c r="I37" s="594"/>
      <c r="J37" s="594"/>
      <c r="K37" s="594"/>
      <c r="L37" s="595"/>
      <c r="M37" s="595">
        <f>SUM(M36:M36)</f>
        <v>0</v>
      </c>
      <c r="N37" s="595">
        <f>SUM(N36:N36)</f>
        <v>0</v>
      </c>
      <c r="O37" s="595">
        <f>SUM(O36:O36)</f>
        <v>0</v>
      </c>
      <c r="P37" s="595">
        <f>SUM(P36:P36)</f>
        <v>0</v>
      </c>
      <c r="Q37" s="595">
        <f>SUM(Q36:Q36)</f>
        <v>0</v>
      </c>
      <c r="R37" s="595">
        <f>SUM(R36:R36)</f>
        <v>0</v>
      </c>
      <c r="S37" s="595">
        <f>SUM(S36:S36)</f>
        <v>0</v>
      </c>
      <c r="T37" s="595">
        <f>SUM(T36:T36)</f>
        <v>0</v>
      </c>
      <c r="U37" s="595">
        <f>SUM(U36:U36)</f>
        <v>0</v>
      </c>
      <c r="V37" s="595">
        <f>SUM(V36:V36)</f>
        <v>0</v>
      </c>
      <c r="W37" s="595">
        <f>SUM(W36:W36)</f>
        <v>0</v>
      </c>
      <c r="X37" s="596"/>
      <c r="Y37" s="596"/>
      <c r="Z37" s="597"/>
    </row>
    <row r="38" spans="1:27" s="573" customFormat="1">
      <c r="A38" s="593" t="s">
        <v>286</v>
      </c>
      <c r="B38" s="594"/>
      <c r="C38" s="594"/>
      <c r="D38" s="594"/>
      <c r="E38" s="594"/>
      <c r="F38" s="594"/>
      <c r="G38" s="594"/>
      <c r="H38" s="594"/>
      <c r="I38" s="594"/>
      <c r="J38" s="594"/>
      <c r="K38" s="594"/>
      <c r="L38" s="595"/>
      <c r="M38" s="595">
        <f>SUMIF($Z$36:$Z$36,"industrie",M36:M36)</f>
        <v>0</v>
      </c>
      <c r="N38" s="595">
        <f>SUMIF($Z$36:$Z$36,"industrie",N36:N36)</f>
        <v>0</v>
      </c>
      <c r="O38" s="595">
        <f>SUMIF($Z$36:$Z$36,"industrie",O36:O36)</f>
        <v>0</v>
      </c>
      <c r="P38" s="595">
        <f>SUMIF($Z$36:$Z$36,"industrie",P36:P36)</f>
        <v>0</v>
      </c>
      <c r="Q38" s="595">
        <f>SUMIF($Z$36:$Z$36,"industrie",Q36:Q36)</f>
        <v>0</v>
      </c>
      <c r="R38" s="595">
        <f>SUMIF($Z$36:$Z$36,"industrie",R36:R36)</f>
        <v>0</v>
      </c>
      <c r="S38" s="595">
        <f>SUMIF($Z$36:$Z$36,"industrie",S36:S36)</f>
        <v>0</v>
      </c>
      <c r="T38" s="595">
        <f>SUMIF($Z$36:$Z$36,"industrie",T36:T36)</f>
        <v>0</v>
      </c>
      <c r="U38" s="595">
        <f>SUMIF($Z$36:$Z$36,"industrie",U36:U36)</f>
        <v>0</v>
      </c>
      <c r="V38" s="595">
        <f>SUMIF($Z$36:$Z$36,"industrie",V36:V36)</f>
        <v>0</v>
      </c>
      <c r="W38" s="595">
        <f>SUMIF($Z$36:$Z$36,"industrie",W36:W36)</f>
        <v>0</v>
      </c>
      <c r="X38" s="596"/>
      <c r="Y38" s="596"/>
      <c r="Z38" s="597"/>
    </row>
    <row r="39" spans="1:27" s="573" customFormat="1">
      <c r="A39" s="593" t="s">
        <v>287</v>
      </c>
      <c r="B39" s="594"/>
      <c r="C39" s="594"/>
      <c r="D39" s="594"/>
      <c r="E39" s="594"/>
      <c r="F39" s="594"/>
      <c r="G39" s="594"/>
      <c r="H39" s="594"/>
      <c r="I39" s="594"/>
      <c r="J39" s="594"/>
      <c r="K39" s="594"/>
      <c r="L39" s="595"/>
      <c r="M39" s="595">
        <f>SUMIF($Z$36:$Z$37,"tertiair",M36:M37)</f>
        <v>0</v>
      </c>
      <c r="N39" s="595">
        <f>SUMIF($Z$36:$Z$37,"tertiair",N36:N37)</f>
        <v>0</v>
      </c>
      <c r="O39" s="595">
        <f>SUMIF($Z$36:$Z$37,"tertiair",O36:O37)</f>
        <v>0</v>
      </c>
      <c r="P39" s="595">
        <f>SUMIF($Z$36:$Z$37,"tertiair",P36:P37)</f>
        <v>0</v>
      </c>
      <c r="Q39" s="595">
        <f>SUMIF($Z$36:$Z$37,"tertiair",Q36:Q37)</f>
        <v>0</v>
      </c>
      <c r="R39" s="595">
        <f>SUMIF($Z$36:$Z$37,"tertiair",R36:R37)</f>
        <v>0</v>
      </c>
      <c r="S39" s="595">
        <f>SUMIF($Z$36:$Z$37,"tertiair",S36:S37)</f>
        <v>0</v>
      </c>
      <c r="T39" s="595">
        <f>SUMIF($Z$36:$Z$37,"tertiair",T36:T37)</f>
        <v>0</v>
      </c>
      <c r="U39" s="595">
        <f>SUMIF($Z$36:$Z$37,"tertiair",U36:U37)</f>
        <v>0</v>
      </c>
      <c r="V39" s="595">
        <f>SUMIF($Z$36:$Z$37,"tertiair",V36:V37)</f>
        <v>0</v>
      </c>
      <c r="W39" s="595">
        <f>SUMIF($Z$36:$Z$37,"tertiair",W36:W37)</f>
        <v>0</v>
      </c>
      <c r="X39" s="596"/>
      <c r="Y39" s="596"/>
      <c r="Z39" s="597"/>
    </row>
    <row r="40" spans="1:27" s="573" customFormat="1" ht="15.75" thickBot="1">
      <c r="A40" s="598" t="s">
        <v>288</v>
      </c>
      <c r="B40" s="599"/>
      <c r="C40" s="599"/>
      <c r="D40" s="599"/>
      <c r="E40" s="599"/>
      <c r="F40" s="599"/>
      <c r="G40" s="599"/>
      <c r="H40" s="599"/>
      <c r="I40" s="599"/>
      <c r="J40" s="599"/>
      <c r="K40" s="599"/>
      <c r="L40" s="600"/>
      <c r="M40" s="600">
        <f>SUMIF($Z$36:$Z$38,"landbouw",M36:M38)</f>
        <v>0</v>
      </c>
      <c r="N40" s="600">
        <f>SUMIF($Z$36:$Z$38,"landbouw",N36:N38)</f>
        <v>0</v>
      </c>
      <c r="O40" s="600">
        <f>SUMIF($Z$36:$Z$38,"landbouw",O36:O38)</f>
        <v>0</v>
      </c>
      <c r="P40" s="600">
        <f>SUMIF($Z$36:$Z$38,"landbouw",P36:P38)</f>
        <v>0</v>
      </c>
      <c r="Q40" s="600">
        <f>SUMIF($Z$36:$Z$38,"landbouw",Q36:Q38)</f>
        <v>0</v>
      </c>
      <c r="R40" s="600">
        <f>SUMIF($Z$36:$Z$38,"landbouw",R36:R38)</f>
        <v>0</v>
      </c>
      <c r="S40" s="600">
        <f>SUMIF($Z$36:$Z$38,"landbouw",S36:S38)</f>
        <v>0</v>
      </c>
      <c r="T40" s="600">
        <f>SUMIF($Z$36:$Z$38,"landbouw",T36:T38)</f>
        <v>0</v>
      </c>
      <c r="U40" s="600">
        <f>SUMIF($Z$36:$Z$38,"landbouw",U36:U38)</f>
        <v>0</v>
      </c>
      <c r="V40" s="600">
        <f>SUMIF($Z$36:$Z$38,"landbouw",V36:V38)</f>
        <v>0</v>
      </c>
      <c r="W40" s="600">
        <f>SUMIF($Z$36:$Z$38,"landbouw",W36:W38)</f>
        <v>0</v>
      </c>
      <c r="X40" s="601"/>
      <c r="Y40" s="601"/>
      <c r="Z40" s="602"/>
    </row>
    <row r="41" spans="1:27" s="607" customForma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row>
    <row r="42" spans="1:27" s="607" customFormat="1" ht="15.75" thickBo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c r="AA42" s="587"/>
    </row>
    <row r="43" spans="1:27">
      <c r="A43" s="608" t="s">
        <v>281</v>
      </c>
      <c r="B43" s="609"/>
      <c r="C43" s="609"/>
      <c r="D43" s="609"/>
      <c r="E43" s="609"/>
      <c r="F43" s="609"/>
      <c r="G43" s="609"/>
      <c r="H43" s="609"/>
      <c r="I43" s="610"/>
      <c r="J43" s="611"/>
      <c r="K43" s="611"/>
      <c r="L43" s="612"/>
      <c r="M43" s="612"/>
      <c r="N43" s="612"/>
      <c r="O43" s="612"/>
      <c r="P43" s="612"/>
    </row>
    <row r="44" spans="1:27">
      <c r="A44" s="614"/>
      <c r="B44" s="604"/>
      <c r="C44" s="604"/>
      <c r="D44" s="604"/>
      <c r="E44" s="604"/>
      <c r="F44" s="604"/>
      <c r="G44" s="604"/>
      <c r="H44" s="604"/>
      <c r="I44" s="615"/>
      <c r="J44" s="604"/>
      <c r="K44" s="604"/>
      <c r="L44" s="612"/>
      <c r="M44" s="612"/>
      <c r="N44" s="612"/>
      <c r="O44" s="612"/>
      <c r="P44" s="612"/>
    </row>
    <row r="45" spans="1:27">
      <c r="A45" s="616"/>
      <c r="B45" s="617" t="s">
        <v>282</v>
      </c>
      <c r="C45" s="617" t="s">
        <v>283</v>
      </c>
      <c r="D45" s="617"/>
      <c r="E45" s="617"/>
      <c r="F45" s="617"/>
      <c r="G45" s="617"/>
      <c r="H45" s="617"/>
      <c r="I45" s="618"/>
      <c r="J45" s="617"/>
      <c r="K45" s="617"/>
      <c r="L45" s="617"/>
      <c r="M45" s="617"/>
      <c r="N45" s="617"/>
      <c r="O45" s="617"/>
      <c r="P45" s="612"/>
    </row>
    <row r="46" spans="1:27">
      <c r="A46" s="614" t="s">
        <v>279</v>
      </c>
      <c r="B46" s="619">
        <f>IF(ISERROR(O30/(O30+N30)),0,O30/(O30+N30))</f>
        <v>0.58823529411764708</v>
      </c>
      <c r="C46" s="620">
        <f>IF(ISERROR(N30/(O30+N30)),0,N30/(N30+O30))</f>
        <v>0.41176470588235292</v>
      </c>
      <c r="D46" s="587"/>
      <c r="E46" s="587"/>
      <c r="F46" s="587"/>
      <c r="G46" s="587"/>
      <c r="H46" s="587"/>
      <c r="I46" s="621"/>
      <c r="J46" s="587"/>
      <c r="K46" s="587"/>
      <c r="L46" s="622"/>
      <c r="M46" s="622"/>
      <c r="N46" s="622"/>
      <c r="O46" s="622"/>
      <c r="P46" s="612"/>
    </row>
    <row r="47" spans="1:27">
      <c r="A47" s="614"/>
      <c r="B47" s="623"/>
      <c r="C47" s="623"/>
      <c r="D47" s="623"/>
      <c r="E47" s="623"/>
      <c r="F47" s="623"/>
      <c r="G47" s="623"/>
      <c r="H47" s="623"/>
      <c r="I47" s="624"/>
      <c r="J47" s="623"/>
      <c r="K47" s="623"/>
      <c r="L47" s="625"/>
      <c r="M47" s="625"/>
      <c r="N47" s="625"/>
      <c r="O47" s="625"/>
      <c r="P47" s="612"/>
    </row>
    <row r="48" spans="1:27" ht="30">
      <c r="A48" s="626"/>
      <c r="B48" s="627" t="s">
        <v>545</v>
      </c>
      <c r="C48" s="627" t="s">
        <v>102</v>
      </c>
      <c r="D48" s="627" t="s">
        <v>103</v>
      </c>
      <c r="E48" s="627" t="s">
        <v>104</v>
      </c>
      <c r="F48" s="627" t="s">
        <v>105</v>
      </c>
      <c r="G48" s="627" t="s">
        <v>106</v>
      </c>
      <c r="H48" s="627" t="s">
        <v>107</v>
      </c>
      <c r="I48" s="628" t="s">
        <v>108</v>
      </c>
      <c r="J48" s="617"/>
      <c r="K48" s="617"/>
      <c r="L48" s="625"/>
      <c r="M48" s="625"/>
      <c r="N48" s="625"/>
      <c r="O48" s="612"/>
      <c r="P48" s="612"/>
    </row>
    <row r="49" spans="1:16">
      <c r="A49" s="616" t="s">
        <v>284</v>
      </c>
      <c r="B49" s="629">
        <f t="shared" ref="B49:I49" si="2">$C$46*P30</f>
        <v>11.47058823529412</v>
      </c>
      <c r="C49" s="629">
        <f t="shared" si="2"/>
        <v>0</v>
      </c>
      <c r="D49" s="629">
        <f t="shared" si="2"/>
        <v>0</v>
      </c>
      <c r="E49" s="629">
        <f t="shared" si="2"/>
        <v>0</v>
      </c>
      <c r="F49" s="629">
        <f t="shared" si="2"/>
        <v>0</v>
      </c>
      <c r="G49" s="629">
        <f t="shared" si="2"/>
        <v>0</v>
      </c>
      <c r="H49" s="629">
        <f t="shared" si="2"/>
        <v>0</v>
      </c>
      <c r="I49" s="630">
        <f t="shared" si="2"/>
        <v>0</v>
      </c>
      <c r="J49" s="587"/>
      <c r="K49" s="587"/>
      <c r="L49" s="625"/>
      <c r="M49" s="625"/>
      <c r="N49" s="625"/>
      <c r="O49" s="612"/>
      <c r="P49" s="612"/>
    </row>
    <row r="50" spans="1:16" ht="15.75" thickBot="1">
      <c r="A50" s="631" t="s">
        <v>285</v>
      </c>
      <c r="B50" s="632">
        <f t="shared" ref="B50:I50" si="3">$B$46*P30</f>
        <v>16.386554621848742</v>
      </c>
      <c r="C50" s="632">
        <f t="shared" si="3"/>
        <v>0</v>
      </c>
      <c r="D50" s="632">
        <f t="shared" si="3"/>
        <v>0</v>
      </c>
      <c r="E50" s="632">
        <f t="shared" si="3"/>
        <v>0</v>
      </c>
      <c r="F50" s="632">
        <f t="shared" si="3"/>
        <v>0</v>
      </c>
      <c r="G50" s="632">
        <f t="shared" si="3"/>
        <v>0</v>
      </c>
      <c r="H50" s="632">
        <f t="shared" si="3"/>
        <v>0</v>
      </c>
      <c r="I50" s="633">
        <f t="shared" si="3"/>
        <v>0</v>
      </c>
      <c r="J50" s="587"/>
      <c r="K50" s="587"/>
      <c r="L50" s="625"/>
      <c r="M50" s="625"/>
      <c r="N50" s="625"/>
      <c r="O50" s="612"/>
      <c r="P50" s="612"/>
    </row>
    <row r="51" spans="1:16">
      <c r="J51" s="571"/>
      <c r="K51" s="571"/>
      <c r="L51" s="571"/>
      <c r="M51" s="571"/>
      <c r="N51" s="571"/>
    </row>
    <row r="52" spans="1:16">
      <c r="J52" s="571"/>
      <c r="K52" s="571"/>
      <c r="L52" s="571"/>
      <c r="M52" s="571"/>
      <c r="N52"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119638.49010602513</v>
      </c>
      <c r="C4" s="457">
        <f>huishoudens!C8</f>
        <v>0</v>
      </c>
      <c r="D4" s="457">
        <f>huishoudens!D8</f>
        <v>288662.40441082465</v>
      </c>
      <c r="E4" s="457">
        <f>huishoudens!E8</f>
        <v>35625.48472335648</v>
      </c>
      <c r="F4" s="457">
        <f>huishoudens!F8</f>
        <v>45750.663735896451</v>
      </c>
      <c r="G4" s="457">
        <f>huishoudens!G8</f>
        <v>0</v>
      </c>
      <c r="H4" s="457">
        <f>huishoudens!H8</f>
        <v>0</v>
      </c>
      <c r="I4" s="457">
        <f>huishoudens!I8</f>
        <v>0</v>
      </c>
      <c r="J4" s="457">
        <f>huishoudens!J8</f>
        <v>13772.239587737982</v>
      </c>
      <c r="K4" s="457">
        <f>huishoudens!K8</f>
        <v>0</v>
      </c>
      <c r="L4" s="457">
        <f>huishoudens!L8</f>
        <v>0</v>
      </c>
      <c r="M4" s="457">
        <f>huishoudens!M8</f>
        <v>0</v>
      </c>
      <c r="N4" s="457">
        <f>huishoudens!N8</f>
        <v>42720.770273007882</v>
      </c>
      <c r="O4" s="457">
        <f>huishoudens!O8</f>
        <v>248.57000000000002</v>
      </c>
      <c r="P4" s="458">
        <f>huishoudens!P8</f>
        <v>915.2</v>
      </c>
      <c r="Q4" s="459">
        <f>SUM(B4:P4)</f>
        <v>547333.82283684856</v>
      </c>
    </row>
    <row r="5" spans="1:17">
      <c r="A5" s="456" t="s">
        <v>155</v>
      </c>
      <c r="B5" s="457">
        <f ca="1">tertiair!B16</f>
        <v>129486.71731916459</v>
      </c>
      <c r="C5" s="457">
        <f ca="1">tertiair!C16</f>
        <v>13.928571428571431</v>
      </c>
      <c r="D5" s="457">
        <f ca="1">tertiair!D16</f>
        <v>160212.4805754931</v>
      </c>
      <c r="E5" s="457">
        <f>tertiair!E16</f>
        <v>2007.4210116356692</v>
      </c>
      <c r="F5" s="457">
        <f ca="1">tertiair!F16</f>
        <v>26002.824347341801</v>
      </c>
      <c r="G5" s="457">
        <f>tertiair!G16</f>
        <v>0</v>
      </c>
      <c r="H5" s="457">
        <f>tertiair!H16</f>
        <v>0</v>
      </c>
      <c r="I5" s="457">
        <f>tertiair!I16</f>
        <v>0</v>
      </c>
      <c r="J5" s="457">
        <f>tertiair!J16</f>
        <v>0</v>
      </c>
      <c r="K5" s="457">
        <f>tertiair!K16</f>
        <v>0</v>
      </c>
      <c r="L5" s="457">
        <f ca="1">tertiair!L16</f>
        <v>0</v>
      </c>
      <c r="M5" s="457">
        <f>tertiair!M16</f>
        <v>0</v>
      </c>
      <c r="N5" s="457">
        <f ca="1">tertiair!N16</f>
        <v>3713.3313091936575</v>
      </c>
      <c r="O5" s="457">
        <f>tertiair!O16</f>
        <v>9.3800000000000008</v>
      </c>
      <c r="P5" s="458">
        <f>tertiair!P16</f>
        <v>152.53333333333333</v>
      </c>
      <c r="Q5" s="456">
        <f t="shared" ref="Q5:Q14" ca="1" si="0">SUM(B5:P5)</f>
        <v>321598.61646759068</v>
      </c>
    </row>
    <row r="6" spans="1:17">
      <c r="A6" s="456" t="s">
        <v>193</v>
      </c>
      <c r="B6" s="457">
        <f>'openbare verlichting'!B8</f>
        <v>3785.319</v>
      </c>
      <c r="C6" s="457"/>
      <c r="D6" s="457"/>
      <c r="E6" s="457"/>
      <c r="F6" s="457"/>
      <c r="G6" s="457"/>
      <c r="H6" s="457"/>
      <c r="I6" s="457"/>
      <c r="J6" s="457"/>
      <c r="K6" s="457"/>
      <c r="L6" s="457"/>
      <c r="M6" s="457"/>
      <c r="N6" s="457"/>
      <c r="O6" s="457"/>
      <c r="P6" s="458"/>
      <c r="Q6" s="456">
        <f t="shared" si="0"/>
        <v>3785.319</v>
      </c>
    </row>
    <row r="7" spans="1:17">
      <c r="A7" s="456" t="s">
        <v>111</v>
      </c>
      <c r="B7" s="457">
        <f>landbouw!B8</f>
        <v>4560.76743773829</v>
      </c>
      <c r="C7" s="457">
        <f>landbouw!C8</f>
        <v>0</v>
      </c>
      <c r="D7" s="457">
        <f>landbouw!D8</f>
        <v>1617.5295878050708</v>
      </c>
      <c r="E7" s="457">
        <f>landbouw!E8</f>
        <v>47.761343973881104</v>
      </c>
      <c r="F7" s="457">
        <f>landbouw!F8</f>
        <v>19523.550080783287</v>
      </c>
      <c r="G7" s="457">
        <f>landbouw!G8</f>
        <v>0</v>
      </c>
      <c r="H7" s="457">
        <f>landbouw!H8</f>
        <v>0</v>
      </c>
      <c r="I7" s="457">
        <f>landbouw!I8</f>
        <v>0</v>
      </c>
      <c r="J7" s="457">
        <f>landbouw!J8</f>
        <v>407.31741104595318</v>
      </c>
      <c r="K7" s="457">
        <f>landbouw!K8</f>
        <v>0</v>
      </c>
      <c r="L7" s="457">
        <f>landbouw!L8</f>
        <v>0</v>
      </c>
      <c r="M7" s="457">
        <f>landbouw!M8</f>
        <v>0</v>
      </c>
      <c r="N7" s="457">
        <f>landbouw!N8</f>
        <v>0</v>
      </c>
      <c r="O7" s="457">
        <f>landbouw!O8</f>
        <v>0</v>
      </c>
      <c r="P7" s="458">
        <f>landbouw!P8</f>
        <v>0</v>
      </c>
      <c r="Q7" s="456">
        <f t="shared" si="0"/>
        <v>26156.925861346484</v>
      </c>
    </row>
    <row r="8" spans="1:17">
      <c r="A8" s="456" t="s">
        <v>654</v>
      </c>
      <c r="B8" s="457">
        <f>industrie!B18</f>
        <v>78609.530362967052</v>
      </c>
      <c r="C8" s="457">
        <f>industrie!C18</f>
        <v>0</v>
      </c>
      <c r="D8" s="457">
        <f>industrie!D18</f>
        <v>54980.27899878387</v>
      </c>
      <c r="E8" s="457">
        <f>industrie!E18</f>
        <v>820.80293916665789</v>
      </c>
      <c r="F8" s="457">
        <f>industrie!F18</f>
        <v>20870.976521807112</v>
      </c>
      <c r="G8" s="457">
        <f>industrie!G18</f>
        <v>0</v>
      </c>
      <c r="H8" s="457">
        <f>industrie!H18</f>
        <v>0</v>
      </c>
      <c r="I8" s="457">
        <f>industrie!I18</f>
        <v>0</v>
      </c>
      <c r="J8" s="457">
        <f>industrie!J18</f>
        <v>422.54015459082598</v>
      </c>
      <c r="K8" s="457">
        <f>industrie!K18</f>
        <v>0</v>
      </c>
      <c r="L8" s="457">
        <f>industrie!L18</f>
        <v>0</v>
      </c>
      <c r="M8" s="457">
        <f>industrie!M18</f>
        <v>0</v>
      </c>
      <c r="N8" s="457">
        <f>industrie!N18</f>
        <v>1870.9634070992779</v>
      </c>
      <c r="O8" s="457">
        <f>industrie!O18</f>
        <v>0</v>
      </c>
      <c r="P8" s="458">
        <f>industrie!P18</f>
        <v>0</v>
      </c>
      <c r="Q8" s="456">
        <f t="shared" si="0"/>
        <v>157575.09238441481</v>
      </c>
    </row>
    <row r="9" spans="1:17" s="462" customFormat="1">
      <c r="A9" s="460" t="s">
        <v>572</v>
      </c>
      <c r="B9" s="461">
        <f>transport!B14</f>
        <v>3.2705179653787622</v>
      </c>
      <c r="C9" s="461">
        <f>transport!C14</f>
        <v>0</v>
      </c>
      <c r="D9" s="461">
        <f>transport!D14</f>
        <v>19.236394806383945</v>
      </c>
      <c r="E9" s="461">
        <f>transport!E14</f>
        <v>2039.9886292835147</v>
      </c>
      <c r="F9" s="461">
        <f>transport!F14</f>
        <v>0</v>
      </c>
      <c r="G9" s="461">
        <f>transport!G14</f>
        <v>431389.86390867835</v>
      </c>
      <c r="H9" s="461">
        <f>transport!H14</f>
        <v>66377.968194356697</v>
      </c>
      <c r="I9" s="461">
        <f>transport!I14</f>
        <v>0</v>
      </c>
      <c r="J9" s="461">
        <f>transport!J14</f>
        <v>0</v>
      </c>
      <c r="K9" s="461">
        <f>transport!K14</f>
        <v>0</v>
      </c>
      <c r="L9" s="461">
        <f>transport!L14</f>
        <v>0</v>
      </c>
      <c r="M9" s="461">
        <f>transport!M14</f>
        <v>21638.970087503512</v>
      </c>
      <c r="N9" s="461">
        <f>transport!N14</f>
        <v>0</v>
      </c>
      <c r="O9" s="461">
        <f>transport!O14</f>
        <v>0</v>
      </c>
      <c r="P9" s="461">
        <f>transport!P14</f>
        <v>0</v>
      </c>
      <c r="Q9" s="460">
        <f>SUM(B9:P9)</f>
        <v>521469.29773259384</v>
      </c>
    </row>
    <row r="10" spans="1:17">
      <c r="A10" s="456" t="s">
        <v>562</v>
      </c>
      <c r="B10" s="457">
        <f>transport!B54</f>
        <v>0</v>
      </c>
      <c r="C10" s="457">
        <f>transport!C54</f>
        <v>0</v>
      </c>
      <c r="D10" s="457">
        <f>transport!D54</f>
        <v>0</v>
      </c>
      <c r="E10" s="457">
        <f>transport!E54</f>
        <v>0</v>
      </c>
      <c r="F10" s="457">
        <f>transport!F54</f>
        <v>0</v>
      </c>
      <c r="G10" s="457">
        <f>transport!G54</f>
        <v>11088.319889734023</v>
      </c>
      <c r="H10" s="457">
        <f>transport!H54</f>
        <v>0</v>
      </c>
      <c r="I10" s="457">
        <f>transport!I54</f>
        <v>0</v>
      </c>
      <c r="J10" s="457">
        <f>transport!J54</f>
        <v>0</v>
      </c>
      <c r="K10" s="457">
        <f>transport!K54</f>
        <v>0</v>
      </c>
      <c r="L10" s="457">
        <f>transport!L54</f>
        <v>0</v>
      </c>
      <c r="M10" s="457">
        <f>transport!M54</f>
        <v>471.51613293514174</v>
      </c>
      <c r="N10" s="457">
        <f>transport!N54</f>
        <v>0</v>
      </c>
      <c r="O10" s="457">
        <f>transport!O54</f>
        <v>0</v>
      </c>
      <c r="P10" s="458">
        <f>transport!P54</f>
        <v>0</v>
      </c>
      <c r="Q10" s="456">
        <f t="shared" si="0"/>
        <v>11559.836022669164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7448.0713535429504</v>
      </c>
      <c r="C14" s="464"/>
      <c r="D14" s="464">
        <f>'SEAP template'!E25</f>
        <v>16860.265871520704</v>
      </c>
      <c r="E14" s="464"/>
      <c r="F14" s="464"/>
      <c r="G14" s="464"/>
      <c r="H14" s="464"/>
      <c r="I14" s="464"/>
      <c r="J14" s="464"/>
      <c r="K14" s="464"/>
      <c r="L14" s="464"/>
      <c r="M14" s="464"/>
      <c r="N14" s="464"/>
      <c r="O14" s="464"/>
      <c r="P14" s="465"/>
      <c r="Q14" s="456">
        <f t="shared" si="0"/>
        <v>24308.337225063653</v>
      </c>
    </row>
    <row r="15" spans="1:17" s="469" customFormat="1">
      <c r="A15" s="466" t="s">
        <v>566</v>
      </c>
      <c r="B15" s="467">
        <f ca="1">SUM(B4:B14)</f>
        <v>343532.16609740339</v>
      </c>
      <c r="C15" s="467">
        <f t="shared" ref="C15:Q15" ca="1" si="1">SUM(C4:C14)</f>
        <v>13.928571428571431</v>
      </c>
      <c r="D15" s="467">
        <f t="shared" ca="1" si="1"/>
        <v>522352.1958392337</v>
      </c>
      <c r="E15" s="467">
        <f t="shared" si="1"/>
        <v>40541.458647416199</v>
      </c>
      <c r="F15" s="467">
        <f t="shared" ca="1" si="1"/>
        <v>112148.01468582865</v>
      </c>
      <c r="G15" s="467">
        <f t="shared" si="1"/>
        <v>442478.18379841238</v>
      </c>
      <c r="H15" s="467">
        <f t="shared" si="1"/>
        <v>66377.968194356697</v>
      </c>
      <c r="I15" s="467">
        <f t="shared" si="1"/>
        <v>0</v>
      </c>
      <c r="J15" s="467">
        <f t="shared" si="1"/>
        <v>14602.097153374762</v>
      </c>
      <c r="K15" s="467">
        <f t="shared" si="1"/>
        <v>0</v>
      </c>
      <c r="L15" s="467">
        <f t="shared" ca="1" si="1"/>
        <v>0</v>
      </c>
      <c r="M15" s="467">
        <f t="shared" si="1"/>
        <v>22110.486220438655</v>
      </c>
      <c r="N15" s="467">
        <f t="shared" ca="1" si="1"/>
        <v>48305.064989300816</v>
      </c>
      <c r="O15" s="467">
        <f t="shared" si="1"/>
        <v>257.95000000000005</v>
      </c>
      <c r="P15" s="467">
        <f t="shared" si="1"/>
        <v>1067.7333333333333</v>
      </c>
      <c r="Q15" s="467">
        <f t="shared" ca="1" si="1"/>
        <v>1613787.2475305272</v>
      </c>
    </row>
    <row r="17" spans="1:17">
      <c r="A17" s="470" t="s">
        <v>567</v>
      </c>
      <c r="B17" s="774">
        <f ca="1">huishoudens!B10</f>
        <v>0.21445444590939589</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25657.006105124361</v>
      </c>
      <c r="C22" s="457">
        <f t="shared" ref="C22:C32" ca="1" si="3">C4*$C$17</f>
        <v>0</v>
      </c>
      <c r="D22" s="457">
        <f t="shared" ref="D22:D32" si="4">D4*$D$17</f>
        <v>58309.805690986585</v>
      </c>
      <c r="E22" s="457">
        <f t="shared" ref="E22:E32" si="5">E4*$E$17</f>
        <v>8086.9850322019211</v>
      </c>
      <c r="F22" s="457">
        <f t="shared" ref="F22:F32" si="6">F4*$F$17</f>
        <v>12215.427217484354</v>
      </c>
      <c r="G22" s="457">
        <f t="shared" ref="G22:G32" si="7">G4*$G$17</f>
        <v>0</v>
      </c>
      <c r="H22" s="457">
        <f t="shared" ref="H22:H32" si="8">H4*$H$17</f>
        <v>0</v>
      </c>
      <c r="I22" s="457">
        <f t="shared" ref="I22:I32" si="9">I4*$I$17</f>
        <v>0</v>
      </c>
      <c r="J22" s="457">
        <f t="shared" ref="J22:J32" si="10">J4*$J$17</f>
        <v>4875.3728140592457</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109144.59685985645</v>
      </c>
    </row>
    <row r="23" spans="1:17">
      <c r="A23" s="456" t="s">
        <v>155</v>
      </c>
      <c r="B23" s="457">
        <f t="shared" ca="1" si="2"/>
        <v>27769.002215308017</v>
      </c>
      <c r="C23" s="457">
        <f t="shared" ca="1" si="3"/>
        <v>3.3100840336134461</v>
      </c>
      <c r="D23" s="457">
        <f t="shared" ca="1" si="4"/>
        <v>32362.921076249608</v>
      </c>
      <c r="E23" s="457">
        <f t="shared" si="5"/>
        <v>455.68456964129689</v>
      </c>
      <c r="F23" s="457">
        <f t="shared" ca="1" si="6"/>
        <v>6942.7541007402615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67533.672045972809</v>
      </c>
    </row>
    <row r="24" spans="1:17">
      <c r="A24" s="456" t="s">
        <v>193</v>
      </c>
      <c r="B24" s="457">
        <f t="shared" ca="1" si="2"/>
        <v>811.77848873530854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811.77848873530854</v>
      </c>
    </row>
    <row r="25" spans="1:17">
      <c r="A25" s="456" t="s">
        <v>111</v>
      </c>
      <c r="B25" s="457">
        <f t="shared" ca="1" si="2"/>
        <v>978.07685378178019</v>
      </c>
      <c r="C25" s="457">
        <f t="shared" ca="1" si="3"/>
        <v>0</v>
      </c>
      <c r="D25" s="457">
        <f t="shared" si="4"/>
        <v>326.7409767366243</v>
      </c>
      <c r="E25" s="457">
        <f t="shared" si="5"/>
        <v>10.841825082071011</v>
      </c>
      <c r="F25" s="457">
        <f t="shared" si="6"/>
        <v>5212.7878715691377</v>
      </c>
      <c r="G25" s="457">
        <f t="shared" si="7"/>
        <v>0</v>
      </c>
      <c r="H25" s="457">
        <f t="shared" si="8"/>
        <v>0</v>
      </c>
      <c r="I25" s="457">
        <f t="shared" si="9"/>
        <v>0</v>
      </c>
      <c r="J25" s="457">
        <f t="shared" si="10"/>
        <v>144.19036351026742</v>
      </c>
      <c r="K25" s="457">
        <f t="shared" si="11"/>
        <v>0</v>
      </c>
      <c r="L25" s="457">
        <f t="shared" si="12"/>
        <v>0</v>
      </c>
      <c r="M25" s="457">
        <f t="shared" si="13"/>
        <v>0</v>
      </c>
      <c r="N25" s="457">
        <f t="shared" si="14"/>
        <v>0</v>
      </c>
      <c r="O25" s="457">
        <f t="shared" si="15"/>
        <v>0</v>
      </c>
      <c r="P25" s="458">
        <f t="shared" si="16"/>
        <v>0</v>
      </c>
      <c r="Q25" s="456">
        <f t="shared" ca="1" si="17"/>
        <v>6672.63789067988</v>
      </c>
    </row>
    <row r="26" spans="1:17">
      <c r="A26" s="456" t="s">
        <v>654</v>
      </c>
      <c r="B26" s="457">
        <f t="shared" ca="1" si="2"/>
        <v>16858.16327718793</v>
      </c>
      <c r="C26" s="457">
        <f t="shared" ca="1" si="3"/>
        <v>0</v>
      </c>
      <c r="D26" s="457">
        <f t="shared" si="4"/>
        <v>11106.016357754343</v>
      </c>
      <c r="E26" s="457">
        <f t="shared" si="5"/>
        <v>186.32226719083135</v>
      </c>
      <c r="F26" s="457">
        <f t="shared" si="6"/>
        <v>5572.5507313224989</v>
      </c>
      <c r="G26" s="457">
        <f t="shared" si="7"/>
        <v>0</v>
      </c>
      <c r="H26" s="457">
        <f t="shared" si="8"/>
        <v>0</v>
      </c>
      <c r="I26" s="457">
        <f t="shared" si="9"/>
        <v>0</v>
      </c>
      <c r="J26" s="457">
        <f t="shared" si="10"/>
        <v>149.57921472515238</v>
      </c>
      <c r="K26" s="457">
        <f t="shared" si="11"/>
        <v>0</v>
      </c>
      <c r="L26" s="457">
        <f t="shared" si="12"/>
        <v>0</v>
      </c>
      <c r="M26" s="457">
        <f t="shared" si="13"/>
        <v>0</v>
      </c>
      <c r="N26" s="457">
        <f t="shared" si="14"/>
        <v>0</v>
      </c>
      <c r="O26" s="457">
        <f t="shared" si="15"/>
        <v>0</v>
      </c>
      <c r="P26" s="458">
        <f t="shared" si="16"/>
        <v>0</v>
      </c>
      <c r="Q26" s="456">
        <f t="shared" ca="1" si="17"/>
        <v>33872.631848180761</v>
      </c>
    </row>
    <row r="27" spans="1:17" s="462" customFormat="1">
      <c r="A27" s="460" t="s">
        <v>572</v>
      </c>
      <c r="B27" s="768">
        <f t="shared" ca="1" si="2"/>
        <v>0.70137711810202719</v>
      </c>
      <c r="C27" s="461">
        <f t="shared" ca="1" si="3"/>
        <v>0</v>
      </c>
      <c r="D27" s="461">
        <f t="shared" si="4"/>
        <v>3.8857517508895572</v>
      </c>
      <c r="E27" s="461">
        <f t="shared" si="5"/>
        <v>463.07741884735788</v>
      </c>
      <c r="F27" s="461">
        <f t="shared" si="6"/>
        <v>0</v>
      </c>
      <c r="G27" s="461">
        <f t="shared" si="7"/>
        <v>115181.09366361712</v>
      </c>
      <c r="H27" s="461">
        <f t="shared" si="8"/>
        <v>16528.114080394818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132176.8722917283</v>
      </c>
    </row>
    <row r="28" spans="1:17">
      <c r="A28" s="456" t="s">
        <v>562</v>
      </c>
      <c r="B28" s="457">
        <f t="shared" ca="1" si="2"/>
        <v>0</v>
      </c>
      <c r="C28" s="457">
        <f t="shared" ca="1" si="3"/>
        <v>0</v>
      </c>
      <c r="D28" s="457">
        <f t="shared" si="4"/>
        <v>0</v>
      </c>
      <c r="E28" s="457">
        <f t="shared" si="5"/>
        <v>0</v>
      </c>
      <c r="F28" s="457">
        <f t="shared" si="6"/>
        <v>0</v>
      </c>
      <c r="G28" s="457">
        <f t="shared" si="7"/>
        <v>2960.5814105589843</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2960.5814105589843</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1597.2720152176976</v>
      </c>
      <c r="C32" s="457">
        <f t="shared" ca="1" si="3"/>
        <v>0</v>
      </c>
      <c r="D32" s="457">
        <f t="shared" si="4"/>
        <v>3405.7737060471823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5003.0457212648798</v>
      </c>
    </row>
    <row r="33" spans="1:17" s="469" customFormat="1">
      <c r="A33" s="466" t="s">
        <v>566</v>
      </c>
      <c r="B33" s="467">
        <f ca="1">SUM(B22:B32)</f>
        <v>73672.000332473195</v>
      </c>
      <c r="C33" s="467">
        <f t="shared" ref="C33:Q33" ca="1" si="19">SUM(C22:C32)</f>
        <v>3.3100840336134461</v>
      </c>
      <c r="D33" s="467">
        <f t="shared" ca="1" si="19"/>
        <v>105515.14355952523</v>
      </c>
      <c r="E33" s="467">
        <f t="shared" si="19"/>
        <v>9202.9111129634766</v>
      </c>
      <c r="F33" s="467">
        <f t="shared" ca="1" si="19"/>
        <v>29943.519921116251</v>
      </c>
      <c r="G33" s="467">
        <f t="shared" si="19"/>
        <v>118141.67507417611</v>
      </c>
      <c r="H33" s="467">
        <f t="shared" si="19"/>
        <v>16528.114080394818</v>
      </c>
      <c r="I33" s="467">
        <f t="shared" si="19"/>
        <v>0</v>
      </c>
      <c r="J33" s="467">
        <f t="shared" si="19"/>
        <v>5169.1423922946651</v>
      </c>
      <c r="K33" s="467">
        <f t="shared" si="19"/>
        <v>0</v>
      </c>
      <c r="L33" s="467">
        <f t="shared" ca="1" si="19"/>
        <v>0</v>
      </c>
      <c r="M33" s="467">
        <f t="shared" si="19"/>
        <v>0</v>
      </c>
      <c r="N33" s="467">
        <f t="shared" ca="1" si="19"/>
        <v>0</v>
      </c>
      <c r="O33" s="467">
        <f t="shared" si="19"/>
        <v>0</v>
      </c>
      <c r="P33" s="467">
        <f t="shared" si="19"/>
        <v>0</v>
      </c>
      <c r="Q33" s="467">
        <f t="shared" ca="1" si="19"/>
        <v>358175.81655697746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10175.432958717127</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9.75</v>
      </c>
      <c r="D8" s="1018">
        <f>'SEAP template'!D76</f>
        <v>11.47058823529412</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2.3170588235294125</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10175.432958717127</v>
      </c>
      <c r="C10" s="1022">
        <f>SUM(C4:C9)</f>
        <v>9.75</v>
      </c>
      <c r="D10" s="1022">
        <f t="shared" ref="D10:H10" si="0">SUM(D8:D9)</f>
        <v>11.47058823529412</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2.3170588235294125</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0.21445444590939589</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13.928571428571431</v>
      </c>
      <c r="D17" s="1019">
        <f>'SEAP template'!D87</f>
        <v>16.386554621848742</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3.3100840336134461</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13.928571428571431</v>
      </c>
      <c r="D20" s="1022">
        <f t="shared" ref="D20:H20" si="2">SUM(D17:D19)</f>
        <v>16.386554621848742</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3.3100840336134461</v>
      </c>
    </row>
    <row r="22" spans="1:16">
      <c r="A22" s="470" t="s">
        <v>933</v>
      </c>
      <c r="B22" s="774" t="s">
        <v>927</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0.21445444590939589</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2020-06-20T16:43:53Z</dcterms:modified>
</cp:coreProperties>
</file>