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G20" i="18" l="1"/>
  <c r="K20" i="18"/>
  <c r="B45" i="18"/>
  <c r="I49" i="18" s="1"/>
  <c r="H17" i="18" s="1"/>
  <c r="J9" i="18"/>
  <c r="O9" i="18" s="1"/>
  <c r="B17" i="18"/>
  <c r="B20" i="18" s="1"/>
  <c r="C45" i="18"/>
  <c r="H48" i="18" s="1"/>
  <c r="O19" i="18"/>
  <c r="O18" i="18"/>
  <c r="L20" i="18"/>
  <c r="B10" i="18"/>
  <c r="I15" i="48"/>
  <c r="K15" i="48"/>
  <c r="I33" i="48"/>
  <c r="K33" i="48"/>
  <c r="E32" i="48"/>
  <c r="F32" i="48"/>
  <c r="G32" i="48"/>
  <c r="H32" i="48"/>
  <c r="I32" i="48"/>
  <c r="J32" i="48"/>
  <c r="K32" i="48"/>
  <c r="L32" i="48"/>
  <c r="M32" i="48"/>
  <c r="N32" i="48"/>
  <c r="O32" i="48"/>
  <c r="P32" i="48"/>
  <c r="D14" i="48"/>
  <c r="D32" i="48" s="1"/>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Q14" i="48" s="1"/>
  <c r="R90" i="14"/>
  <c r="R78" i="14"/>
  <c r="N56" i="14"/>
  <c r="J56" i="14"/>
  <c r="Q56" i="14"/>
  <c r="P56" i="14"/>
  <c r="I56" i="14"/>
  <c r="P52" i="14"/>
  <c r="O52" i="14"/>
  <c r="L52" i="14"/>
  <c r="K52" i="14"/>
  <c r="J52" i="14"/>
  <c r="G52" i="14"/>
  <c r="H46" i="14"/>
  <c r="R44" i="14"/>
  <c r="I46" i="14"/>
  <c r="P26" i="14"/>
  <c r="L26" i="14"/>
  <c r="H26" i="14"/>
  <c r="E25" i="14"/>
  <c r="E55" i="14" s="1"/>
  <c r="Q26" i="14"/>
  <c r="N26" i="14"/>
  <c r="J26" i="14"/>
  <c r="I26" i="14"/>
  <c r="J22" i="14"/>
  <c r="N16" i="14"/>
  <c r="J16" i="14"/>
  <c r="R12" i="14"/>
  <c r="L16" i="14"/>
  <c r="H16" i="14"/>
  <c r="D5" i="17"/>
  <c r="R25" i="14" l="1"/>
  <c r="D49" i="18"/>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8" i="16"/>
  <c r="E11" i="14"/>
  <c r="D4" i="48"/>
  <c r="D22" i="48" s="1"/>
  <c r="B4" i="48"/>
  <c r="C11" i="14"/>
  <c r="B11" i="16"/>
  <c r="O4" i="48"/>
  <c r="O22" i="48" s="1"/>
  <c r="P11" i="14"/>
  <c r="B8" i="9"/>
  <c r="B6" i="48" s="1"/>
  <c r="Q6" i="48" s="1"/>
  <c r="Q11" i="14"/>
  <c r="P4" i="48"/>
  <c r="P22" i="48" s="1"/>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Q63"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O8" i="48" l="1"/>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H22" i="14" s="1"/>
  <c r="H27" i="14" s="1"/>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<sst xmlns="http://schemas.openxmlformats.org/spreadsheetml/2006/main" count="2522" uniqueCount="977">
  <si>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</si>
  <si>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</si>
  <si>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</si>
  <si>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</si>
  <si>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</si>
  <si>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</si>
  <si>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</si>
  <si>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</si>
  <si>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</si>
  <si>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</si>
  <si>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</si>
  <si>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</si>
  <si>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</si>
  <si>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</si>
  <si>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</si>
  <si>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</si>
  <si>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</si>
  <si>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</si>
  <si>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</si>
  <si>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</si>
  <si>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</si>
  <si>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</si>
  <si>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</si>
  <si>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</si>
  <si>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</si>
  <si>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</si>
  <si>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</si>
  <si>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</si>
  <si>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</si>
  <si>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</si>
  <si>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</si>
  <si>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</si>
  <si>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</si>
  <si>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</si>
  <si>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</si>
  <si>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</si>
  <si>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</si>
  <si>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</si>
  <si>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</si>
  <si>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</si>
  <si>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</si>
  <si>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</si>
  <si>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</si>
  <si>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</si>
  <si>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</si>
  <si>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</si>
  <si>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</si>
  <si>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</si>
  <si>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</si>
  <si>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</si>
  <si>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</si>
  <si>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</si>
  <si>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</si>
  <si>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</si>
  <si>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</si>
  <si>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</si>
  <si>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</si>
  <si>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</si>
  <si>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</si>
  <si>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</si>
  <si>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</si>
  <si>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</si>
  <si>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</si>
  <si>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</si>
  <si>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</si>
  <si>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</si>
  <si>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</si>
  <si>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</si>
  <si>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</si>
  <si>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</si>
  <si>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</si>
  <si>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</si>
  <si>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</si>
  <si>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</si>
  <si>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</si>
  <si>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</si>
  <si>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</si>
  <si>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</si>
  <si>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</si>
  <si>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</si>
  <si>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</si>
  <si>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</si>
  <si>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</si>
  <si>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</si>
  <si>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</si>
  <si>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</si>
  <si>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</si>
  <si>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</si>
  <si>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</si>
  <si>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</si>
  <si>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</si>
  <si>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</si>
  <si>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</si>
  <si>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</si>
  <si>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</si>
  <si>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</si>
  <si>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</si>
  <si>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</si>
  <si>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</si>
  <si>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</si>
  <si>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</si>
  <si>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</si>
  <si>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</si>
  <si>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</si>
  <si>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</si>
  <si>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</si>
  <si>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</si>
  <si>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</si>
  <si>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</si>
  <si>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</si>
  <si>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</si>
  <si>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</si>
  <si>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</si>
  <si>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</si>
  <si>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</si>
  <si>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</si>
  <si>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</si>
  <si>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</si>
  <si>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</si>
  <si>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</si>
  <si>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</si>
  <si>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</si>
  <si>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</si>
  <si>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</si>
  <si>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</si>
  <si>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</si>
  <si>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</si>
  <si>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</si>
  <si>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</si>
  <si>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</si>
  <si>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</si>
  <si>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</si>
  <si>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</si>
  <si>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</si>
  <si>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</si>
  <si>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</si>
  <si>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</si>
  <si>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</si>
  <si>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</si>
  <si>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</si>
  <si>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</si>
  <si>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</si>
  <si>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</si>
  <si>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</si>
  <si>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</si>
  <si>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</si>
  <si>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</si>
  <si>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</si>
  <si>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</si>
  <si>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</si>
  <si>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</si>
  <si>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</si>
  <si>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</si>
  <si>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</si>
  <si>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</si>
  <si>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</si>
  <si>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</si>
  <si>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</si>
  <si>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</si>
  <si>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</si>
  <si>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</si>
  <si>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</si>
  <si>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</si>
  <si>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</si>
  <si>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</si>
  <si>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</si>
  <si>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</si>
  <si>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</si>
  <si>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</si>
  <si>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</si>
  <si>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</si>
  <si>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</si>
  <si>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</si>
  <si>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</si>
  <si>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</si>
  <si>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</si>
  <si>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</si>
  <si>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</si>
  <si>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</si>
  <si>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</si>
  <si>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</si>
  <si>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</si>
  <si>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</si>
  <si>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</si>
  <si>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</si>
  <si>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</si>
  <si>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</si>
  <si>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</si>
  <si>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</si>
  <si>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</si>
  <si>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</si>
  <si>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</si>
  <si>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</si>
  <si>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</si>
  <si>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</si>
  <si>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</si>
  <si>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</si>
  <si>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</si>
  <si>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</si>
  <si>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</si>
  <si>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</si>
  <si>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</si>
  <si>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</si>
  <si>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</si>
  <si>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</si>
  <si>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</si>
  <si>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</si>
  <si>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</si>
  <si>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</si>
  <si>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</si>
  <si>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</si>
  <si>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</si>
  <si>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</si>
  <si>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</si>
  <si>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</si>
  <si>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</si>
  <si>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</si>
  <si>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</si>
  <si>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</si>
  <si>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</si>
  <si>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</si>
  <si>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</si>
  <si>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</si>
  <si>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</si>
  <si>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</si>
  <si>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</si>
  <si>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</si>
  <si>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</si>
  <si>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</si>
  <si>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</si>
  <si>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</si>
  <si>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</si>
  <si>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</si>
  <si>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</si>
  <si>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</si>
  <si>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</si>
  <si>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</si>
  <si>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</si>
  <si>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</si>
  <si>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</si>
  <si>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</si>
  <si>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</si>
  <si>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</si>
  <si>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</si>
  <si>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</si>
  <si>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</si>
  <si>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</si>
  <si>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</si>
  <si>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</si>
  <si>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</si>
  <si>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</si>
  <si>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</si>
  <si>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</si>
  <si>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</si>
  <si>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</si>
  <si>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</si>
  <si>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</si>
  <si>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</si>
  <si>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</si>
  <si>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</si>
  <si>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</si>
  <si>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</si>
  <si>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</si>
  <si>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</si>
  <si>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</si>
  <si>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</si>
  <si>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</si>
  <si>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</si>
  <si>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</si>
  <si>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</si>
  <si>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</si>
  <si>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</si>
  <si>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</si>
  <si>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</si>
  <si>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</si>
  <si>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</si>
  <si>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</si>
  <si>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</si>
  <si>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</si>
  <si>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</si>
  <si>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</si>
  <si>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</si>
  <si>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</si>
  <si>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</si>
  <si>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</si>
  <si>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</si>
  <si>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</si>
  <si>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</si>
  <si>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</si>
  <si>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</si>
  <si>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</si>
  <si>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</si>
  <si>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</si>
  <si>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</si>
  <si>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</si>
  <si>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</si>
  <si>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</si>
  <si>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</si>
  <si>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</si>
  <si>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</si>
  <si>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</si>
  <si>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</si>
  <si>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</si>
  <si>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</si>
  <si>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</si>
  <si>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</si>
  <si>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</si>
  <si>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</si>
  <si>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</si>
  <si>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</si>
  <si>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</si>
  <si>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</si>
  <si>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</si>
  <si>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</si>
  <si>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</si>
  <si>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</si>
  <si>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</si>
  <si>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</si>
  <si>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</si>
  <si>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</si>
  <si>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</si>
  <si>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</si>
  <si>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</si>
  <si>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</si>
  <si>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</si>
  <si>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</si>
  <si>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</si>
  <si>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</si>
  <si>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</si>
  <si>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</si>
  <si>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</si>
  <si>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</si>
  <si>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</si>
  <si>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</si>
  <si>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</si>
  <si>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</si>
  <si>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</si>
  <si>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</si>
  <si>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</si>
  <si>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</si>
  <si>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</si>
  <si>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</si>
  <si>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</si>
  <si>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</si>
  <si>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</si>
  <si>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</si>
  <si>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</si>
  <si>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</si>
  <si>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</si>
  <si>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</si>
  <si>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</si>
  <si>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</si>
  <si>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</si>
  <si>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</si>
  <si>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</si>
  <si>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</si>
  <si>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</si>
  <si>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</si>
  <si>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</si>
  <si>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</si>
  <si>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</si>
  <si>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</si>
  <si>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</si>
  <si>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</si>
  <si>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</si>
  <si>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</si>
  <si>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</si>
  <si>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</si>
  <si>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</si>
  <si>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</si>
  <si>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</si>
  <si>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</si>
  <si>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</si>
  <si>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</si>
  <si>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</si>
  <si>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</si>
  <si>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</si>
  <si>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</si>
  <si>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</si>
  <si>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</si>
  <si>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</si>
  <si>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</si>
  <si>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</si>
  <si>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</si>
  <si>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</si>
  <si>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</si>
  <si>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</si>
  <si>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</si>
  <si>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</si>
  <si>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</si>
  <si>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</si>
  <si>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</si>
  <si>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</si>
  <si>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</si>
  <si>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</si>
  <si>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</si>
  <si>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</si>
  <si>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</si>
  <si>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</si>
  <si>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</si>
  <si>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</si>
  <si>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</si>
  <si>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</si>
  <si>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</si>
  <si>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</si>
  <si>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</si>
  <si>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</si>
  <si>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</si>
  <si>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</si>
  <si>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</si>
  <si>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</si>
  <si>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</si>
  <si>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</si>
  <si>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</si>
  <si>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</si>
  <si>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</si>
  <si>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</si>
  <si>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</si>
  <si>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</si>
  <si>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</si>
  <si>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</si>
  <si>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</si>
  <si>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</si>
  <si>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</si>
  <si>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</si>
  <si>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</si>
  <si>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</si>
  <si>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</si>
  <si>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</si>
  <si>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</si>
  <si>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</si>
  <si>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</si>
  <si>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</si>
  <si>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</si>
  <si>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</si>
  <si>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</si>
  <si>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</si>
  <si>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</si>
  <si>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</si>
  <si>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</si>
  <si>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</si>
  <si>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</si>
  <si>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</si>
  <si>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</si>
  <si>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</si>
  <si>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</si>
  <si>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</si>
  <si>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</si>
  <si>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</si>
  <si>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</si>
  <si>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</si>
  <si>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</si>
  <si>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</si>
  <si>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</si>
  <si>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</si>
  <si>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</si>
  <si>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</si>
  <si>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</si>
  <si>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</si>
  <si>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</si>
  <si>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</si>
  <si>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</si>
  <si>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</si>
  <si>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</si>
  <si>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</si>
  <si>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</si>
  <si>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</si>
  <si>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</si>
  <si>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</si>
  <si>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</si>
  <si>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</si>
  <si>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</si>
  <si>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</si>
  <si>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</si>
  <si>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</si>
  <si>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</si>
  <si>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</si>
  <si>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</si>
  <si>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</si>
  <si>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</si>
  <si>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</si>
  <si>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</si>
  <si>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</si>
  <si>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</si>
  <si>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</si>
  <si>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</si>
  <si>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</si>
  <si>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</si>
  <si>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</si>
  <si>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</si>
  <si>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</si>
  <si>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</si>
  <si>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</si>
  <si>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</si>
  <si>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</si>
  <si>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</si>
  <si>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</si>
  <si>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</si>
  <si>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</si>
  <si>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</si>
  <si>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</si>
  <si>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</si>
  <si>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</si>
  <si>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</si>
  <si>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</si>
  <si>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</si>
  <si>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</si>
  <si>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</si>
  <si>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</si>
  <si>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</si>
  <si>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</si>
  <si>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</si>
  <si>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</si>
  <si>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</si>
  <si>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</si>
  <si>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</si>
  <si>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</si>
  <si>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</si>
  <si>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</si>
  <si>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</si>
  <si>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</si>
  <si>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</si>
  <si>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</si>
  <si>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</si>
  <si>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</si>
  <si>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</si>
  <si>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</si>
  <si>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</si>
  <si>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</si>
  <si>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</si>
  <si>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</si>
  <si>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</si>
  <si>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</si>
  <si>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</si>
  <si>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</si>
  <si>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</si>
  <si>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</si>
  <si>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</si>
  <si>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</si>
  <si>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</si>
  <si>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</si>
  <si>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</si>
  <si>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</si>
  <si>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</si>
  <si>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</si>
  <si>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</si>
  <si>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</si>
  <si>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</si>
  <si>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</si>
  <si>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</si>
  <si>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</si>
  <si>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</si>
  <si>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</si>
  <si>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</si>
  <si>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</si>
  <si>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</si>
  <si>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</si>
  <si>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</si>
  <si>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</si>
  <si>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</si>
  <si>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</si>
  <si>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</si>
  <si>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</si>
  <si>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</si>
  <si>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</si>
  <si>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</si>
  <si>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</si>
  <si>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</si>
  <si>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</si>
  <si>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</si>
  <si>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</si>
  <si>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</si>
  <si>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</si>
  <si>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</si>
  <si>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</si>
  <si>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</si>
  <si>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</si>
  <si>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</si>
  <si>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</si>
  <si>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</si>
  <si>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</si>
  <si>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</si>
  <si>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</si>
  <si>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</si>
  <si>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</si>
  <si>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</si>
  <si>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</si>
  <si>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</si>
  <si>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</si>
  <si>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</si>
  <si>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</si>
  <si>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</si>
  <si>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</si>
  <si>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</si>
  <si>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</si>
  <si>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</si>
  <si>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</si>
  <si>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</si>
  <si>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</si>
  <si>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</si>
  <si>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</si>
  <si>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</si>
  <si>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</si>
  <si>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</si>
  <si>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</si>
  <si>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</si>
  <si>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</si>
  <si>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</si>
  <si>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</si>
  <si>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</si>
  <si>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</si>
  <si>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</si>
  <si>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</si>
  <si>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</si>
  <si>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</si>
  <si>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</si>
  <si>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</si>
  <si>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</si>
  <si>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</si>
  <si>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</si>
  <si>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</si>
  <si>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</si>
  <si>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</si>
  <si>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</si>
  <si>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</si>
  <si>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</si>
  <si>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</si>
  <si>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</si>
  <si>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</si>
  <si>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</si>
  <si>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</si>
  <si>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</si>
  <si>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</si>
  <si>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</si>
  <si>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</si>
  <si>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</si>
  <si>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</si>
  <si>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</si>
  <si>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</si>
  <si>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</si>
  <si>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</si>
  <si>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</si>
  <si>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</si>
  <si>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</si>
  <si>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</si>
  <si>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</si>
  <si>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</si>
  <si>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</si>
  <si>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</si>
  <si>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</si>
  <si>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</si>
  <si>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</si>
  <si>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</si>
  <si>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</si>
  <si>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</si>
  <si>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</si>
  <si>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</si>
  <si>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</si>
  <si>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</si>
  <si>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</si>
  <si>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</si>
  <si>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</si>
  <si>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</si>
  <si>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</si>
  <si>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</si>
  <si>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</si>
  <si>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</si>
  <si>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</si>
  <si>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</si>
  <si>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</si>
  <si>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</si>
  <si>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</si>
  <si>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</si>
  <si>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</si>
  <si>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</si>
  <si>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</si>
  <si>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</si>
  <si>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</si>
  <si>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</si>
  <si>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</si>
  <si>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</si>
  <si>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</si>
  <si>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</si>
  <si>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</si>
  <si>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</si>
  <si>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</si>
  <si>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</si>
  <si>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</si>
  <si>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</si>
  <si>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</si>
  <si>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</si>
  <si>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</si>
  <si>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</si>
  <si>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</si>
  <si>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</si>
  <si>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</si>
  <si>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</si>
  <si>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</si>
  <si>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</si>
  <si>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</si>
  <si>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</si>
  <si>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</si>
  <si>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</si>
  <si>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</si>
  <si>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</si>
  <si>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</si>
  <si>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</si>
  <si>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</si>
  <si>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</si>
  <si>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</si>
  <si>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</si>
  <si>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</si>
  <si>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</si>
  <si>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</si>
  <si>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</si>
  <si>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</si>
  <si>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</si>
  <si>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</si>
  <si>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</si>
  <si>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</si>
  <si>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</si>
  <si>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</si>
  <si>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</si>
  <si>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</si>
  <si>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</si>
  <si>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</si>
  <si>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</si>
  <si>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</si>
  <si>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</si>
  <si>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</si>
  <si>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</si>
  <si>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</si>
  <si>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</si>
  <si>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</si>
  <si>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</si>
  <si>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</si>
  <si>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</si>
  <si>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</si>
  <si>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</si>
  <si>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</si>
  <si>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</si>
  <si>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</si>
  <si>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</si>
  <si>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</si>
  <si>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</si>
  <si>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</si>
  <si>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</si>
  <si>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</si>
  <si>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</si>
  <si>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</si>
  <si>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</si>
  <si>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</si>
  <si>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</si>
  <si>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</si>
  <si>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</si>
  <si>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</si>
  <si>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</si>
  <si>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</si>
  <si>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</si>
  <si>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</si>
  <si>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</si>
  <si>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</si>
  <si>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</si>
  <si>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</si>
  <si>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</si>
  <si>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</si>
  <si>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</si>
  <si>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</si>
  <si>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</si>
  <si>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</si>
  <si>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</si>
  <si>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</si>
  <si>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</si>
  <si>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</si>
  <si>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</si>
  <si>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</si>
  <si>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</si>
  <si>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</si>
  <si>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</si>
  <si>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</si>
  <si>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</si>
  <si>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</si>
  <si>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</si>
  <si>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</si>
  <si>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</si>
  <si>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</si>
  <si>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</si>
  <si>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</si>
  <si>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</si>
  <si>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</si>
  <si>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</si>
  <si>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</si>
  <si>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</si>
  <si>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</si>
  <si>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</si>
  <si>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</si>
  <si>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</si>
  <si>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</si>
  <si>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</si>
  <si>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</si>
  <si>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</si>
  <si>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</si>
  <si>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</si>
  <si>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</si>
  <si>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</si>
  <si>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</si>
  <si>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</si>
  <si>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</si>
  <si>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</si>
  <si>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</si>
  <si>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</si>
  <si>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</si>
  <si>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</si>
  <si>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</si>
  <si>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</si>
  <si>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</si>
  <si>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</si>
  <si>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</si>
  <si>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</si>
  <si>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</si>
  <si>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</si>
  <si>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</si>
  <si>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</si>
  <si>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</si>
  <si>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</si>
  <si>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</si>
  <si>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</si>
  <si>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</si>
  <si>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</si>
  <si>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</si>
  <si>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</si>
  <si>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</si>
  <si>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</si>
  <si>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</si>
  <si>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</si>
  <si>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</si>
  <si>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</si>
  <si>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</si>
  <si>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</si>
  <si>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</si>
  <si>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</si>
  <si>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</si>
  <si>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</si>
  <si>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</si>
  <si>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</si>
  <si>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</si>
  <si>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</si>
  <si>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</si>
  <si>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</si>
  <si>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</si>
  <si>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</si>
  <si>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</si>
  <si>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</si>
  <si>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</si>
  <si>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</si>
  <si>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</si>
  <si>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</si>
  <si>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</si>
  <si>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</si>
  <si>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</si>
  <si>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</si>
  <si>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</si>
  <si>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</si>
  <si>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</si>
  <si>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</si>
  <si>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</si>
  <si>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</si>
  <si>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</si>
  <si>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</si>
  <si>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</si>
  <si>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</si>
  <si>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</si>
  <si>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</si>
  <si>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</si>
  <si>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</si>
  <si>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</si>
  <si>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</si>
  <si>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</si>
  <si>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</si>
  <si>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</si>
  <si>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</si>
  <si>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</si>
  <si>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</si>
  <si>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</si>
  <si>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</si>
  <si>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</si>
  <si>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</si>
  <si>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</si>
  <si>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</si>
  <si>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</si>
  <si>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</si>
  <si>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</si>
  <si>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</si>
  <si>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</si>
  <si>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</si>
  <si>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</si>
  <si>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</si>
  <si>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</si>
  <si>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</si>
  <si>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</si>
  <si>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</si>
  <si>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</si>
  <si>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</si>
  <si>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</si>
  <si>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</si>
  <si>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</si>
  <si>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</si>
  <si>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</si>
  <si>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</si>
  <si>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</si>
  <si>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</si>
  <si>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</si>
  <si>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</si>
  <si>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</si>
  <si>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</si>
  <si>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</si>
  <si>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</si>
  <si>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</si>
  <si>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</si>
  <si>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</si>
  <si>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</si>
  <si>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</si>
  <si>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</si>
  <si>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</si>
  <si>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</si>
  <si>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</si>
  <si>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</si>
  <si>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</si>
  <si>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</si>
  <si>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</si>
  <si>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</si>
  <si>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</si>
  <si>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</si>
  <si>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</si>
  <si>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</si>
  <si>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</si>
  <si>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</si>
  <si>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</si>
  <si>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</si>
  <si>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</si>
  <si>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</si>
  <si>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</si>
  <si>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</si>
  <si>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</si>
  <si>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</si>
  <si>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</si>
  <si>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</si>
  <si>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</si>
  <si>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</si>
  <si>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</si>
  <si>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</si>
  <si>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</si>
  <si>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</si>
  <si>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</si>
  <si>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</si>
  <si>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</si>
  <si>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</si>
  <si>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</si>
  <si>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</si>
  <si>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</si>
  <si>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</si>
  <si>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</si>
  <si>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</si>
  <si>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</si>
  <si>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46013</t>
  </si>
  <si>
    <t>KRUIBEKE</t>
  </si>
  <si>
    <t>Paarden&amp;pony's 200 - 600 kg</t>
  </si>
  <si>
    <t>Paarden&amp;pony's &lt; 200 kg</t>
  </si>
  <si>
    <t>Fluvius</t>
  </si>
  <si>
    <t xml:space="preserve">Bron: </t>
  </si>
  <si>
    <t>referentietaak LNE (2017); Jaarverslag De Lijn</t>
  </si>
  <si>
    <t>Slamotra</t>
  </si>
  <si>
    <t>Hondenstraat 12 , 9150 Kruibeke</t>
  </si>
  <si>
    <t>WKK-0222 Slamotra</t>
  </si>
  <si>
    <t>interne verbrandingsmotor</t>
  </si>
  <si>
    <t>WKK interne verbrandinsgmotor (vloeibaar)</t>
  </si>
  <si>
    <t>eilandwerking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</si>
</sst>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46013</v>
      </c>
      <c r="B6" s="394"/>
      <c r="C6" s="395"/>
    </row>
    <row r="7" spans="1:7" s="392" customFormat="1" ht="15.75" customHeight="1">
      <c r="A7" s="396" t="str">
        <f>txtMunicipality</f>
        <v>KRUIBEKE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0.1716411529200865</v>
      </c>
      <c r="C17" s="506">
        <f ca="1">'EF ele_warmte'!B22</f>
        <v>7.8529411764705875E-2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0.1716411529200865</v>
      </c>
      <c r="C29" s="507">
        <f ca="1">'EF ele_warmte'!B22</f>
        <v>7.8529411764705875E-2</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6497</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1748</v>
      </c>
      <c r="C14" s="331"/>
      <c r="D14" s="331"/>
      <c r="E14" s="331"/>
      <c r="F14" s="331"/>
    </row>
    <row r="15" spans="1:6">
      <c r="A15" s="1290" t="s">
        <v>183</v>
      </c>
      <c r="B15" s="1291">
        <v>31</v>
      </c>
      <c r="C15" s="331"/>
      <c r="D15" s="331"/>
      <c r="E15" s="331"/>
      <c r="F15" s="331"/>
    </row>
    <row r="16" spans="1:6">
      <c r="A16" s="1290" t="s">
        <v>6</v>
      </c>
      <c r="B16" s="1291">
        <v>958</v>
      </c>
      <c r="C16" s="331"/>
      <c r="D16" s="331"/>
      <c r="E16" s="331"/>
      <c r="F16" s="331"/>
    </row>
    <row r="17" spans="1:6">
      <c r="A17" s="1290" t="s">
        <v>7</v>
      </c>
      <c r="B17" s="1291">
        <v>586</v>
      </c>
      <c r="C17" s="331"/>
      <c r="D17" s="331"/>
      <c r="E17" s="331"/>
      <c r="F17" s="331"/>
    </row>
    <row r="18" spans="1:6">
      <c r="A18" s="1290" t="s">
        <v>8</v>
      </c>
      <c r="B18" s="1291">
        <v>920</v>
      </c>
      <c r="C18" s="331"/>
      <c r="D18" s="331"/>
      <c r="E18" s="331"/>
      <c r="F18" s="331"/>
    </row>
    <row r="19" spans="1:6">
      <c r="A19" s="1290" t="s">
        <v>9</v>
      </c>
      <c r="B19" s="1291">
        <v>797</v>
      </c>
      <c r="C19" s="331"/>
      <c r="D19" s="331"/>
      <c r="E19" s="331"/>
      <c r="F19" s="331"/>
    </row>
    <row r="20" spans="1:6">
      <c r="A20" s="1290" t="s">
        <v>10</v>
      </c>
      <c r="B20" s="1291">
        <v>554</v>
      </c>
      <c r="C20" s="331"/>
      <c r="D20" s="331"/>
      <c r="E20" s="331"/>
      <c r="F20" s="331"/>
    </row>
    <row r="21" spans="1:6">
      <c r="A21" s="1290" t="s">
        <v>11</v>
      </c>
      <c r="B21" s="1291">
        <v>6691</v>
      </c>
      <c r="C21" s="331"/>
      <c r="D21" s="331"/>
      <c r="E21" s="331"/>
      <c r="F21" s="331"/>
    </row>
    <row r="22" spans="1:6">
      <c r="A22" s="1290" t="s">
        <v>12</v>
      </c>
      <c r="B22" s="1291">
        <v>22907</v>
      </c>
      <c r="C22" s="331"/>
      <c r="D22" s="331"/>
      <c r="E22" s="331"/>
      <c r="F22" s="331"/>
    </row>
    <row r="23" spans="1:6">
      <c r="A23" s="1290" t="s">
        <v>13</v>
      </c>
      <c r="B23" s="1291">
        <v>376</v>
      </c>
      <c r="C23" s="331"/>
      <c r="D23" s="331"/>
      <c r="E23" s="331"/>
      <c r="F23" s="331"/>
    </row>
    <row r="24" spans="1:6">
      <c r="A24" s="1290" t="s">
        <v>14</v>
      </c>
      <c r="B24" s="1291">
        <v>37</v>
      </c>
      <c r="C24" s="331"/>
      <c r="D24" s="331"/>
      <c r="E24" s="331"/>
      <c r="F24" s="331"/>
    </row>
    <row r="25" spans="1:6">
      <c r="A25" s="1290" t="s">
        <v>15</v>
      </c>
      <c r="B25" s="1291">
        <v>1933</v>
      </c>
      <c r="C25" s="331"/>
      <c r="D25" s="331"/>
      <c r="E25" s="331"/>
      <c r="F25" s="331"/>
    </row>
    <row r="26" spans="1:6">
      <c r="A26" s="1290" t="s">
        <v>16</v>
      </c>
      <c r="B26" s="1291">
        <v>142</v>
      </c>
      <c r="C26" s="331"/>
      <c r="D26" s="331"/>
      <c r="E26" s="331"/>
      <c r="F26" s="331"/>
    </row>
    <row r="27" spans="1:6">
      <c r="A27" s="1290" t="s">
        <v>17</v>
      </c>
      <c r="B27" s="1291">
        <v>2</v>
      </c>
      <c r="C27" s="331"/>
      <c r="D27" s="331"/>
      <c r="E27" s="331"/>
      <c r="F27" s="331"/>
    </row>
    <row r="28" spans="1:6" s="43" customFormat="1">
      <c r="A28" s="1292" t="s">
        <v>18</v>
      </c>
      <c r="B28" s="1293">
        <v>3159</v>
      </c>
      <c r="C28" s="337"/>
      <c r="D28" s="337"/>
      <c r="E28" s="337"/>
      <c r="F28" s="337"/>
    </row>
    <row r="29" spans="1:6">
      <c r="A29" s="1292" t="s">
        <v>966</v>
      </c>
      <c r="B29" s="1293">
        <v>47</v>
      </c>
      <c r="C29" s="337"/>
      <c r="D29" s="337"/>
      <c r="E29" s="337"/>
      <c r="F29" s="337"/>
    </row>
    <row r="30" spans="1:6">
      <c r="A30" s="1285" t="s">
        <v>967</v>
      </c>
      <c r="B30" s="1294">
        <v>10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4</v>
      </c>
      <c r="F38" s="1291">
        <v>10507.2224688321</v>
      </c>
    </row>
    <row r="39" spans="1:6">
      <c r="A39" s="1290" t="s">
        <v>29</v>
      </c>
      <c r="B39" s="1290" t="s">
        <v>30</v>
      </c>
      <c r="C39" s="1291">
        <v>5078</v>
      </c>
      <c r="D39" s="1291">
        <v>83652758.188254699</v>
      </c>
      <c r="E39" s="1291">
        <v>6441</v>
      </c>
      <c r="F39" s="1291">
        <v>30236872.490319598</v>
      </c>
    </row>
    <row r="40" spans="1:6">
      <c r="A40" s="1290" t="s">
        <v>29</v>
      </c>
      <c r="B40" s="1290" t="s">
        <v>28</v>
      </c>
      <c r="C40" s="1291">
        <v>0</v>
      </c>
      <c r="D40" s="1291">
        <v>0</v>
      </c>
      <c r="E40" s="1291">
        <v>0</v>
      </c>
      <c r="F40" s="1291">
        <v>0</v>
      </c>
    </row>
    <row r="41" spans="1:6">
      <c r="A41" s="1290" t="s">
        <v>31</v>
      </c>
      <c r="B41" s="1290" t="s">
        <v>32</v>
      </c>
      <c r="C41" s="1291">
        <v>37</v>
      </c>
      <c r="D41" s="1291">
        <v>1232254.1263419299</v>
      </c>
      <c r="E41" s="1291">
        <v>86</v>
      </c>
      <c r="F41" s="1291">
        <v>1285700.60389047</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6</v>
      </c>
      <c r="F44" s="1291">
        <v>518947.61762610701</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3</v>
      </c>
      <c r="F47" s="1291">
        <v>18240.536152587702</v>
      </c>
    </row>
    <row r="48" spans="1:6">
      <c r="A48" s="1290" t="s">
        <v>31</v>
      </c>
      <c r="B48" s="1290" t="s">
        <v>28</v>
      </c>
      <c r="C48" s="1291">
        <v>29</v>
      </c>
      <c r="D48" s="1291">
        <v>3949665.1080643702</v>
      </c>
      <c r="E48" s="1291">
        <v>37</v>
      </c>
      <c r="F48" s="1291">
        <v>1925764.1538861699</v>
      </c>
    </row>
    <row r="49" spans="1:6">
      <c r="A49" s="1290" t="s">
        <v>31</v>
      </c>
      <c r="B49" s="1290" t="s">
        <v>39</v>
      </c>
      <c r="C49" s="1291">
        <v>0</v>
      </c>
      <c r="D49" s="1291">
        <v>0</v>
      </c>
      <c r="E49" s="1291">
        <v>0</v>
      </c>
      <c r="F49" s="1291">
        <v>0</v>
      </c>
    </row>
    <row r="50" spans="1:6">
      <c r="A50" s="1290" t="s">
        <v>31</v>
      </c>
      <c r="B50" s="1290" t="s">
        <v>40</v>
      </c>
      <c r="C50" s="1291">
        <v>9</v>
      </c>
      <c r="D50" s="1291">
        <v>4783568.3708061203</v>
      </c>
      <c r="E50" s="1291">
        <v>13</v>
      </c>
      <c r="F50" s="1291">
        <v>6612710.9090946298</v>
      </c>
    </row>
    <row r="51" spans="1:6">
      <c r="A51" s="1290" t="s">
        <v>41</v>
      </c>
      <c r="B51" s="1290" t="s">
        <v>42</v>
      </c>
      <c r="C51" s="1291">
        <v>11</v>
      </c>
      <c r="D51" s="1291">
        <v>197205.83156902701</v>
      </c>
      <c r="E51" s="1291">
        <v>81</v>
      </c>
      <c r="F51" s="1291">
        <v>2014448.53829218</v>
      </c>
    </row>
    <row r="52" spans="1:6">
      <c r="A52" s="1290" t="s">
        <v>41</v>
      </c>
      <c r="B52" s="1290" t="s">
        <v>28</v>
      </c>
      <c r="C52" s="1291">
        <v>3</v>
      </c>
      <c r="D52" s="1291">
        <v>81901.247659141605</v>
      </c>
      <c r="E52" s="1291">
        <v>6</v>
      </c>
      <c r="F52" s="1291">
        <v>164900.39321848901</v>
      </c>
    </row>
    <row r="53" spans="1:6">
      <c r="A53" s="1290" t="s">
        <v>43</v>
      </c>
      <c r="B53" s="1290" t="s">
        <v>44</v>
      </c>
      <c r="C53" s="1291">
        <v>168</v>
      </c>
      <c r="D53" s="1291">
        <v>2821224.6375808702</v>
      </c>
      <c r="E53" s="1291">
        <v>251</v>
      </c>
      <c r="F53" s="1291">
        <v>1464362.6644248499</v>
      </c>
    </row>
    <row r="54" spans="1:6">
      <c r="A54" s="1290" t="s">
        <v>45</v>
      </c>
      <c r="B54" s="1290" t="s">
        <v>46</v>
      </c>
      <c r="C54" s="1291">
        <v>0</v>
      </c>
      <c r="D54" s="1291">
        <v>0</v>
      </c>
      <c r="E54" s="1291">
        <v>1</v>
      </c>
      <c r="F54" s="1291">
        <v>1121535</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24</v>
      </c>
      <c r="D57" s="1291">
        <v>593903.86452860001</v>
      </c>
      <c r="E57" s="1291">
        <v>43</v>
      </c>
      <c r="F57" s="1291">
        <v>558518.06903447898</v>
      </c>
    </row>
    <row r="58" spans="1:6">
      <c r="A58" s="1290" t="s">
        <v>48</v>
      </c>
      <c r="B58" s="1290" t="s">
        <v>50</v>
      </c>
      <c r="C58" s="1291">
        <v>4</v>
      </c>
      <c r="D58" s="1291">
        <v>83497.970741483499</v>
      </c>
      <c r="E58" s="1291">
        <v>6</v>
      </c>
      <c r="F58" s="1291">
        <v>106833.72263973299</v>
      </c>
    </row>
    <row r="59" spans="1:6">
      <c r="A59" s="1290" t="s">
        <v>48</v>
      </c>
      <c r="B59" s="1290" t="s">
        <v>51</v>
      </c>
      <c r="C59" s="1291">
        <v>67</v>
      </c>
      <c r="D59" s="1291">
        <v>2831203.4352856399</v>
      </c>
      <c r="E59" s="1291">
        <v>149</v>
      </c>
      <c r="F59" s="1291">
        <v>6308870.30125992</v>
      </c>
    </row>
    <row r="60" spans="1:6">
      <c r="A60" s="1290" t="s">
        <v>48</v>
      </c>
      <c r="B60" s="1290" t="s">
        <v>52</v>
      </c>
      <c r="C60" s="1291">
        <v>36</v>
      </c>
      <c r="D60" s="1291">
        <v>2111638.9573764298</v>
      </c>
      <c r="E60" s="1291">
        <v>43</v>
      </c>
      <c r="F60" s="1291">
        <v>1471632.8738635399</v>
      </c>
    </row>
    <row r="61" spans="1:6">
      <c r="A61" s="1290" t="s">
        <v>48</v>
      </c>
      <c r="B61" s="1290" t="s">
        <v>53</v>
      </c>
      <c r="C61" s="1291">
        <v>108</v>
      </c>
      <c r="D61" s="1291">
        <v>6795325.4708571797</v>
      </c>
      <c r="E61" s="1291">
        <v>285</v>
      </c>
      <c r="F61" s="1291">
        <v>3871777.0628820802</v>
      </c>
    </row>
    <row r="62" spans="1:6">
      <c r="A62" s="1290" t="s">
        <v>48</v>
      </c>
      <c r="B62" s="1290" t="s">
        <v>54</v>
      </c>
      <c r="C62" s="1291">
        <v>5</v>
      </c>
      <c r="D62" s="1291">
        <v>1667030.5736392201</v>
      </c>
      <c r="E62" s="1291">
        <v>13</v>
      </c>
      <c r="F62" s="1291">
        <v>368679.09588015999</v>
      </c>
    </row>
    <row r="63" spans="1:6">
      <c r="A63" s="1290" t="s">
        <v>48</v>
      </c>
      <c r="B63" s="1290" t="s">
        <v>28</v>
      </c>
      <c r="C63" s="1291">
        <v>77</v>
      </c>
      <c r="D63" s="1291">
        <v>3678754.1096349098</v>
      </c>
      <c r="E63" s="1291">
        <v>87</v>
      </c>
      <c r="F63" s="1291">
        <v>1571453.22125961</v>
      </c>
    </row>
    <row r="64" spans="1:6">
      <c r="A64" s="1290" t="s">
        <v>55</v>
      </c>
      <c r="B64" s="1290" t="s">
        <v>56</v>
      </c>
      <c r="C64" s="1291">
        <v>0</v>
      </c>
      <c r="D64" s="1291">
        <v>0</v>
      </c>
      <c r="E64" s="1291">
        <v>0</v>
      </c>
      <c r="F64" s="1291">
        <v>0</v>
      </c>
    </row>
    <row r="65" spans="1:6">
      <c r="A65" s="1290" t="s">
        <v>55</v>
      </c>
      <c r="B65" s="1290" t="s">
        <v>28</v>
      </c>
      <c r="C65" s="1291">
        <v>2</v>
      </c>
      <c r="D65" s="1291">
        <v>65600.962791870799</v>
      </c>
      <c r="E65" s="1291">
        <v>0</v>
      </c>
      <c r="F65" s="1291">
        <v>0</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6</v>
      </c>
      <c r="F68" s="1294">
        <v>123922.839510352</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29656844</v>
      </c>
      <c r="E73" s="455"/>
      <c r="F73" s="331"/>
    </row>
    <row r="74" spans="1:6">
      <c r="A74" s="1290" t="s">
        <v>63</v>
      </c>
      <c r="B74" s="1290" t="s">
        <v>773</v>
      </c>
      <c r="C74" s="1304" t="s">
        <v>774</v>
      </c>
      <c r="D74" s="1305">
        <v>3157501.9924441176</v>
      </c>
      <c r="E74" s="455"/>
      <c r="F74" s="331"/>
    </row>
    <row r="75" spans="1:6">
      <c r="A75" s="1290" t="s">
        <v>64</v>
      </c>
      <c r="B75" s="1290" t="s">
        <v>771</v>
      </c>
      <c r="C75" s="1304" t="s">
        <v>775</v>
      </c>
      <c r="D75" s="1305">
        <v>14335155</v>
      </c>
      <c r="E75" s="455"/>
      <c r="F75" s="331"/>
    </row>
    <row r="76" spans="1:6">
      <c r="A76" s="1290" t="s">
        <v>64</v>
      </c>
      <c r="B76" s="1290" t="s">
        <v>773</v>
      </c>
      <c r="C76" s="1304" t="s">
        <v>776</v>
      </c>
      <c r="D76" s="1305">
        <v>1245273.9924441176</v>
      </c>
      <c r="E76" s="455"/>
      <c r="F76" s="331"/>
    </row>
    <row r="77" spans="1:6">
      <c r="A77" s="1290" t="s">
        <v>65</v>
      </c>
      <c r="B77" s="1290" t="s">
        <v>771</v>
      </c>
      <c r="C77" s="1304" t="s">
        <v>777</v>
      </c>
      <c r="D77" s="1305">
        <v>84092858</v>
      </c>
      <c r="E77" s="455"/>
      <c r="F77" s="331"/>
    </row>
    <row r="78" spans="1:6">
      <c r="A78" s="1285" t="s">
        <v>65</v>
      </c>
      <c r="B78" s="1285" t="s">
        <v>773</v>
      </c>
      <c r="C78" s="1285" t="s">
        <v>778</v>
      </c>
      <c r="D78" s="1306">
        <v>21097852</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429122.01511176466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9911.2119547937709</v>
      </c>
      <c r="C90" s="331"/>
      <c r="D90" s="331"/>
      <c r="E90" s="331"/>
      <c r="F90" s="331"/>
    </row>
    <row r="91" spans="1:6">
      <c r="A91" s="1290" t="s">
        <v>67</v>
      </c>
      <c r="B91" s="1291">
        <v>1588.5330660292577</v>
      </c>
      <c r="C91" s="331"/>
      <c r="D91" s="331"/>
      <c r="E91" s="331"/>
      <c r="F91" s="331"/>
    </row>
    <row r="92" spans="1:6">
      <c r="A92" s="1285" t="s">
        <v>68</v>
      </c>
      <c r="B92" s="1286">
        <v>639.52350883757038</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3655</v>
      </c>
      <c r="C97" s="331"/>
      <c r="D97" s="331"/>
      <c r="E97" s="331"/>
      <c r="F97" s="331"/>
    </row>
    <row r="98" spans="1:6">
      <c r="A98" s="1290" t="s">
        <v>71</v>
      </c>
      <c r="B98" s="1291">
        <v>0</v>
      </c>
      <c r="C98" s="331"/>
      <c r="D98" s="331"/>
      <c r="E98" s="331"/>
      <c r="F98" s="331"/>
    </row>
    <row r="99" spans="1:6">
      <c r="A99" s="1290" t="s">
        <v>72</v>
      </c>
      <c r="B99" s="1291">
        <v>30</v>
      </c>
      <c r="C99" s="331"/>
      <c r="D99" s="331"/>
      <c r="E99" s="331"/>
      <c r="F99" s="331"/>
    </row>
    <row r="100" spans="1:6">
      <c r="A100" s="1290" t="s">
        <v>73</v>
      </c>
      <c r="B100" s="1291">
        <v>641</v>
      </c>
      <c r="C100" s="331"/>
      <c r="D100" s="331"/>
      <c r="E100" s="331"/>
      <c r="F100" s="331"/>
    </row>
    <row r="101" spans="1:6">
      <c r="A101" s="1290" t="s">
        <v>74</v>
      </c>
      <c r="B101" s="1291">
        <v>139</v>
      </c>
      <c r="C101" s="331"/>
      <c r="D101" s="331"/>
      <c r="E101" s="331"/>
      <c r="F101" s="331"/>
    </row>
    <row r="102" spans="1:6">
      <c r="A102" s="1290" t="s">
        <v>75</v>
      </c>
      <c r="B102" s="1291">
        <v>145</v>
      </c>
      <c r="C102" s="331"/>
      <c r="D102" s="331"/>
      <c r="E102" s="331"/>
      <c r="F102" s="331"/>
    </row>
    <row r="103" spans="1:6">
      <c r="A103" s="1290" t="s">
        <v>76</v>
      </c>
      <c r="B103" s="1291">
        <v>202</v>
      </c>
      <c r="C103" s="331"/>
      <c r="D103" s="331"/>
      <c r="E103" s="331"/>
      <c r="F103" s="331"/>
    </row>
    <row r="104" spans="1:6">
      <c r="A104" s="1290" t="s">
        <v>77</v>
      </c>
      <c r="B104" s="1291">
        <v>883</v>
      </c>
      <c r="C104" s="331"/>
      <c r="D104" s="331"/>
      <c r="E104" s="331"/>
      <c r="F104" s="331"/>
    </row>
    <row r="105" spans="1:6">
      <c r="A105" s="1285" t="s">
        <v>78</v>
      </c>
      <c r="B105" s="1294">
        <v>1</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4</v>
      </c>
      <c r="C123" s="1291">
        <v>20</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87</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2</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61210.677344438183</v>
      </c>
      <c r="C3" s="43" t="s">
        <v>169</v>
      </c>
      <c r="D3" s="43"/>
      <c r="E3" s="156"/>
      <c r="F3" s="43"/>
      <c r="G3" s="43"/>
      <c r="H3" s="43"/>
      <c r="I3" s="43"/>
      <c r="J3" s="43"/>
      <c r="K3" s="96"/>
    </row>
    <row r="4" spans="1:11">
      <c r="A4" s="362" t="s">
        <v>170</v>
      </c>
      <c r="B4" s="49">
        <f>IF(ISERROR('SEAP template'!B78+'SEAP template'!C78),0,'SEAP template'!B78+'SEAP template'!C78)</f>
        <v>14515.2685296606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186.58588235294121</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0.1716411529200865</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209.90911764705882</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2673</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7.8529411764705875E-2</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1121.5350000000001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1121.5350000000001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0.1716411529200865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192.50156044022921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30236.872490319598</v>
      </c>
      <c r="C5" s="17">
        <f>IF(ISERROR('Eigen informatie GS &amp; warmtenet'!B57),0,'Eigen informatie GS &amp; warmtenet'!B57)</f>
        <v>0</v>
      </c>
      <c r="D5" s="30">
        <f>(SUM(HH_hh_gas_kWh,HH_rest_gas_kWh)/1000)*0.902</f>
        <v>75454.787885805737</v>
      </c>
      <c r="E5" s="17">
        <f>B46*B57</f>
        <v>3412.5003249941337</v>
      </c>
      <c r="F5" s="17">
        <f>B51*B62</f>
        <v>0</v>
      </c>
      <c r="G5" s="18"/>
      <c r="H5" s="17"/>
      <c r="I5" s="17"/>
      <c r="J5" s="17">
        <f>B50*B61+C50*C61</f>
        <v>1722.9729744089636</v>
      </c>
      <c r="K5" s="17"/>
      <c r="L5" s="17"/>
      <c r="M5" s="17"/>
      <c r="N5" s="17">
        <f>B48*B59+C48*C59</f>
        <v>14056.752605614529</v>
      </c>
      <c r="O5" s="17">
        <f>B69*B70*B71</f>
        <v>168.84</v>
      </c>
      <c r="P5" s="17">
        <f>B77*B78*B79/1000-B77*B78*B79/1000/B80</f>
        <v>114.4</v>
      </c>
    </row>
    <row r="6" spans="1:16">
      <c r="A6" s="16" t="s">
        <v>631</v>
      </c>
      <c r="B6" s="776">
        <f>kWh_PV_kleiner_dan_10kW</f>
        <v>1588.5330660292577</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31825.405556348855</v>
      </c>
      <c r="C8" s="21">
        <f>C5</f>
        <v>0</v>
      </c>
      <c r="D8" s="21">
        <f>D5</f>
        <v>75454.787885805737</v>
      </c>
      <c r="E8" s="21">
        <f>E5</f>
        <v>3412.5003249941337</v>
      </c>
      <c r="F8" s="21">
        <f>F5</f>
        <v>0</v>
      </c>
      <c r="G8" s="21"/>
      <c r="H8" s="21"/>
      <c r="I8" s="21"/>
      <c r="J8" s="21">
        <f>J5</f>
        <v>1722.9729744089636</v>
      </c>
      <c r="K8" s="21"/>
      <c r="L8" s="21">
        <f>L5</f>
        <v>0</v>
      </c>
      <c r="M8" s="21">
        <f>M5</f>
        <v>0</v>
      </c>
      <c r="N8" s="21">
        <f>N5</f>
        <v>14056.752605614529</v>
      </c>
      <c r="O8" s="21">
        <f>O5</f>
        <v>168.84</v>
      </c>
      <c r="P8" s="21">
        <f>P5</f>
        <v>114.4</v>
      </c>
    </row>
    <row r="9" spans="1:16">
      <c r="B9" s="19"/>
      <c r="C9" s="19"/>
      <c r="D9" s="260"/>
      <c r="E9" s="19"/>
      <c r="F9" s="19"/>
      <c r="G9" s="19"/>
      <c r="H9" s="19"/>
      <c r="I9" s="19"/>
      <c r="J9" s="19"/>
      <c r="K9" s="19"/>
      <c r="L9" s="19"/>
      <c r="M9" s="19"/>
      <c r="N9" s="19"/>
      <c r="O9" s="19"/>
      <c r="P9" s="19"/>
    </row>
    <row r="10" spans="1:16">
      <c r="A10" s="24" t="s">
        <v>213</v>
      </c>
      <c r="B10" s="25">
        <f ca="1">'EF ele_warmte'!B12</f>
        <v>0.1716411529200865</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5462.5493018410443</v>
      </c>
      <c r="C12" s="23">
        <f ca="1">C10*C8</f>
        <v>0</v>
      </c>
      <c r="D12" s="23">
        <f>D8*D10</f>
        <v>15241.86715293276</v>
      </c>
      <c r="E12" s="23">
        <f>E10*E8</f>
        <v>774.63757377366835</v>
      </c>
      <c r="F12" s="23">
        <f>F10*F8</f>
        <v>0</v>
      </c>
      <c r="G12" s="23"/>
      <c r="H12" s="23"/>
      <c r="I12" s="23"/>
      <c r="J12" s="23">
        <f>J10*J8</f>
        <v>609.93243294077308</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3655</v>
      </c>
      <c r="C18" s="167" t="s">
        <v>110</v>
      </c>
      <c r="D18" s="229"/>
      <c r="E18" s="15"/>
    </row>
    <row r="19" spans="1:7">
      <c r="A19" s="172" t="s">
        <v>71</v>
      </c>
      <c r="B19" s="37">
        <f>aantalw2001_ander</f>
        <v>0</v>
      </c>
      <c r="C19" s="167" t="s">
        <v>110</v>
      </c>
      <c r="D19" s="230"/>
      <c r="E19" s="15"/>
    </row>
    <row r="20" spans="1:7">
      <c r="A20" s="172" t="s">
        <v>72</v>
      </c>
      <c r="B20" s="37">
        <f>aantalw2001_propaan</f>
        <v>30</v>
      </c>
      <c r="C20" s="168">
        <f>IF(ISERROR(B20/SUM($B$20,$B$21,$B$22)*100),0,B20/SUM($B$20,$B$21,$B$22)*100)</f>
        <v>3.7037037037037033</v>
      </c>
      <c r="D20" s="230"/>
      <c r="E20" s="15"/>
    </row>
    <row r="21" spans="1:7">
      <c r="A21" s="172" t="s">
        <v>73</v>
      </c>
      <c r="B21" s="37">
        <f>aantalw2001_elektriciteit</f>
        <v>641</v>
      </c>
      <c r="C21" s="168">
        <f>IF(ISERROR(B21/SUM($B$20,$B$21,$B$22)*100),0,B21/SUM($B$20,$B$21,$B$22)*100)</f>
        <v>79.135802469135811</v>
      </c>
      <c r="D21" s="230"/>
      <c r="E21" s="15"/>
    </row>
    <row r="22" spans="1:7">
      <c r="A22" s="172" t="s">
        <v>74</v>
      </c>
      <c r="B22" s="37">
        <f>aantalw2001_hout</f>
        <v>139</v>
      </c>
      <c r="C22" s="168">
        <f>IF(ISERROR(B22/SUM($B$20,$B$21,$B$22)*100),0,B22/SUM($B$20,$B$21,$B$22)*100)</f>
        <v>17.160493827160494</v>
      </c>
      <c r="D22" s="230"/>
      <c r="E22" s="15"/>
    </row>
    <row r="23" spans="1:7">
      <c r="A23" s="172" t="s">
        <v>75</v>
      </c>
      <c r="B23" s="37">
        <f>aantalw2001_niet_gespec</f>
        <v>145</v>
      </c>
      <c r="C23" s="167" t="s">
        <v>110</v>
      </c>
      <c r="D23" s="229"/>
      <c r="E23" s="15"/>
    </row>
    <row r="24" spans="1:7">
      <c r="A24" s="172" t="s">
        <v>76</v>
      </c>
      <c r="B24" s="37">
        <f>aantalw2001_steenkool</f>
        <v>202</v>
      </c>
      <c r="C24" s="167" t="s">
        <v>110</v>
      </c>
      <c r="D24" s="230"/>
      <c r="E24" s="15"/>
    </row>
    <row r="25" spans="1:7">
      <c r="A25" s="172" t="s">
        <v>77</v>
      </c>
      <c r="B25" s="37">
        <f>aantalw2001_stookolie</f>
        <v>883</v>
      </c>
      <c r="C25" s="167" t="s">
        <v>110</v>
      </c>
      <c r="D25" s="229"/>
      <c r="E25" s="52"/>
    </row>
    <row r="26" spans="1:7">
      <c r="A26" s="172" t="s">
        <v>78</v>
      </c>
      <c r="B26" s="37">
        <f>aantalw2001_WP</f>
        <v>1</v>
      </c>
      <c r="C26" s="167" t="s">
        <v>110</v>
      </c>
      <c r="D26" s="229"/>
      <c r="E26" s="15"/>
    </row>
    <row r="27" spans="1:7" s="15" customFormat="1">
      <c r="A27" s="172"/>
      <c r="B27" s="29"/>
      <c r="C27" s="36"/>
      <c r="D27" s="229"/>
    </row>
    <row r="28" spans="1:7" s="15" customFormat="1">
      <c r="A28" s="231" t="s">
        <v>711</v>
      </c>
      <c r="B28" s="37">
        <f>aantalHuishoudens</f>
        <v>6497</v>
      </c>
      <c r="C28" s="36"/>
      <c r="D28" s="229"/>
    </row>
    <row r="29" spans="1:7" s="15" customFormat="1">
      <c r="A29" s="231" t="s">
        <v>712</v>
      </c>
      <c r="B29" s="37">
        <f>SUM(HH_hh_gas_aantal,HH_rest_gas_aantal)</f>
        <v>5078</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5078</v>
      </c>
      <c r="C32" s="168">
        <f>IF(ISERROR(B32/SUM($B$32,$B$34,$B$35,$B$36,$B$38,$B$39)*100),0,B32/SUM($B$32,$B$34,$B$35,$B$36,$B$38,$B$39)*100)</f>
        <v>78.231397319365271</v>
      </c>
      <c r="D32" s="234"/>
      <c r="G32" s="15"/>
    </row>
    <row r="33" spans="1:7">
      <c r="A33" s="172" t="s">
        <v>71</v>
      </c>
      <c r="B33" s="34" t="s">
        <v>110</v>
      </c>
      <c r="C33" s="168"/>
      <c r="D33" s="234"/>
      <c r="G33" s="15"/>
    </row>
    <row r="34" spans="1:7">
      <c r="A34" s="172" t="s">
        <v>72</v>
      </c>
      <c r="B34" s="33">
        <f>IF((($B$28-$B$32-$B$39-$B$77-$B$38)*C20/100)&lt;0,0,($B$28-$B$32-$B$39-$B$77-$B$38)*C20/100)</f>
        <v>50.12222222222222</v>
      </c>
      <c r="C34" s="168">
        <f>IF(ISERROR(B34/SUM($B$32,$B$34,$B$35,$B$36,$B$38,$B$39)*100),0,B34/SUM($B$32,$B$34,$B$35,$B$36,$B$38,$B$39)*100)</f>
        <v>0.77218028381177362</v>
      </c>
      <c r="D34" s="234"/>
      <c r="G34" s="15"/>
    </row>
    <row r="35" spans="1:7">
      <c r="A35" s="172" t="s">
        <v>73</v>
      </c>
      <c r="B35" s="33">
        <f>IF((($B$28-$B$32-$B$39-$B$77-$B$38)*C21/100)&lt;0,0,($B$28-$B$32-$B$39-$B$77-$B$38)*C21/100)</f>
        <v>1070.9448148148149</v>
      </c>
      <c r="C35" s="168">
        <f>IF(ISERROR(B35/SUM($B$32,$B$34,$B$35,$B$36,$B$38,$B$39)*100),0,B35/SUM($B$32,$B$34,$B$35,$B$36,$B$38,$B$39)*100)</f>
        <v>16.498918730778232</v>
      </c>
      <c r="D35" s="234"/>
      <c r="G35" s="15"/>
    </row>
    <row r="36" spans="1:7">
      <c r="A36" s="172" t="s">
        <v>74</v>
      </c>
      <c r="B36" s="33">
        <f>IF((($B$28-$B$32-$B$39-$B$77-$B$38)*C22/100)&lt;0,0,($B$28-$B$32-$B$39-$B$77-$B$38)*C22/100)</f>
        <v>232.23296296296294</v>
      </c>
      <c r="C36" s="168">
        <f>IF(ISERROR(B36/SUM($B$32,$B$34,$B$35,$B$36,$B$38,$B$39)*100),0,B36/SUM($B$32,$B$34,$B$35,$B$36,$B$38,$B$39)*100)</f>
        <v>3.5777686483278837</v>
      </c>
      <c r="D36" s="234"/>
      <c r="G36" s="15"/>
    </row>
    <row r="37" spans="1:7">
      <c r="A37" s="172" t="s">
        <v>75</v>
      </c>
      <c r="B37" s="34" t="s">
        <v>110</v>
      </c>
      <c r="C37" s="168"/>
      <c r="D37" s="174"/>
      <c r="G37" s="15"/>
    </row>
    <row r="38" spans="1:7">
      <c r="A38" s="172" t="s">
        <v>76</v>
      </c>
      <c r="B38" s="33">
        <f>IF((B24-(B29-B18)*0.1)&lt;0,0,B24-(B29-B18)*0.1)</f>
        <v>59.699999999999989</v>
      </c>
      <c r="C38" s="168">
        <f>IF(ISERROR(B38/SUM($B$32,$B$34,$B$35,$B$36,$B$38,$B$39)*100),0,B38/SUM($B$32,$B$34,$B$35,$B$36,$B$38,$B$39)*100)</f>
        <v>0.91973501771683863</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5078</v>
      </c>
      <c r="C44" s="34" t="s">
        <v>110</v>
      </c>
      <c r="D44" s="175"/>
    </row>
    <row r="45" spans="1:7">
      <c r="A45" s="172" t="s">
        <v>71</v>
      </c>
      <c r="B45" s="33" t="str">
        <f t="shared" si="0"/>
        <v>-</v>
      </c>
      <c r="C45" s="34" t="s">
        <v>110</v>
      </c>
      <c r="D45" s="175"/>
    </row>
    <row r="46" spans="1:7">
      <c r="A46" s="172" t="s">
        <v>72</v>
      </c>
      <c r="B46" s="33">
        <f t="shared" si="0"/>
        <v>50.12222222222222</v>
      </c>
      <c r="C46" s="34" t="s">
        <v>110</v>
      </c>
      <c r="D46" s="175"/>
    </row>
    <row r="47" spans="1:7">
      <c r="A47" s="172" t="s">
        <v>73</v>
      </c>
      <c r="B47" s="33">
        <f t="shared" si="0"/>
        <v>1070.9448148148149</v>
      </c>
      <c r="C47" s="34" t="s">
        <v>110</v>
      </c>
      <c r="D47" s="175"/>
    </row>
    <row r="48" spans="1:7">
      <c r="A48" s="172" t="s">
        <v>74</v>
      </c>
      <c r="B48" s="33">
        <f t="shared" si="0"/>
        <v>232.23296296296294</v>
      </c>
      <c r="C48" s="33">
        <f>B48*10</f>
        <v>2322.3296296296294</v>
      </c>
      <c r="D48" s="235"/>
    </row>
    <row r="49" spans="1:6">
      <c r="A49" s="172" t="s">
        <v>75</v>
      </c>
      <c r="B49" s="33" t="str">
        <f t="shared" si="0"/>
        <v>-</v>
      </c>
      <c r="C49" s="34" t="s">
        <v>110</v>
      </c>
      <c r="D49" s="235"/>
    </row>
    <row r="50" spans="1:6">
      <c r="A50" s="172" t="s">
        <v>76</v>
      </c>
      <c r="B50" s="33">
        <f t="shared" si="0"/>
        <v>59.699999999999989</v>
      </c>
      <c r="C50" s="33">
        <f>B50*2</f>
        <v>119.39999999999998</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108</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6</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14257.76434681952</v>
      </c>
      <c r="C5" s="17">
        <f>IF(ISERROR('Eigen informatie GS &amp; warmtenet'!B58),0,'Eigen informatie GS &amp; warmtenet'!B58)</f>
        <v>0</v>
      </c>
      <c r="D5" s="30">
        <f>SUM(D6:D12)</f>
        <v>16020.741652621244</v>
      </c>
      <c r="E5" s="17">
        <f>SUM(E6:E12)</f>
        <v>288.36920498929476</v>
      </c>
      <c r="F5" s="17">
        <f>SUM(F6:F12)</f>
        <v>2567.3958616290383</v>
      </c>
      <c r="G5" s="18"/>
      <c r="H5" s="17"/>
      <c r="I5" s="17"/>
      <c r="J5" s="17">
        <f>SUM(J6:J12)</f>
        <v>0</v>
      </c>
      <c r="K5" s="17"/>
      <c r="L5" s="17"/>
      <c r="M5" s="17"/>
      <c r="N5" s="17">
        <f>SUM(N6:N12)</f>
        <v>208.18529473923519</v>
      </c>
      <c r="O5" s="17">
        <f>B38*B39*B40</f>
        <v>1.5633333333333335</v>
      </c>
      <c r="P5" s="17">
        <f>B46*B47*B48/1000-B46*B47*B48/1000/B49</f>
        <v>0</v>
      </c>
      <c r="R5" s="32"/>
    </row>
    <row r="6" spans="1:18">
      <c r="A6" s="32" t="s">
        <v>53</v>
      </c>
      <c r="B6" s="37">
        <f>B26</f>
        <v>3871.7770628820804</v>
      </c>
      <c r="C6" s="33"/>
      <c r="D6" s="37">
        <f>IF(ISERROR(TER_kantoor_gas_kWh/1000),0,TER_kantoor_gas_kWh/1000)*0.902</f>
        <v>6129.3835747131761</v>
      </c>
      <c r="E6" s="33">
        <f>$C$26*'E Balans VL '!I12/100/3.6*1000000</f>
        <v>135.52742779086634</v>
      </c>
      <c r="F6" s="33">
        <f>$C$26*('E Balans VL '!L12+'E Balans VL '!N12)/100/3.6*1000000</f>
        <v>587.04452897190095</v>
      </c>
      <c r="G6" s="34"/>
      <c r="H6" s="33"/>
      <c r="I6" s="33"/>
      <c r="J6" s="33">
        <f>$C$26*('E Balans VL '!D12+'E Balans VL '!E12)/100/3.6*1000000</f>
        <v>0</v>
      </c>
      <c r="K6" s="33"/>
      <c r="L6" s="33"/>
      <c r="M6" s="33"/>
      <c r="N6" s="33">
        <f>$C$26*'E Balans VL '!Y12/100/3.6*1000000</f>
        <v>29.927624863208941</v>
      </c>
      <c r="O6" s="33"/>
      <c r="P6" s="33"/>
      <c r="R6" s="32"/>
    </row>
    <row r="7" spans="1:18">
      <c r="A7" s="32" t="s">
        <v>52</v>
      </c>
      <c r="B7" s="37">
        <f t="shared" ref="B7:B12" si="0">B27</f>
        <v>1471.63287386354</v>
      </c>
      <c r="C7" s="33"/>
      <c r="D7" s="37">
        <f>IF(ISERROR(TER_horeca_gas_kWh/1000),0,TER_horeca_gas_kWh/1000)*0.902</f>
        <v>1904.6983395535399</v>
      </c>
      <c r="E7" s="33">
        <f>$C$27*'E Balans VL '!I9/100/3.6*1000000</f>
        <v>83.019662037522338</v>
      </c>
      <c r="F7" s="33">
        <f>$C$27*('E Balans VL '!L9+'E Balans VL '!N9)/100/3.6*1000000</f>
        <v>256.36659074791822</v>
      </c>
      <c r="G7" s="34"/>
      <c r="H7" s="33"/>
      <c r="I7" s="33"/>
      <c r="J7" s="33">
        <f>$C$27*('E Balans VL '!D9+'E Balans VL '!E9)/100/3.6*1000000</f>
        <v>0</v>
      </c>
      <c r="K7" s="33"/>
      <c r="L7" s="33"/>
      <c r="M7" s="33"/>
      <c r="N7" s="33">
        <f>$C$27*'E Balans VL '!Y9/100/3.6*1000000</f>
        <v>0</v>
      </c>
      <c r="O7" s="33"/>
      <c r="P7" s="33"/>
      <c r="R7" s="32"/>
    </row>
    <row r="8" spans="1:18">
      <c r="A8" s="6" t="s">
        <v>51</v>
      </c>
      <c r="B8" s="37">
        <f t="shared" si="0"/>
        <v>6308.8703012599199</v>
      </c>
      <c r="C8" s="33"/>
      <c r="D8" s="37">
        <f>IF(ISERROR(TER_handel_gas_kWh/1000),0,TER_handel_gas_kWh/1000)*0.902</f>
        <v>2553.7454986276471</v>
      </c>
      <c r="E8" s="33">
        <f>$C$28*'E Balans VL '!I13/100/3.6*1000000</f>
        <v>32.389099154742063</v>
      </c>
      <c r="F8" s="33">
        <f>$C$28*('E Balans VL '!L13+'E Balans VL '!N13)/100/3.6*1000000</f>
        <v>972.73031840115539</v>
      </c>
      <c r="G8" s="34"/>
      <c r="H8" s="33"/>
      <c r="I8" s="33"/>
      <c r="J8" s="33">
        <f>$C$28*('E Balans VL '!D13+'E Balans VL '!E13)/100/3.6*1000000</f>
        <v>0</v>
      </c>
      <c r="K8" s="33"/>
      <c r="L8" s="33"/>
      <c r="M8" s="33"/>
      <c r="N8" s="33">
        <f>$C$28*'E Balans VL '!Y13/100/3.6*1000000</f>
        <v>2.9507356500271431</v>
      </c>
      <c r="O8" s="33"/>
      <c r="P8" s="33"/>
      <c r="R8" s="32"/>
    </row>
    <row r="9" spans="1:18">
      <c r="A9" s="32" t="s">
        <v>50</v>
      </c>
      <c r="B9" s="37">
        <f t="shared" si="0"/>
        <v>106.833722639733</v>
      </c>
      <c r="C9" s="33"/>
      <c r="D9" s="37">
        <f>IF(ISERROR(TER_gezond_gas_kWh/1000),0,TER_gezond_gas_kWh/1000)*0.902</f>
        <v>75.315169608818124</v>
      </c>
      <c r="E9" s="33">
        <f>$C$29*'E Balans VL '!I10/100/3.6*1000000</f>
        <v>4.4281817191665122E-2</v>
      </c>
      <c r="F9" s="33">
        <f>$C$29*('E Balans VL '!L10+'E Balans VL '!N10)/100/3.6*1000000</f>
        <v>26.311613686199561</v>
      </c>
      <c r="G9" s="34"/>
      <c r="H9" s="33"/>
      <c r="I9" s="33"/>
      <c r="J9" s="33">
        <f>$C$29*('E Balans VL '!D10+'E Balans VL '!E10)/100/3.6*1000000</f>
        <v>0</v>
      </c>
      <c r="K9" s="33"/>
      <c r="L9" s="33"/>
      <c r="M9" s="33"/>
      <c r="N9" s="33">
        <f>$C$29*'E Balans VL '!Y10/100/3.6*1000000</f>
        <v>0.92330779043763178</v>
      </c>
      <c r="O9" s="33"/>
      <c r="P9" s="33"/>
      <c r="R9" s="32"/>
    </row>
    <row r="10" spans="1:18">
      <c r="A10" s="32" t="s">
        <v>49</v>
      </c>
      <c r="B10" s="37">
        <f t="shared" si="0"/>
        <v>558.51806903447903</v>
      </c>
      <c r="C10" s="33"/>
      <c r="D10" s="37">
        <f>IF(ISERROR(TER_ander_gas_kWh/1000),0,TER_ander_gas_kWh/1000)*0.902</f>
        <v>535.70128580479718</v>
      </c>
      <c r="E10" s="33">
        <f>$C$30*'E Balans VL '!I14/100/3.6*1000000</f>
        <v>3.4047399289815226</v>
      </c>
      <c r="F10" s="33">
        <f>$C$30*('E Balans VL '!L14+'E Balans VL '!N14)/100/3.6*1000000</f>
        <v>148.07079093071485</v>
      </c>
      <c r="G10" s="34"/>
      <c r="H10" s="33"/>
      <c r="I10" s="33"/>
      <c r="J10" s="33">
        <f>$C$30*('E Balans VL '!D14+'E Balans VL '!E14)/100/3.6*1000000</f>
        <v>0</v>
      </c>
      <c r="K10" s="33"/>
      <c r="L10" s="33"/>
      <c r="M10" s="33"/>
      <c r="N10" s="33">
        <f>$C$30*'E Balans VL '!Y14/100/3.6*1000000</f>
        <v>128.72634622528184</v>
      </c>
      <c r="O10" s="33"/>
      <c r="P10" s="33"/>
      <c r="R10" s="32"/>
    </row>
    <row r="11" spans="1:18">
      <c r="A11" s="32" t="s">
        <v>54</v>
      </c>
      <c r="B11" s="37">
        <f t="shared" si="0"/>
        <v>368.67909588015999</v>
      </c>
      <c r="C11" s="33"/>
      <c r="D11" s="37">
        <f>IF(ISERROR(TER_onderwijs_gas_kWh/1000),0,TER_onderwijs_gas_kWh/1000)*0.902</f>
        <v>1503.6615774225766</v>
      </c>
      <c r="E11" s="33">
        <f>$C$31*'E Balans VL '!I11/100/3.6*1000000</f>
        <v>0.28095266838401128</v>
      </c>
      <c r="F11" s="33">
        <f>$C$31*('E Balans VL '!L11+'E Balans VL '!N11)/100/3.6*1000000</f>
        <v>266.79639823400146</v>
      </c>
      <c r="G11" s="34"/>
      <c r="H11" s="33"/>
      <c r="I11" s="33"/>
      <c r="J11" s="33">
        <f>$C$31*('E Balans VL '!D11+'E Balans VL '!E11)/100/3.6*1000000</f>
        <v>0</v>
      </c>
      <c r="K11" s="33"/>
      <c r="L11" s="33"/>
      <c r="M11" s="33"/>
      <c r="N11" s="33">
        <f>$C$31*'E Balans VL '!Y11/100/3.6*1000000</f>
        <v>1.0865854082571602</v>
      </c>
      <c r="O11" s="33"/>
      <c r="P11" s="33"/>
      <c r="R11" s="32"/>
    </row>
    <row r="12" spans="1:18">
      <c r="A12" s="32" t="s">
        <v>259</v>
      </c>
      <c r="B12" s="37">
        <f t="shared" si="0"/>
        <v>1571.45322125961</v>
      </c>
      <c r="C12" s="33"/>
      <c r="D12" s="37">
        <f>IF(ISERROR(TER_rest_gas_kWh/1000),0,TER_rest_gas_kWh/1000)*0.902</f>
        <v>3318.2362068906887</v>
      </c>
      <c r="E12" s="33">
        <f>$C$32*'E Balans VL '!I8/100/3.6*1000000</f>
        <v>33.703041591606869</v>
      </c>
      <c r="F12" s="33">
        <f>$C$32*('E Balans VL '!L8+'E Balans VL '!N8)/100/3.6*1000000</f>
        <v>310.07562065714751</v>
      </c>
      <c r="G12" s="34"/>
      <c r="H12" s="33"/>
      <c r="I12" s="33"/>
      <c r="J12" s="33">
        <f>$C$32*('E Balans VL '!D8+'E Balans VL '!E8)/100/3.6*1000000</f>
        <v>0</v>
      </c>
      <c r="K12" s="33"/>
      <c r="L12" s="33"/>
      <c r="M12" s="33"/>
      <c r="N12" s="33">
        <f>$C$32*'E Balans VL '!Y8/100/3.6*1000000</f>
        <v>44.570694802022459</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14257.76434681952</v>
      </c>
      <c r="C16" s="21">
        <f ca="1">C5+C13+C14</f>
        <v>0</v>
      </c>
      <c r="D16" s="21">
        <f t="shared" ref="D16:N16" ca="1" si="1">MAX((D5+D13+D14),0)</f>
        <v>16020.741652621244</v>
      </c>
      <c r="E16" s="21">
        <f t="shared" si="1"/>
        <v>288.36920498929476</v>
      </c>
      <c r="F16" s="21">
        <f t="shared" ca="1" si="1"/>
        <v>2567.3958616290383</v>
      </c>
      <c r="G16" s="21">
        <f t="shared" si="1"/>
        <v>0</v>
      </c>
      <c r="H16" s="21">
        <f t="shared" si="1"/>
        <v>0</v>
      </c>
      <c r="I16" s="21">
        <f t="shared" si="1"/>
        <v>0</v>
      </c>
      <c r="J16" s="21">
        <f t="shared" si="1"/>
        <v>0</v>
      </c>
      <c r="K16" s="21">
        <f t="shared" si="1"/>
        <v>0</v>
      </c>
      <c r="L16" s="21">
        <f t="shared" ca="1" si="1"/>
        <v>0</v>
      </c>
      <c r="M16" s="21">
        <f t="shared" si="1"/>
        <v>0</v>
      </c>
      <c r="N16" s="21">
        <f t="shared" ca="1" si="1"/>
        <v>208.18529473923519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0.1716411529200865</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2447.2191105510065</v>
      </c>
      <c r="C20" s="23">
        <f t="shared" ref="C20:P20" ca="1" si="2">C16*C18</f>
        <v>0</v>
      </c>
      <c r="D20" s="23">
        <f t="shared" ca="1" si="2"/>
        <v>3236.1898138294914</v>
      </c>
      <c r="E20" s="23">
        <f t="shared" si="2"/>
        <v>65.459809532569906</v>
      </c>
      <c r="F20" s="23">
        <f t="shared" ca="1" si="2"/>
        <v>685.49469505495324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3871.7770628820804</v>
      </c>
      <c r="C26" s="39">
        <f>IF(ISERROR(B26*3.6/1000000/'E Balans VL '!Z12*100),0,B26*3.6/1000000/'E Balans VL '!Z12*100)</f>
        <v>8.1475127429408156E-2</v>
      </c>
      <c r="D26" s="238" t="s">
        <v>718</v>
      </c>
      <c r="F26" s="6"/>
    </row>
    <row r="27" spans="1:18">
      <c r="A27" s="232" t="s">
        <v>52</v>
      </c>
      <c r="B27" s="33">
        <f>IF(ISERROR(TER_horeca_ele_kWh/1000),0,TER_horeca_ele_kWh/1000)</f>
        <v>1471.63287386354</v>
      </c>
      <c r="C27" s="39">
        <f>IF(ISERROR(B27*3.6/1000000/'E Balans VL '!Z9*100),0,B27*3.6/1000000/'E Balans VL '!Z9*100)</f>
        <v>0.12459902017994538</v>
      </c>
      <c r="D27" s="238" t="s">
        <v>718</v>
      </c>
      <c r="F27" s="6"/>
    </row>
    <row r="28" spans="1:18">
      <c r="A28" s="172" t="s">
        <v>51</v>
      </c>
      <c r="B28" s="33">
        <f>IF(ISERROR(TER_handel_ele_kWh/1000),0,TER_handel_ele_kWh/1000)</f>
        <v>6308.8703012599199</v>
      </c>
      <c r="C28" s="39">
        <f>IF(ISERROR(B28*3.6/1000000/'E Balans VL '!Z13*100),0,B28*3.6/1000000/'E Balans VL '!Z13*100)</f>
        <v>0.1746602019058161</v>
      </c>
      <c r="D28" s="238" t="s">
        <v>718</v>
      </c>
      <c r="F28" s="6"/>
    </row>
    <row r="29" spans="1:18">
      <c r="A29" s="232" t="s">
        <v>50</v>
      </c>
      <c r="B29" s="33">
        <f>IF(ISERROR(TER_gezond_ele_kWh/1000),0,TER_gezond_ele_kWh/1000)</f>
        <v>106.833722639733</v>
      </c>
      <c r="C29" s="39">
        <f>IF(ISERROR(B29*3.6/1000000/'E Balans VL '!Z10*100),0,B29*3.6/1000000/'E Balans VL '!Z10*100)</f>
        <v>1.3887199553262142E-2</v>
      </c>
      <c r="D29" s="238" t="s">
        <v>718</v>
      </c>
      <c r="F29" s="6"/>
    </row>
    <row r="30" spans="1:18">
      <c r="A30" s="232" t="s">
        <v>49</v>
      </c>
      <c r="B30" s="33">
        <f>IF(ISERROR(TER_ander_ele_kWh/1000),0,TER_ander_ele_kWh/1000)</f>
        <v>558.51806903447903</v>
      </c>
      <c r="C30" s="39">
        <f>IF(ISERROR(B30*3.6/1000000/'E Balans VL '!Z14*100),0,B30*3.6/1000000/'E Balans VL '!Z14*100)</f>
        <v>4.3290272352140113E-2</v>
      </c>
      <c r="D30" s="238" t="s">
        <v>718</v>
      </c>
      <c r="F30" s="6"/>
    </row>
    <row r="31" spans="1:18">
      <c r="A31" s="232" t="s">
        <v>54</v>
      </c>
      <c r="B31" s="33">
        <f>IF(ISERROR(TER_onderwijs_ele_kWh/1000),0,TER_onderwijs_ele_kWh/1000)</f>
        <v>368.67909588015999</v>
      </c>
      <c r="C31" s="39">
        <f>IF(ISERROR(B31*3.6/1000000/'E Balans VL '!Z11*100),0,B31*3.6/1000000/'E Balans VL '!Z11*100)</f>
        <v>7.0534593200724457E-2</v>
      </c>
      <c r="D31" s="238" t="s">
        <v>718</v>
      </c>
    </row>
    <row r="32" spans="1:18">
      <c r="A32" s="232" t="s">
        <v>259</v>
      </c>
      <c r="B32" s="33">
        <f>IF(ISERROR(TER_rest_ele_kWh/1000),0,TER_rest_ele_kWh/1000)</f>
        <v>1571.45322125961</v>
      </c>
      <c r="C32" s="39">
        <f>IF(ISERROR(B32*3.6/1000000/'E Balans VL '!Z8*100),0,B32*3.6/1000000/'E Balans VL '!Z8*100)</f>
        <v>1.2957838552670999E-2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10361.363820649964</v>
      </c>
      <c r="C5" s="17">
        <f>IF(ISERROR('Eigen informatie GS &amp; warmtenet'!B59),0,'Eigen informatie GS &amp; warmtenet'!B59)</f>
        <v>0</v>
      </c>
      <c r="D5" s="30">
        <f>SUM(D6:D15)</f>
        <v>8988.8698199016035</v>
      </c>
      <c r="E5" s="17">
        <f>SUM(E6:E15)</f>
        <v>103.51385325064356</v>
      </c>
      <c r="F5" s="17">
        <f>SUM(F6:F15)</f>
        <v>2517.7508407398009</v>
      </c>
      <c r="G5" s="18"/>
      <c r="H5" s="17"/>
      <c r="I5" s="17"/>
      <c r="J5" s="17">
        <f>SUM(J6:J15)</f>
        <v>51.025294105276089</v>
      </c>
      <c r="K5" s="17"/>
      <c r="L5" s="17"/>
      <c r="M5" s="17"/>
      <c r="N5" s="17">
        <f>SUM(N6:N15)</f>
        <v>228.63061756189163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518.94761762610699</v>
      </c>
      <c r="C8" s="33"/>
      <c r="D8" s="37">
        <f>IF( ISERROR(IND_metaal_Gas_kWH/1000),0,IND_metaal_Gas_kWH/1000)*0.902</f>
        <v>0</v>
      </c>
      <c r="E8" s="33">
        <f>C30*'E Balans VL '!I18/100/3.6*1000000</f>
        <v>3.6465304084606025</v>
      </c>
      <c r="F8" s="33">
        <f>C30*'E Balans VL '!L18/100/3.6*1000000+C30*'E Balans VL '!N18/100/3.6*1000000</f>
        <v>56.977412272940384</v>
      </c>
      <c r="G8" s="34"/>
      <c r="H8" s="33"/>
      <c r="I8" s="33"/>
      <c r="J8" s="40">
        <f>C30*'E Balans VL '!D18/100/3.6*1000000+C30*'E Balans VL '!E18/100/3.6*1000000</f>
        <v>10.70700788705193</v>
      </c>
      <c r="K8" s="33"/>
      <c r="L8" s="33"/>
      <c r="M8" s="33"/>
      <c r="N8" s="33">
        <f>C30*'E Balans VL '!Y18/100/3.6*1000000</f>
        <v>1.9450530454299819</v>
      </c>
      <c r="O8" s="33"/>
      <c r="P8" s="33"/>
      <c r="R8" s="32"/>
    </row>
    <row r="9" spans="1:18">
      <c r="A9" s="6" t="s">
        <v>32</v>
      </c>
      <c r="B9" s="37">
        <f t="shared" si="0"/>
        <v>1285.7006038904699</v>
      </c>
      <c r="C9" s="33"/>
      <c r="D9" s="37">
        <f>IF( ISERROR(IND_andere_gas_kWh/1000),0,IND_andere_gas_kWh/1000)*0.902</f>
        <v>1111.4932219604207</v>
      </c>
      <c r="E9" s="33">
        <f>C31*'E Balans VL '!I19/100/3.6*1000000</f>
        <v>21.594916675868227</v>
      </c>
      <c r="F9" s="33">
        <f>C31*'E Balans VL '!L19/100/3.6*1000000+C31*'E Balans VL '!N19/100/3.6*1000000</f>
        <v>1005.0875040829317</v>
      </c>
      <c r="G9" s="34"/>
      <c r="H9" s="33"/>
      <c r="I9" s="33"/>
      <c r="J9" s="40">
        <f>C31*'E Balans VL '!D19/100/3.6*1000000+C31*'E Balans VL '!E19/100/3.6*1000000</f>
        <v>0.11595884509680604</v>
      </c>
      <c r="K9" s="33"/>
      <c r="L9" s="33"/>
      <c r="M9" s="33"/>
      <c r="N9" s="33">
        <f>C31*'E Balans VL '!Y19/100/3.6*1000000</f>
        <v>95.291041998506472</v>
      </c>
      <c r="O9" s="33"/>
      <c r="P9" s="33"/>
      <c r="R9" s="32"/>
    </row>
    <row r="10" spans="1:18">
      <c r="A10" s="6" t="s">
        <v>40</v>
      </c>
      <c r="B10" s="37">
        <f t="shared" si="0"/>
        <v>6612.7109090946296</v>
      </c>
      <c r="C10" s="33"/>
      <c r="D10" s="37">
        <f>IF( ISERROR(IND_voed_gas_kWh/1000),0,IND_voed_gas_kWh/1000)*0.902</f>
        <v>4314.7786704671207</v>
      </c>
      <c r="E10" s="33">
        <f>C32*'E Balans VL '!I20/100/3.6*1000000</f>
        <v>60.331626422693233</v>
      </c>
      <c r="F10" s="33">
        <f>C32*'E Balans VL '!L20/100/3.6*1000000+C32*'E Balans VL '!N20/100/3.6*1000000</f>
        <v>1066.8371031298827</v>
      </c>
      <c r="G10" s="34"/>
      <c r="H10" s="33"/>
      <c r="I10" s="33"/>
      <c r="J10" s="40">
        <f>C32*'E Balans VL '!D20/100/3.6*1000000+C32*'E Balans VL '!E20/100/3.6*1000000</f>
        <v>27.235479026784063</v>
      </c>
      <c r="K10" s="33"/>
      <c r="L10" s="33"/>
      <c r="M10" s="33"/>
      <c r="N10" s="33">
        <f>C32*'E Balans VL '!Y20/100/3.6*1000000</f>
        <v>96.738746331158566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18.240536152587701</v>
      </c>
      <c r="C13" s="33"/>
      <c r="D13" s="37">
        <f>IF( ISERROR(IND_papier_gas_kWh/1000),0,IND_papier_gas_kWh/1000)*0.902</f>
        <v>0</v>
      </c>
      <c r="E13" s="33">
        <f>C35*'E Balans VL '!I23/100/3.6*1000000</f>
        <v>0.56121369385545761</v>
      </c>
      <c r="F13" s="33">
        <f>C35*'E Balans VL '!L23/100/3.6*1000000+C35*'E Balans VL '!N23/100/3.6*1000000</f>
        <v>3.8731032942697077</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1925.7641538861699</v>
      </c>
      <c r="C15" s="33"/>
      <c r="D15" s="37">
        <f>IF( ISERROR(IND_rest_gas_kWh/1000),0,IND_rest_gas_kWh/1000)*0.902</f>
        <v>3562.5979274740621</v>
      </c>
      <c r="E15" s="33">
        <f>C37*'E Balans VL '!I15/100/3.6*1000000</f>
        <v>17.379566049766034</v>
      </c>
      <c r="F15" s="33">
        <f>C37*'E Balans VL '!L15/100/3.6*1000000+C37*'E Balans VL '!N15/100/3.6*1000000</f>
        <v>384.97571795977632</v>
      </c>
      <c r="G15" s="34"/>
      <c r="H15" s="33"/>
      <c r="I15" s="33"/>
      <c r="J15" s="40">
        <f>C37*'E Balans VL '!D15/100/3.6*1000000+C37*'E Balans VL '!E15/100/3.6*1000000</f>
        <v>12.966848346343289</v>
      </c>
      <c r="K15" s="33"/>
      <c r="L15" s="33"/>
      <c r="M15" s="33"/>
      <c r="N15" s="33">
        <f>C37*'E Balans VL '!Y15/100/3.6*1000000</f>
        <v>34.655776186796594</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10361.363820649964</v>
      </c>
      <c r="C18" s="21">
        <f>C5+C16</f>
        <v>0</v>
      </c>
      <c r="D18" s="21">
        <f>MAX((D5+D16),0)</f>
        <v>8988.8698199016035</v>
      </c>
      <c r="E18" s="21">
        <f>MAX((E5+E16),0)</f>
        <v>103.51385325064356</v>
      </c>
      <c r="F18" s="21">
        <f>MAX((F5+F16),0)</f>
        <v>2517.7508407398009</v>
      </c>
      <c r="G18" s="21"/>
      <c r="H18" s="21"/>
      <c r="I18" s="21"/>
      <c r="J18" s="21">
        <f>MAX((J5+J16),0)</f>
        <v>51.025294105276089</v>
      </c>
      <c r="K18" s="21"/>
      <c r="L18" s="21">
        <f>MAX((L5+L16),0)</f>
        <v>0</v>
      </c>
      <c r="M18" s="21"/>
      <c r="N18" s="21">
        <f>MAX((N5+N16),0)</f>
        <v>228.63061756189163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0.1716411529200865</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1778.4364320008322</v>
      </c>
      <c r="C22" s="23">
        <f ca="1">C18*C20</f>
        <v>0</v>
      </c>
      <c r="D22" s="23">
        <f>D18*D20</f>
        <v>1815.7517036201241</v>
      </c>
      <c r="E22" s="23">
        <f>E18*E20</f>
        <v>23.497644687896091</v>
      </c>
      <c r="F22" s="23">
        <f>F18*F20</f>
        <v>672.23947447752687</v>
      </c>
      <c r="G22" s="23"/>
      <c r="H22" s="23"/>
      <c r="I22" s="23"/>
      <c r="J22" s="23">
        <f>J18*J20</f>
        <v>18.062954113267736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518.94761762610699</v>
      </c>
      <c r="C30" s="39">
        <f>IF(ISERROR(B30*3.6/1000000/'E Balans VL '!Z18*100),0,B30*3.6/1000000/'E Balans VL '!Z18*100)</f>
        <v>3.4546659801340592E-2</v>
      </c>
      <c r="D30" s="238" t="s">
        <v>718</v>
      </c>
    </row>
    <row r="31" spans="1:18">
      <c r="A31" s="6" t="s">
        <v>32</v>
      </c>
      <c r="B31" s="37">
        <f>IF( ISERROR(IND_ander_ele_kWh/1000),0,IND_ander_ele_kWh/1000)</f>
        <v>1285.7006038904699</v>
      </c>
      <c r="C31" s="39">
        <f>IF(ISERROR(B31*3.6/1000000/'E Balans VL '!Z19*100),0,B31*3.6/1000000/'E Balans VL '!Z19*100)</f>
        <v>5.6990012607303991E-2</v>
      </c>
      <c r="D31" s="238" t="s">
        <v>718</v>
      </c>
    </row>
    <row r="32" spans="1:18">
      <c r="A32" s="172" t="s">
        <v>40</v>
      </c>
      <c r="B32" s="37">
        <f>IF( ISERROR(IND_voed_ele_kWh/1000),0,IND_voed_ele_kWh/1000)</f>
        <v>6612.7109090946296</v>
      </c>
      <c r="C32" s="39">
        <f>IF(ISERROR(B32*3.6/1000000/'E Balans VL '!Z20*100),0,B32*3.6/1000000/'E Balans VL '!Z20*100)</f>
        <v>0.22088351377623702</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18.240536152587701</v>
      </c>
      <c r="C35" s="39">
        <f>IF(ISERROR(B35*3.6/1000000/'E Balans VL '!Z22*100),0,B35*3.6/1000000/'E Balans VL '!Z22*100)</f>
        <v>3.5475839207778745E-3</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1925.7641538861699</v>
      </c>
      <c r="C37" s="39">
        <f>IF(ISERROR(B37*3.6/1000000/'E Balans VL '!Z15*100),0,B37*3.6/1000000/'E Balans VL '!Z15*100)</f>
        <v>1.4324547966740889E-2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2179.348931510669</v>
      </c>
      <c r="C5" s="17">
        <f>'Eigen informatie GS &amp; warmtenet'!B60</f>
        <v>0</v>
      </c>
      <c r="D5" s="30">
        <f>IF(ISERROR(SUM(LB_lb_gas_kWh,LB_rest_gas_kWh)/1000),0,SUM(LB_lb_gas_kWh,LB_rest_gas_kWh)/1000)*0.902</f>
        <v>251.75458546380807</v>
      </c>
      <c r="E5" s="17">
        <f>B17*'E Balans VL '!I25/3.6*1000000/100</f>
        <v>22.822613820583104</v>
      </c>
      <c r="F5" s="17">
        <f>B17*('E Balans VL '!L25/3.6*1000000+'E Balans VL '!N25/3.6*1000000)/100</f>
        <v>9329.2693803633611</v>
      </c>
      <c r="G5" s="18"/>
      <c r="H5" s="17"/>
      <c r="I5" s="17"/>
      <c r="J5" s="17">
        <f>('E Balans VL '!D25+'E Balans VL '!E25)/3.6*1000000*landbouw!B17/100</f>
        <v>194.63539342161653</v>
      </c>
      <c r="K5" s="17"/>
      <c r="L5" s="17">
        <f>L6*(-1)</f>
        <v>4455</v>
      </c>
      <c r="M5" s="17"/>
      <c r="N5" s="17">
        <f>N6*(-1)</f>
        <v>0</v>
      </c>
      <c r="O5" s="17"/>
      <c r="P5" s="17"/>
      <c r="R5" s="32"/>
    </row>
    <row r="6" spans="1:18">
      <c r="A6" s="16" t="s">
        <v>495</v>
      </c>
      <c r="B6" s="17" t="s">
        <v>210</v>
      </c>
      <c r="C6" s="17">
        <f>'lokale energieproductie'!O39+'lokale energieproductie'!O32</f>
        <v>2673</v>
      </c>
      <c r="D6" s="309">
        <f>('lokale energieproductie'!P32+'lokale energieproductie'!P39)*(-1)</f>
        <v>0</v>
      </c>
      <c r="E6" s="249"/>
      <c r="F6" s="309">
        <f>('lokale energieproductie'!S32+'lokale energieproductie'!S39)*(-1)</f>
        <v>-1485</v>
      </c>
      <c r="G6" s="250"/>
      <c r="H6" s="249"/>
      <c r="I6" s="249"/>
      <c r="J6" s="249"/>
      <c r="K6" s="249"/>
      <c r="L6" s="309">
        <f>('lokale energieproductie'!T32+'lokale energieproductie'!U32+'lokale energieproductie'!T39+'lokale energieproductie'!U39)*(-1)</f>
        <v>-4455</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2179.348931510669</v>
      </c>
      <c r="C8" s="21">
        <f>C5+C6</f>
        <v>2673</v>
      </c>
      <c r="D8" s="21">
        <f>MAX((D5+D6),0)</f>
        <v>251.75458546380807</v>
      </c>
      <c r="E8" s="21">
        <f>MAX((E5+E6),0)</f>
        <v>22.822613820583104</v>
      </c>
      <c r="F8" s="21">
        <f>MAX((F5+F6),0)</f>
        <v>7844.2693803633611</v>
      </c>
      <c r="G8" s="21"/>
      <c r="H8" s="21"/>
      <c r="I8" s="21"/>
      <c r="J8" s="21">
        <f>MAX((J5+J6),0)</f>
        <v>194.63539342161653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0.1716411529200865</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374.06596321964986</v>
      </c>
      <c r="C12" s="23">
        <f ca="1">C8*C10</f>
        <v>209.90911764705879</v>
      </c>
      <c r="D12" s="23">
        <f>D8*D10</f>
        <v>50.854426263689234</v>
      </c>
      <c r="E12" s="23">
        <f>E8*E10</f>
        <v>5.1807333372723647</v>
      </c>
      <c r="F12" s="23">
        <f>F8*F10</f>
        <v>2094.4199245570176</v>
      </c>
      <c r="G12" s="23"/>
      <c r="H12" s="23"/>
      <c r="I12" s="23"/>
      <c r="J12" s="23">
        <f>J8*J10</f>
        <v>68.900929271252252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0.33544386976819418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336.15041606506037</v>
      </c>
      <c r="C26" s="248">
        <f>B26*'GWP N2O_CH4'!B5</f>
        <v>7059.1587373662678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195.5456517004547</v>
      </c>
      <c r="C27" s="248">
        <f>B27*'GWP N2O_CH4'!B5</f>
        <v>4106.4586857095483</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4.5968379344770005</v>
      </c>
      <c r="C28" s="248">
        <f>B28*'GWP N2O_CH4'!B4</f>
        <v>1425.0197596878702</v>
      </c>
      <c r="D28" s="50"/>
    </row>
    <row r="29" spans="1:4">
      <c r="A29" s="41" t="s">
        <v>276</v>
      </c>
      <c r="B29" s="248">
        <f>B34*'ha_N2O bodem landbouw'!B4</f>
        <v>15.726865015433843</v>
      </c>
      <c r="C29" s="248">
        <f>B29*'GWP N2O_CH4'!B4</f>
        <v>4875.3281547844908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2.599070995676145E-3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3.2292888635939849E-6</v>
      </c>
      <c r="C5" s="443" t="s">
        <v>210</v>
      </c>
      <c r="D5" s="428">
        <f>SUM(D6:D11)</f>
        <v>1.6404899464122972E-5</v>
      </c>
      <c r="E5" s="428">
        <f>SUM(E6:E11)</f>
        <v>1.9361258691748457E-3</v>
      </c>
      <c r="F5" s="441" t="s">
        <v>210</v>
      </c>
      <c r="G5" s="428">
        <f>SUM(G6:G11)</f>
        <v>0.4833153240636554</v>
      </c>
      <c r="H5" s="428">
        <f>SUM(H6:H11)</f>
        <v>5.8920963320025783E-2</v>
      </c>
      <c r="I5" s="443" t="s">
        <v>210</v>
      </c>
      <c r="J5" s="443" t="s">
        <v>210</v>
      </c>
      <c r="K5" s="443" t="s">
        <v>210</v>
      </c>
      <c r="L5" s="443" t="s">
        <v>210</v>
      </c>
      <c r="M5" s="428">
        <f>SUM(M6:M11)</f>
        <v>2.3532666368374186E-2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7.4771146489661998E-7</v>
      </c>
      <c r="C6" s="429"/>
      <c r="D6" s="429">
        <f>vkm_GW_PW*SUMIFS(TableVerdeelsleutelVkm[CNG],TableVerdeelsleutelVkm[Voertuigtype],"Lichte voertuigen")*SUMIFS(TableECFTransport[EnergieConsumptieFactor (PJ per km)],TableECFTransport[Index],CONCATENATE($A6,"_CNG_CNG"))</f>
        <v>3.546586326765167E-6</v>
      </c>
      <c r="E6" s="431">
        <f>vkm_GW_PW*SUMIFS(TableVerdeelsleutelVkm[LPG],TableVerdeelsleutelVkm[Voertuigtype],"Lichte voertuigen")*SUMIFS(TableECFTransport[EnergieConsumptieFactor (PJ per km)],TableECFTransport[Index],CONCATENATE($A6,"_LPG_LPG"))</f>
        <v>3.6699770223035496E-4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4.9708944482844256E-2</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1.2376971080797711E-2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2.7110714440867199E-3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2.9661799348546455E-2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8.237768282311345E-7</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1.2778436024244609E-3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3.61419433051275E-7</v>
      </c>
      <c r="C8" s="429"/>
      <c r="D8" s="431">
        <f>vkm_NGW_PW*SUMIFS(TableVerdeelsleutelVkm[CNG],TableVerdeelsleutelVkm[Voertuigtype],"Lichte voertuigen")*SUMIFS(TableECFTransport[EnergieConsumptieFactor (PJ per km)],TableECFTransport[Index],CONCATENATE($A8,"_CNG_CNG"))</f>
        <v>2.9002821641139485E-6</v>
      </c>
      <c r="E8" s="431">
        <f>vkm_NGW_PW*SUMIFS(TableVerdeelsleutelVkm[LPG],TableVerdeelsleutelVkm[Voertuigtype],"Lichte voertuigen")*SUMIFS(TableECFTransport[EnergieConsumptieFactor (PJ per km)],TableECFTransport[Index],CONCATENATE($A8,"_LPG_LPG"))</f>
        <v>2.8119782952754844E-4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3.6506137975450867E-2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9.588258679507862E-3</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2.013954721944199E-3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1.6191789648080952E-2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5.4144413490849527E-7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6.9755377416474518E-4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2.12015796564609E-6</v>
      </c>
      <c r="C10" s="429"/>
      <c r="D10" s="431">
        <f>vkm_SW_PW*SUMIFS(TableVerdeelsleutelVkm[CNG],TableVerdeelsleutelVkm[Voertuigtype],"Lichte voertuigen")*SUMIFS(TableECFTransport[EnergieConsumptieFactor (PJ per km)],TableECFTransport[Index],CONCATENATE($A10,"_CNG_CNG"))</f>
        <v>9.9580309732438572E-6</v>
      </c>
      <c r="E10" s="431">
        <f>vkm_SW_PW*SUMIFS(TableVerdeelsleutelVkm[LPG],TableVerdeelsleutelVkm[Voertuigtype],"Lichte voertuigen")*SUMIFS(TableECFTransport[EnergieConsumptieFactor (PJ per km)],TableECFTransport[Index],CONCATENATE($A10,"_LPG_LPG"))</f>
        <v>1.2879303374169423E-3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0.16042802104671269</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3.6948801636746062E-2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8.6116784050159455E-3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0.19081863156202014</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5.5667020110080877E-6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8.2205644207381159E-3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0.89702468433166249</v>
      </c>
      <c r="C14" s="21"/>
      <c r="D14" s="21">
        <f t="shared" ref="D14:M14" si="0">((D5)*10^9/3600)+D12</f>
        <v>4.5569165178119366</v>
      </c>
      <c r="E14" s="21">
        <f t="shared" si="0"/>
        <v>537.81274143745713</v>
      </c>
      <c r="F14" s="21"/>
      <c r="G14" s="21">
        <f t="shared" si="0"/>
        <v>134254.25668434871</v>
      </c>
      <c r="H14" s="21">
        <f t="shared" si="0"/>
        <v>16366.934255562719</v>
      </c>
      <c r="I14" s="21"/>
      <c r="J14" s="21"/>
      <c r="K14" s="21"/>
      <c r="L14" s="21"/>
      <c r="M14" s="21">
        <f t="shared" si="0"/>
        <v>6536.8517689928294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0.1716411529200865</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0.15396635101646319</v>
      </c>
      <c r="C18" s="23"/>
      <c r="D18" s="23">
        <f t="shared" ref="D18:M18" si="1">D14*D16</f>
        <v>0.92049713659801125</v>
      </c>
      <c r="E18" s="23">
        <f t="shared" si="1"/>
        <v>122.08349230630277</v>
      </c>
      <c r="F18" s="23"/>
      <c r="G18" s="23">
        <f t="shared" si="1"/>
        <v>35845.88653472111</v>
      </c>
      <c r="H18" s="23">
        <f t="shared" si="1"/>
        <v>4075.3666296351171</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5.661045336877335E-3</v>
      </c>
      <c r="H50" s="320">
        <f t="shared" si="2"/>
        <v>0</v>
      </c>
      <c r="I50" s="320">
        <f t="shared" si="2"/>
        <v>0</v>
      </c>
      <c r="J50" s="320">
        <f t="shared" si="2"/>
        <v>0</v>
      </c>
      <c r="K50" s="320">
        <f t="shared" si="2"/>
        <v>0</v>
      </c>
      <c r="L50" s="320">
        <f t="shared" si="2"/>
        <v>0</v>
      </c>
      <c r="M50" s="320">
        <f t="shared" si="2"/>
        <v>2.4072846311786432E-4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5.661045336877335E-3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2.4072846311786432E-4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1572.5125935770375</v>
      </c>
      <c r="H54" s="21">
        <f t="shared" si="3"/>
        <v>0</v>
      </c>
      <c r="I54" s="21">
        <f t="shared" si="3"/>
        <v>0</v>
      </c>
      <c r="J54" s="21">
        <f t="shared" si="3"/>
        <v>0</v>
      </c>
      <c r="K54" s="21">
        <f t="shared" si="3"/>
        <v>0</v>
      </c>
      <c r="L54" s="21">
        <f t="shared" si="3"/>
        <v>0</v>
      </c>
      <c r="M54" s="21">
        <f t="shared" si="3"/>
        <v>66.869017532740088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0.1716411529200865</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419.86086248506905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15379.29934681952</v>
      </c>
      <c r="D10" s="684">
        <f ca="1">tertiair!C16</f>
        <v>0</v>
      </c>
      <c r="E10" s="684">
        <f ca="1">tertiair!D16</f>
        <v>16020.741652621244</v>
      </c>
      <c r="F10" s="684">
        <f>tertiair!E16</f>
        <v>288.36920498929476</v>
      </c>
      <c r="G10" s="684">
        <f ca="1">tertiair!F16</f>
        <v>2567.3958616290383</v>
      </c>
      <c r="H10" s="684">
        <f>tertiair!G16</f>
        <v>0</v>
      </c>
      <c r="I10" s="684">
        <f>tertiair!H16</f>
        <v>0</v>
      </c>
      <c r="J10" s="684">
        <f>tertiair!I16</f>
        <v>0</v>
      </c>
      <c r="K10" s="684">
        <f>tertiair!J16</f>
        <v>0</v>
      </c>
      <c r="L10" s="684">
        <f>tertiair!K16</f>
        <v>0</v>
      </c>
      <c r="M10" s="684">
        <f ca="1">tertiair!L16</f>
        <v>0</v>
      </c>
      <c r="N10" s="684">
        <f>tertiair!M16</f>
        <v>0</v>
      </c>
      <c r="O10" s="684">
        <f ca="1">tertiair!N16</f>
        <v>208.18529473923519</v>
      </c>
      <c r="P10" s="684">
        <f>tertiair!O16</f>
        <v>1.5633333333333335</v>
      </c>
      <c r="Q10" s="685">
        <f>tertiair!P16</f>
        <v>0</v>
      </c>
      <c r="R10" s="687">
        <f ca="1">SUM(C10:Q10)</f>
        <v>34465.554694131664</v>
      </c>
      <c r="S10" s="67"/>
    </row>
    <row r="11" spans="1:19" s="453" customFormat="1">
      <c r="A11" s="799" t="s">
        <v>224</v>
      </c>
      <c r="B11" s="804"/>
      <c r="C11" s="684">
        <f>huishoudens!B8</f>
        <v>31825.405556348855</v>
      </c>
      <c r="D11" s="684">
        <f>huishoudens!C8</f>
        <v>0</v>
      </c>
      <c r="E11" s="684">
        <f>huishoudens!D8</f>
        <v>75454.787885805737</v>
      </c>
      <c r="F11" s="684">
        <f>huishoudens!E8</f>
        <v>3412.5003249941337</v>
      </c>
      <c r="G11" s="684">
        <f>huishoudens!F8</f>
        <v>0</v>
      </c>
      <c r="H11" s="684">
        <f>huishoudens!G8</f>
        <v>0</v>
      </c>
      <c r="I11" s="684">
        <f>huishoudens!H8</f>
        <v>0</v>
      </c>
      <c r="J11" s="684">
        <f>huishoudens!I8</f>
        <v>0</v>
      </c>
      <c r="K11" s="684">
        <f>huishoudens!J8</f>
        <v>1722.9729744089636</v>
      </c>
      <c r="L11" s="684">
        <f>huishoudens!K8</f>
        <v>0</v>
      </c>
      <c r="M11" s="684">
        <f>huishoudens!L8</f>
        <v>0</v>
      </c>
      <c r="N11" s="684">
        <f>huishoudens!M8</f>
        <v>0</v>
      </c>
      <c r="O11" s="684">
        <f>huishoudens!N8</f>
        <v>14056.752605614529</v>
      </c>
      <c r="P11" s="684">
        <f>huishoudens!O8</f>
        <v>168.84</v>
      </c>
      <c r="Q11" s="685">
        <f>huishoudens!P8</f>
        <v>114.4</v>
      </c>
      <c r="R11" s="687">
        <f>SUM(C11:Q11)</f>
        <v>126755.6593471722</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10361.363820649964</v>
      </c>
      <c r="D13" s="684">
        <f>industrie!C18</f>
        <v>0</v>
      </c>
      <c r="E13" s="684">
        <f>industrie!D18</f>
        <v>8988.8698199016035</v>
      </c>
      <c r="F13" s="684">
        <f>industrie!E18</f>
        <v>103.51385325064356</v>
      </c>
      <c r="G13" s="684">
        <f>industrie!F18</f>
        <v>2517.7508407398009</v>
      </c>
      <c r="H13" s="684">
        <f>industrie!G18</f>
        <v>0</v>
      </c>
      <c r="I13" s="684">
        <f>industrie!H18</f>
        <v>0</v>
      </c>
      <c r="J13" s="684">
        <f>industrie!I18</f>
        <v>0</v>
      </c>
      <c r="K13" s="684">
        <f>industrie!J18</f>
        <v>51.025294105276089</v>
      </c>
      <c r="L13" s="684">
        <f>industrie!K18</f>
        <v>0</v>
      </c>
      <c r="M13" s="684">
        <f>industrie!L18</f>
        <v>0</v>
      </c>
      <c r="N13" s="684">
        <f>industrie!M18</f>
        <v>0</v>
      </c>
      <c r="O13" s="684">
        <f>industrie!N18</f>
        <v>228.63061756189163</v>
      </c>
      <c r="P13" s="684">
        <f>industrie!O18</f>
        <v>0</v>
      </c>
      <c r="Q13" s="685">
        <f>industrie!P18</f>
        <v>0</v>
      </c>
      <c r="R13" s="687">
        <f>SUM(C13:Q13)</f>
        <v>22251.154246209178</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57566.068723818331</v>
      </c>
      <c r="D16" s="717">
        <f t="shared" ref="D16:R16" ca="1" si="0">SUM(D9:D15)</f>
        <v>0</v>
      </c>
      <c r="E16" s="717">
        <f t="shared" ca="1" si="0"/>
        <v>100464.39935832859</v>
      </c>
      <c r="F16" s="717">
        <f t="shared" si="0"/>
        <v>3804.383383234072</v>
      </c>
      <c r="G16" s="717">
        <f t="shared" ca="1" si="0"/>
        <v>5085.1467023688392</v>
      </c>
      <c r="H16" s="717">
        <f t="shared" si="0"/>
        <v>0</v>
      </c>
      <c r="I16" s="717">
        <f t="shared" si="0"/>
        <v>0</v>
      </c>
      <c r="J16" s="717">
        <f t="shared" si="0"/>
        <v>0</v>
      </c>
      <c r="K16" s="717">
        <f t="shared" si="0"/>
        <v>1773.9982685142397</v>
      </c>
      <c r="L16" s="717">
        <f t="shared" si="0"/>
        <v>0</v>
      </c>
      <c r="M16" s="717">
        <f t="shared" ca="1" si="0"/>
        <v>0</v>
      </c>
      <c r="N16" s="717">
        <f t="shared" si="0"/>
        <v>0</v>
      </c>
      <c r="O16" s="717">
        <f t="shared" ca="1" si="0"/>
        <v>14493.568517915655</v>
      </c>
      <c r="P16" s="717">
        <f t="shared" si="0"/>
        <v>170.40333333333334</v>
      </c>
      <c r="Q16" s="717">
        <f t="shared" si="0"/>
        <v>114.4</v>
      </c>
      <c r="R16" s="717">
        <f t="shared" ca="1" si="0"/>
        <v>183472.36828751306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1572.5125935770375</v>
      </c>
      <c r="I19" s="684">
        <f>transport!H54</f>
        <v>0</v>
      </c>
      <c r="J19" s="684">
        <f>transport!I54</f>
        <v>0</v>
      </c>
      <c r="K19" s="684">
        <f>transport!J54</f>
        <v>0</v>
      </c>
      <c r="L19" s="684">
        <f>transport!K54</f>
        <v>0</v>
      </c>
      <c r="M19" s="684">
        <f>transport!L54</f>
        <v>0</v>
      </c>
      <c r="N19" s="684">
        <f>transport!M54</f>
        <v>66.869017532740088</v>
      </c>
      <c r="O19" s="684">
        <f>transport!N54</f>
        <v>0</v>
      </c>
      <c r="P19" s="684">
        <f>transport!O54</f>
        <v>0</v>
      </c>
      <c r="Q19" s="685">
        <f>transport!P54</f>
        <v>0</v>
      </c>
      <c r="R19" s="687">
        <f>SUM(C19:Q19)</f>
        <v>1639.3816111097776</v>
      </c>
      <c r="S19" s="67"/>
    </row>
    <row r="20" spans="1:19" s="453" customFormat="1">
      <c r="A20" s="799" t="s">
        <v>306</v>
      </c>
      <c r="B20" s="804"/>
      <c r="C20" s="684">
        <f>transport!B14</f>
        <v>0.89702468433166249</v>
      </c>
      <c r="D20" s="684">
        <f>transport!C14</f>
        <v>0</v>
      </c>
      <c r="E20" s="684">
        <f>transport!D14</f>
        <v>4.5569165178119366</v>
      </c>
      <c r="F20" s="684">
        <f>transport!E14</f>
        <v>537.81274143745713</v>
      </c>
      <c r="G20" s="684">
        <f>transport!F14</f>
        <v>0</v>
      </c>
      <c r="H20" s="684">
        <f>transport!G14</f>
        <v>134254.25668434871</v>
      </c>
      <c r="I20" s="684">
        <f>transport!H14</f>
        <v>16366.934255562719</v>
      </c>
      <c r="J20" s="684">
        <f>transport!I14</f>
        <v>0</v>
      </c>
      <c r="K20" s="684">
        <f>transport!J14</f>
        <v>0</v>
      </c>
      <c r="L20" s="684">
        <f>transport!K14</f>
        <v>0</v>
      </c>
      <c r="M20" s="684">
        <f>transport!L14</f>
        <v>0</v>
      </c>
      <c r="N20" s="684">
        <f>transport!M14</f>
        <v>6536.8517689928294</v>
      </c>
      <c r="O20" s="684">
        <f>transport!N14</f>
        <v>0</v>
      </c>
      <c r="P20" s="684">
        <f>transport!O14</f>
        <v>0</v>
      </c>
      <c r="Q20" s="685">
        <f>transport!P14</f>
        <v>0</v>
      </c>
      <c r="R20" s="687">
        <f>SUM(C20:Q20)</f>
        <v>157701.30939154388</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0.89702468433166249</v>
      </c>
      <c r="D22" s="802">
        <f t="shared" ref="D22:R22" si="1">SUM(D18:D21)</f>
        <v>0</v>
      </c>
      <c r="E22" s="802">
        <f t="shared" si="1"/>
        <v>4.5569165178119366</v>
      </c>
      <c r="F22" s="802">
        <f t="shared" si="1"/>
        <v>537.81274143745713</v>
      </c>
      <c r="G22" s="802">
        <f t="shared" si="1"/>
        <v>0</v>
      </c>
      <c r="H22" s="802">
        <f t="shared" si="1"/>
        <v>135826.76927792575</v>
      </c>
      <c r="I22" s="802">
        <f t="shared" si="1"/>
        <v>16366.934255562719</v>
      </c>
      <c r="J22" s="802">
        <f t="shared" si="1"/>
        <v>0</v>
      </c>
      <c r="K22" s="802">
        <f t="shared" si="1"/>
        <v>0</v>
      </c>
      <c r="L22" s="802">
        <f t="shared" si="1"/>
        <v>0</v>
      </c>
      <c r="M22" s="802">
        <f t="shared" si="1"/>
        <v>0</v>
      </c>
      <c r="N22" s="802">
        <f t="shared" si="1"/>
        <v>6603.7207865255696</v>
      </c>
      <c r="O22" s="802">
        <f t="shared" si="1"/>
        <v>0</v>
      </c>
      <c r="P22" s="802">
        <f t="shared" si="1"/>
        <v>0</v>
      </c>
      <c r="Q22" s="802">
        <f t="shared" si="1"/>
        <v>0</v>
      </c>
      <c r="R22" s="802">
        <f t="shared" si="1"/>
        <v>159340.69100265365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2179.348931510669</v>
      </c>
      <c r="D24" s="684">
        <f>+landbouw!C8</f>
        <v>2673</v>
      </c>
      <c r="E24" s="684">
        <f>+landbouw!D8</f>
        <v>251.75458546380807</v>
      </c>
      <c r="F24" s="684">
        <f>+landbouw!E8</f>
        <v>22.822613820583104</v>
      </c>
      <c r="G24" s="684">
        <f>+landbouw!F8</f>
        <v>7844.2693803633611</v>
      </c>
      <c r="H24" s="684">
        <f>+landbouw!G8</f>
        <v>0</v>
      </c>
      <c r="I24" s="684">
        <f>+landbouw!H8</f>
        <v>0</v>
      </c>
      <c r="J24" s="684">
        <f>+landbouw!I8</f>
        <v>0</v>
      </c>
      <c r="K24" s="684">
        <f>+landbouw!J8</f>
        <v>194.63539342161653</v>
      </c>
      <c r="L24" s="684">
        <f>+landbouw!K8</f>
        <v>0</v>
      </c>
      <c r="M24" s="684">
        <f>+landbouw!L8</f>
        <v>0</v>
      </c>
      <c r="N24" s="684">
        <f>+landbouw!M8</f>
        <v>0</v>
      </c>
      <c r="O24" s="684">
        <f>+landbouw!N8</f>
        <v>0</v>
      </c>
      <c r="P24" s="684">
        <f>+landbouw!O8</f>
        <v>0</v>
      </c>
      <c r="Q24" s="685">
        <f>+landbouw!P8</f>
        <v>0</v>
      </c>
      <c r="R24" s="687">
        <f>SUM(C24:Q24)</f>
        <v>13165.830904580038</v>
      </c>
      <c r="S24" s="67"/>
    </row>
    <row r="25" spans="1:19" s="453" customFormat="1" ht="15" thickBot="1">
      <c r="A25" s="821" t="s">
        <v>912</v>
      </c>
      <c r="B25" s="978"/>
      <c r="C25" s="979">
        <f>IF(Onbekend_ele_kWh="---",0,Onbekend_ele_kWh)/1000+IF(REST_rest_ele_kWh="---",0,REST_rest_ele_kWh)/1000</f>
        <v>1464.36266442485</v>
      </c>
      <c r="D25" s="979"/>
      <c r="E25" s="979">
        <f>IF(onbekend_gas_kWh="---",0,onbekend_gas_kWh)/1000+IF(REST_rest_gas_kWh="---",0,REST_rest_gas_kWh)/1000</f>
        <v>2821.22463758087</v>
      </c>
      <c r="F25" s="979"/>
      <c r="G25" s="979"/>
      <c r="H25" s="979"/>
      <c r="I25" s="979"/>
      <c r="J25" s="979"/>
      <c r="K25" s="979"/>
      <c r="L25" s="979"/>
      <c r="M25" s="979"/>
      <c r="N25" s="979"/>
      <c r="O25" s="979"/>
      <c r="P25" s="979"/>
      <c r="Q25" s="980"/>
      <c r="R25" s="687">
        <f>SUM(C25:Q25)</f>
        <v>4285.5873020057197</v>
      </c>
      <c r="S25" s="67"/>
    </row>
    <row r="26" spans="1:19" s="453" customFormat="1" ht="15.75" thickBot="1">
      <c r="A26" s="690" t="s">
        <v>913</v>
      </c>
      <c r="B26" s="807"/>
      <c r="C26" s="802">
        <f>SUM(C24:C25)</f>
        <v>3643.7115959355187</v>
      </c>
      <c r="D26" s="802">
        <f t="shared" ref="D26:R26" si="2">SUM(D24:D25)</f>
        <v>2673</v>
      </c>
      <c r="E26" s="802">
        <f t="shared" si="2"/>
        <v>3072.9792230446778</v>
      </c>
      <c r="F26" s="802">
        <f t="shared" si="2"/>
        <v>22.822613820583104</v>
      </c>
      <c r="G26" s="802">
        <f t="shared" si="2"/>
        <v>7844.2693803633611</v>
      </c>
      <c r="H26" s="802">
        <f t="shared" si="2"/>
        <v>0</v>
      </c>
      <c r="I26" s="802">
        <f t="shared" si="2"/>
        <v>0</v>
      </c>
      <c r="J26" s="802">
        <f t="shared" si="2"/>
        <v>0</v>
      </c>
      <c r="K26" s="802">
        <f t="shared" si="2"/>
        <v>194.63539342161653</v>
      </c>
      <c r="L26" s="802">
        <f t="shared" si="2"/>
        <v>0</v>
      </c>
      <c r="M26" s="802">
        <f t="shared" si="2"/>
        <v>0</v>
      </c>
      <c r="N26" s="802">
        <f t="shared" si="2"/>
        <v>0</v>
      </c>
      <c r="O26" s="802">
        <f t="shared" si="2"/>
        <v>0</v>
      </c>
      <c r="P26" s="802">
        <f t="shared" si="2"/>
        <v>0</v>
      </c>
      <c r="Q26" s="802">
        <f t="shared" si="2"/>
        <v>0</v>
      </c>
      <c r="R26" s="802">
        <f t="shared" si="2"/>
        <v>17451.418206585757</v>
      </c>
      <c r="S26" s="67"/>
    </row>
    <row r="27" spans="1:19" s="453" customFormat="1" ht="17.25" thickTop="1" thickBot="1">
      <c r="A27" s="691" t="s">
        <v>115</v>
      </c>
      <c r="B27" s="794"/>
      <c r="C27" s="692">
        <f ca="1">C22+C16+C26</f>
        <v>61210.677344438183</v>
      </c>
      <c r="D27" s="692">
        <f t="shared" ref="D27:R27" ca="1" si="3">D22+D16+D26</f>
        <v>2673</v>
      </c>
      <c r="E27" s="692">
        <f t="shared" ca="1" si="3"/>
        <v>103541.93549789109</v>
      </c>
      <c r="F27" s="692">
        <f t="shared" si="3"/>
        <v>4365.0187384921119</v>
      </c>
      <c r="G27" s="692">
        <f t="shared" ca="1" si="3"/>
        <v>12929.416082732201</v>
      </c>
      <c r="H27" s="692">
        <f t="shared" si="3"/>
        <v>135826.76927792575</v>
      </c>
      <c r="I27" s="692">
        <f t="shared" si="3"/>
        <v>16366.934255562719</v>
      </c>
      <c r="J27" s="692">
        <f t="shared" si="3"/>
        <v>0</v>
      </c>
      <c r="K27" s="692">
        <f t="shared" si="3"/>
        <v>1968.6336619358563</v>
      </c>
      <c r="L27" s="692">
        <f t="shared" si="3"/>
        <v>0</v>
      </c>
      <c r="M27" s="692">
        <f t="shared" ca="1" si="3"/>
        <v>0</v>
      </c>
      <c r="N27" s="692">
        <f t="shared" si="3"/>
        <v>6603.7207865255696</v>
      </c>
      <c r="O27" s="692">
        <f t="shared" ca="1" si="3"/>
        <v>14493.568517915655</v>
      </c>
      <c r="P27" s="692">
        <f t="shared" si="3"/>
        <v>170.40333333333334</v>
      </c>
      <c r="Q27" s="692">
        <f t="shared" si="3"/>
        <v>114.4</v>
      </c>
      <c r="R27" s="692">
        <f t="shared" ca="1" si="3"/>
        <v>360264.47749675246</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2639.7206709912357</v>
      </c>
      <c r="D40" s="684">
        <f ca="1">tertiair!C20</f>
        <v>0</v>
      </c>
      <c r="E40" s="684">
        <f ca="1">tertiair!D20</f>
        <v>3236.1898138294914</v>
      </c>
      <c r="F40" s="684">
        <f>tertiair!E20</f>
        <v>65.459809532569906</v>
      </c>
      <c r="G40" s="684">
        <f ca="1">tertiair!F20</f>
        <v>685.49469505495324</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6626.86498940825</v>
      </c>
    </row>
    <row r="41" spans="1:18">
      <c r="A41" s="812" t="s">
        <v>224</v>
      </c>
      <c r="B41" s="819"/>
      <c r="C41" s="684">
        <f ca="1">huishoudens!B12</f>
        <v>5462.5493018410443</v>
      </c>
      <c r="D41" s="684">
        <f ca="1">huishoudens!C12</f>
        <v>0</v>
      </c>
      <c r="E41" s="684">
        <f>huishoudens!D12</f>
        <v>15241.86715293276</v>
      </c>
      <c r="F41" s="684">
        <f>huishoudens!E12</f>
        <v>774.63757377366835</v>
      </c>
      <c r="G41" s="684">
        <f>huishoudens!F12</f>
        <v>0</v>
      </c>
      <c r="H41" s="684">
        <f>huishoudens!G12</f>
        <v>0</v>
      </c>
      <c r="I41" s="684">
        <f>huishoudens!H12</f>
        <v>0</v>
      </c>
      <c r="J41" s="684">
        <f>huishoudens!I12</f>
        <v>0</v>
      </c>
      <c r="K41" s="684">
        <f>huishoudens!J12</f>
        <v>609.93243294077308</v>
      </c>
      <c r="L41" s="684">
        <f>huishoudens!K12</f>
        <v>0</v>
      </c>
      <c r="M41" s="684">
        <f>huishoudens!L12</f>
        <v>0</v>
      </c>
      <c r="N41" s="684">
        <f>huishoudens!M12</f>
        <v>0</v>
      </c>
      <c r="O41" s="684">
        <f>huishoudens!N12</f>
        <v>0</v>
      </c>
      <c r="P41" s="684">
        <f>huishoudens!O12</f>
        <v>0</v>
      </c>
      <c r="Q41" s="759">
        <f>huishoudens!P12</f>
        <v>0</v>
      </c>
      <c r="R41" s="840">
        <f t="shared" ca="1" si="4"/>
        <v>22088.986461488243</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1778.4364320008322</v>
      </c>
      <c r="D43" s="684">
        <f ca="1">industrie!C22</f>
        <v>0</v>
      </c>
      <c r="E43" s="684">
        <f>industrie!D22</f>
        <v>1815.7517036201241</v>
      </c>
      <c r="F43" s="684">
        <f>industrie!E22</f>
        <v>23.497644687896091</v>
      </c>
      <c r="G43" s="684">
        <f>industrie!F22</f>
        <v>672.23947447752687</v>
      </c>
      <c r="H43" s="684">
        <f>industrie!G22</f>
        <v>0</v>
      </c>
      <c r="I43" s="684">
        <f>industrie!H22</f>
        <v>0</v>
      </c>
      <c r="J43" s="684">
        <f>industrie!I22</f>
        <v>0</v>
      </c>
      <c r="K43" s="684">
        <f>industrie!J22</f>
        <v>18.062954113267736</v>
      </c>
      <c r="L43" s="684">
        <f>industrie!K22</f>
        <v>0</v>
      </c>
      <c r="M43" s="684">
        <f>industrie!L22</f>
        <v>0</v>
      </c>
      <c r="N43" s="684">
        <f>industrie!M22</f>
        <v>0</v>
      </c>
      <c r="O43" s="684">
        <f>industrie!N22</f>
        <v>0</v>
      </c>
      <c r="P43" s="684">
        <f>industrie!O22</f>
        <v>0</v>
      </c>
      <c r="Q43" s="759">
        <f>industrie!P22</f>
        <v>0</v>
      </c>
      <c r="R43" s="839">
        <f t="shared" ca="1" si="4"/>
        <v>4307.9882088996465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9880.7064048331122</v>
      </c>
      <c r="D46" s="717">
        <f t="shared" ref="D46:Q46" ca="1" si="5">SUM(D39:D45)</f>
        <v>0</v>
      </c>
      <c r="E46" s="717">
        <f t="shared" ca="1" si="5"/>
        <v>20293.808670382376</v>
      </c>
      <c r="F46" s="717">
        <f t="shared" si="5"/>
        <v>863.5950279941344</v>
      </c>
      <c r="G46" s="717">
        <f t="shared" ca="1" si="5"/>
        <v>1357.7341695324801</v>
      </c>
      <c r="H46" s="717">
        <f t="shared" si="5"/>
        <v>0</v>
      </c>
      <c r="I46" s="717">
        <f t="shared" si="5"/>
        <v>0</v>
      </c>
      <c r="J46" s="717">
        <f t="shared" si="5"/>
        <v>0</v>
      </c>
      <c r="K46" s="717">
        <f t="shared" si="5"/>
        <v>627.99538705404086</v>
      </c>
      <c r="L46" s="717">
        <f t="shared" si="5"/>
        <v>0</v>
      </c>
      <c r="M46" s="717">
        <f t="shared" ca="1" si="5"/>
        <v>0</v>
      </c>
      <c r="N46" s="717">
        <f t="shared" si="5"/>
        <v>0</v>
      </c>
      <c r="O46" s="717">
        <f t="shared" ca="1" si="5"/>
        <v>0</v>
      </c>
      <c r="P46" s="717">
        <f t="shared" si="5"/>
        <v>0</v>
      </c>
      <c r="Q46" s="717">
        <f t="shared" si="5"/>
        <v>0</v>
      </c>
      <c r="R46" s="717">
        <f ca="1">SUM(R39:R45)</f>
        <v>33023.83965979614</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419.86086248506905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419.86086248506905</v>
      </c>
    </row>
    <row r="50" spans="1:18">
      <c r="A50" s="815" t="s">
        <v>306</v>
      </c>
      <c r="B50" s="825"/>
      <c r="C50" s="985">
        <f ca="1">transport!B18</f>
        <v>0.15396635101646319</v>
      </c>
      <c r="D50" s="985">
        <f>transport!C18</f>
        <v>0</v>
      </c>
      <c r="E50" s="985">
        <f>transport!D18</f>
        <v>0.92049713659801125</v>
      </c>
      <c r="F50" s="985">
        <f>transport!E18</f>
        <v>122.08349230630277</v>
      </c>
      <c r="G50" s="985">
        <f>transport!F18</f>
        <v>0</v>
      </c>
      <c r="H50" s="985">
        <f>transport!G18</f>
        <v>35845.88653472111</v>
      </c>
      <c r="I50" s="985">
        <f>transport!H18</f>
        <v>4075.3666296351171</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40044.411120150144</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0.15396635101646319</v>
      </c>
      <c r="D52" s="717">
        <f t="shared" ref="D52:Q52" ca="1" si="6">SUM(D48:D51)</f>
        <v>0</v>
      </c>
      <c r="E52" s="717">
        <f t="shared" si="6"/>
        <v>0.92049713659801125</v>
      </c>
      <c r="F52" s="717">
        <f t="shared" si="6"/>
        <v>122.08349230630277</v>
      </c>
      <c r="G52" s="717">
        <f t="shared" si="6"/>
        <v>0</v>
      </c>
      <c r="H52" s="717">
        <f t="shared" si="6"/>
        <v>36265.747397206178</v>
      </c>
      <c r="I52" s="717">
        <f t="shared" si="6"/>
        <v>4075.3666296351171</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40464.271982635211</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374.06596321964986</v>
      </c>
      <c r="D54" s="985">
        <f ca="1">+landbouw!C12</f>
        <v>209.90911764705879</v>
      </c>
      <c r="E54" s="985">
        <f>+landbouw!D12</f>
        <v>50.854426263689234</v>
      </c>
      <c r="F54" s="985">
        <f>+landbouw!E12</f>
        <v>5.1807333372723647</v>
      </c>
      <c r="G54" s="985">
        <f>+landbouw!F12</f>
        <v>2094.4199245570176</v>
      </c>
      <c r="H54" s="985">
        <f>+landbouw!G12</f>
        <v>0</v>
      </c>
      <c r="I54" s="985">
        <f>+landbouw!H12</f>
        <v>0</v>
      </c>
      <c r="J54" s="985">
        <f>+landbouw!I12</f>
        <v>0</v>
      </c>
      <c r="K54" s="985">
        <f>+landbouw!J12</f>
        <v>68.900929271252252</v>
      </c>
      <c r="L54" s="985">
        <f>+landbouw!K12</f>
        <v>0</v>
      </c>
      <c r="M54" s="985">
        <f>+landbouw!L12</f>
        <v>0</v>
      </c>
      <c r="N54" s="985">
        <f>+landbouw!M12</f>
        <v>0</v>
      </c>
      <c r="O54" s="985">
        <f>+landbouw!N12</f>
        <v>0</v>
      </c>
      <c r="P54" s="985">
        <f>+landbouw!O12</f>
        <v>0</v>
      </c>
      <c r="Q54" s="986">
        <f>+landbouw!P12</f>
        <v>0</v>
      </c>
      <c r="R54" s="716">
        <f ca="1">SUM(C54:Q54)</f>
        <v>2803.3310942959401</v>
      </c>
    </row>
    <row r="55" spans="1:18" ht="15" thickBot="1">
      <c r="A55" s="815" t="s">
        <v>912</v>
      </c>
      <c r="B55" s="825"/>
      <c r="C55" s="985">
        <f ca="1">C25*'EF ele_warmte'!B12</f>
        <v>251.34489601501099</v>
      </c>
      <c r="D55" s="985"/>
      <c r="E55" s="985">
        <f>E25*EF_CO2_aardgas</f>
        <v>569.88737679133578</v>
      </c>
      <c r="F55" s="985"/>
      <c r="G55" s="985"/>
      <c r="H55" s="985"/>
      <c r="I55" s="985"/>
      <c r="J55" s="985"/>
      <c r="K55" s="985"/>
      <c r="L55" s="985"/>
      <c r="M55" s="985"/>
      <c r="N55" s="985"/>
      <c r="O55" s="985"/>
      <c r="P55" s="985"/>
      <c r="Q55" s="986"/>
      <c r="R55" s="716">
        <f ca="1">SUM(C55:Q55)</f>
        <v>821.23227280634683</v>
      </c>
    </row>
    <row r="56" spans="1:18" ht="15.75" thickBot="1">
      <c r="A56" s="813" t="s">
        <v>913</v>
      </c>
      <c r="B56" s="826"/>
      <c r="C56" s="717">
        <f ca="1">SUM(C54:C55)</f>
        <v>625.41085923466085</v>
      </c>
      <c r="D56" s="717">
        <f t="shared" ref="D56:Q56" ca="1" si="7">SUM(D54:D55)</f>
        <v>209.90911764705879</v>
      </c>
      <c r="E56" s="717">
        <f t="shared" si="7"/>
        <v>620.741803055025</v>
      </c>
      <c r="F56" s="717">
        <f t="shared" si="7"/>
        <v>5.1807333372723647</v>
      </c>
      <c r="G56" s="717">
        <f t="shared" si="7"/>
        <v>2094.4199245570176</v>
      </c>
      <c r="H56" s="717">
        <f t="shared" si="7"/>
        <v>0</v>
      </c>
      <c r="I56" s="717">
        <f t="shared" si="7"/>
        <v>0</v>
      </c>
      <c r="J56" s="717">
        <f t="shared" si="7"/>
        <v>0</v>
      </c>
      <c r="K56" s="717">
        <f t="shared" si="7"/>
        <v>68.900929271252252</v>
      </c>
      <c r="L56" s="717">
        <f t="shared" si="7"/>
        <v>0</v>
      </c>
      <c r="M56" s="717">
        <f t="shared" si="7"/>
        <v>0</v>
      </c>
      <c r="N56" s="717">
        <f t="shared" si="7"/>
        <v>0</v>
      </c>
      <c r="O56" s="717">
        <f t="shared" si="7"/>
        <v>0</v>
      </c>
      <c r="P56" s="717">
        <f t="shared" si="7"/>
        <v>0</v>
      </c>
      <c r="Q56" s="718">
        <f t="shared" si="7"/>
        <v>0</v>
      </c>
      <c r="R56" s="719">
        <f ca="1">SUM(R54:R55)</f>
        <v>3624.563367102287</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10506.271230418788</v>
      </c>
      <c r="D61" s="725">
        <f t="shared" ref="D61:Q61" ca="1" si="8">D46+D52+D56</f>
        <v>209.90911764705879</v>
      </c>
      <c r="E61" s="725">
        <f t="shared" ca="1" si="8"/>
        <v>20915.470970573999</v>
      </c>
      <c r="F61" s="725">
        <f t="shared" si="8"/>
        <v>990.85925363770957</v>
      </c>
      <c r="G61" s="725">
        <f t="shared" ca="1" si="8"/>
        <v>3452.1540940894974</v>
      </c>
      <c r="H61" s="725">
        <f t="shared" si="8"/>
        <v>36265.747397206178</v>
      </c>
      <c r="I61" s="725">
        <f t="shared" si="8"/>
        <v>4075.3666296351171</v>
      </c>
      <c r="J61" s="725">
        <f t="shared" si="8"/>
        <v>0</v>
      </c>
      <c r="K61" s="725">
        <f t="shared" si="8"/>
        <v>696.89631632529313</v>
      </c>
      <c r="L61" s="725">
        <f t="shared" si="8"/>
        <v>0</v>
      </c>
      <c r="M61" s="725">
        <f t="shared" ca="1" si="8"/>
        <v>0</v>
      </c>
      <c r="N61" s="725">
        <f t="shared" si="8"/>
        <v>0</v>
      </c>
      <c r="O61" s="725">
        <f t="shared" ca="1" si="8"/>
        <v>0</v>
      </c>
      <c r="P61" s="725">
        <f t="shared" si="8"/>
        <v>0</v>
      </c>
      <c r="Q61" s="725">
        <f t="shared" si="8"/>
        <v>0</v>
      </c>
      <c r="R61" s="725">
        <f ca="1">R46+R52+R56</f>
        <v>77112.675009533632</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0.1716411529200865</v>
      </c>
      <c r="D63" s="769">
        <f t="shared" ca="1" si="9"/>
        <v>7.8529411764705875E-2</v>
      </c>
      <c r="E63" s="987">
        <f t="shared" ca="1" si="9"/>
        <v>0.20199999999999999</v>
      </c>
      <c r="F63" s="769">
        <f t="shared" si="9"/>
        <v>0.22700000000000004</v>
      </c>
      <c r="G63" s="769">
        <f t="shared" ca="1" si="9"/>
        <v>0.26699999999999996</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9911.2119547937709</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2228.0565748668282</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1782</v>
      </c>
      <c r="C76" s="735">
        <f>'lokale energieproductie'!B8*IFERROR(SUM(D76:H76)/SUM(D76:O76),0)</f>
        <v>594</v>
      </c>
      <c r="D76" s="997">
        <f>'lokale energieproductie'!C8</f>
        <v>0</v>
      </c>
      <c r="E76" s="998">
        <f>'lokale energieproductie'!D8</f>
        <v>0</v>
      </c>
      <c r="F76" s="998">
        <f>'lokale energieproductie'!E8</f>
        <v>698.82352941176475</v>
      </c>
      <c r="G76" s="998">
        <f>'lokale energieproductie'!F8</f>
        <v>0</v>
      </c>
      <c r="H76" s="998">
        <f>'lokale energieproductie'!G8</f>
        <v>0</v>
      </c>
      <c r="I76" s="998">
        <f>'lokale energieproductie'!I8</f>
        <v>2096.4705882352941</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186.58588235294121</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13921.2685296606</v>
      </c>
      <c r="C78" s="740">
        <f>SUM(C72:C77)</f>
        <v>594</v>
      </c>
      <c r="D78" s="741">
        <f t="shared" ref="D78:H78" si="10">SUM(D76:D77)</f>
        <v>0</v>
      </c>
      <c r="E78" s="741">
        <f t="shared" si="10"/>
        <v>0</v>
      </c>
      <c r="F78" s="741">
        <f t="shared" si="10"/>
        <v>698.82352941176475</v>
      </c>
      <c r="G78" s="741">
        <f t="shared" si="10"/>
        <v>0</v>
      </c>
      <c r="H78" s="741">
        <f t="shared" si="10"/>
        <v>0</v>
      </c>
      <c r="I78" s="741">
        <f>SUM(I76:I77)</f>
        <v>2096.4705882352941</v>
      </c>
      <c r="J78" s="741">
        <f>SUM(J76:J77)</f>
        <v>0</v>
      </c>
      <c r="K78" s="741">
        <f t="shared" ref="K78:L78" si="11">SUM(K76:K77)</f>
        <v>0</v>
      </c>
      <c r="L78" s="741">
        <f t="shared" si="11"/>
        <v>0</v>
      </c>
      <c r="M78" s="741">
        <f>SUM(M76:M77)</f>
        <v>0</v>
      </c>
      <c r="N78" s="741">
        <f>SUM(N76:N77)</f>
        <v>0</v>
      </c>
      <c r="O78" s="850">
        <f>SUM(O76:O77)</f>
        <v>0</v>
      </c>
      <c r="P78" s="742">
        <v>0</v>
      </c>
      <c r="Q78" s="742">
        <f>SUM(Q76:Q77)</f>
        <v>186.58588235294121</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2004.75</v>
      </c>
      <c r="C87" s="751">
        <f>'lokale energieproductie'!B17*IFERROR(SUM(D87:H87)/SUM(D87:O87),0)</f>
        <v>668.25</v>
      </c>
      <c r="D87" s="762">
        <f>'lokale energieproductie'!C17</f>
        <v>0</v>
      </c>
      <c r="E87" s="762">
        <f>'lokale energieproductie'!D17</f>
        <v>0</v>
      </c>
      <c r="F87" s="762">
        <f>'lokale energieproductie'!E17</f>
        <v>786.17647058823525</v>
      </c>
      <c r="G87" s="762">
        <f>'lokale energieproductie'!F17</f>
        <v>0</v>
      </c>
      <c r="H87" s="762">
        <f>'lokale energieproductie'!G17</f>
        <v>0</v>
      </c>
      <c r="I87" s="762">
        <f>'lokale energieproductie'!I17</f>
        <v>2358.5294117647059</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209.90911764705882</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2004.75</v>
      </c>
      <c r="C90" s="740">
        <f>SUM(C87:C89)</f>
        <v>668.25</v>
      </c>
      <c r="D90" s="740">
        <f t="shared" ref="D90:H90" si="12">SUM(D87:D89)</f>
        <v>0</v>
      </c>
      <c r="E90" s="740">
        <f t="shared" si="12"/>
        <v>0</v>
      </c>
      <c r="F90" s="740">
        <f t="shared" si="12"/>
        <v>786.17647058823525</v>
      </c>
      <c r="G90" s="740">
        <f t="shared" si="12"/>
        <v>0</v>
      </c>
      <c r="H90" s="740">
        <f t="shared" si="12"/>
        <v>0</v>
      </c>
      <c r="I90" s="740">
        <f>SUM(I87:I89)</f>
        <v>2358.5294117647059</v>
      </c>
      <c r="J90" s="740">
        <f>SUM(J87:J89)</f>
        <v>0</v>
      </c>
      <c r="K90" s="740">
        <f t="shared" ref="K90:L90" si="13">SUM(K87:K89)</f>
        <v>0</v>
      </c>
      <c r="L90" s="740">
        <f t="shared" si="13"/>
        <v>0</v>
      </c>
      <c r="M90" s="740">
        <f>SUM(M87:M89)</f>
        <v>0</v>
      </c>
      <c r="N90" s="740">
        <f>SUM(N87:N89)</f>
        <v>0</v>
      </c>
      <c r="O90" s="740">
        <f>SUM(O87:O89)</f>
        <v>0</v>
      </c>
      <c r="P90" s="740">
        <v>0</v>
      </c>
      <c r="Q90" s="740">
        <f>SUM(Q87:Q89)</f>
        <v>209.90911764705882</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9911.2119547937709</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2228.0565748668282</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2376</v>
      </c>
      <c r="C8" s="554">
        <f>B48</f>
        <v>0</v>
      </c>
      <c r="D8" s="975"/>
      <c r="E8" s="975">
        <f>E48</f>
        <v>698.82352941176475</v>
      </c>
      <c r="F8" s="976"/>
      <c r="G8" s="555"/>
      <c r="H8" s="975">
        <f>I48</f>
        <v>0</v>
      </c>
      <c r="I8" s="975">
        <f>G48+F48</f>
        <v>2096.4705882352941</v>
      </c>
      <c r="J8" s="975">
        <f>H48+D48+C48</f>
        <v>0</v>
      </c>
      <c r="K8" s="975"/>
      <c r="L8" s="975"/>
      <c r="M8" s="975"/>
      <c r="N8" s="556"/>
      <c r="O8" s="557">
        <f>C8*$C$12+D8*$D$12+E8*$E$12+F8*$F$12+G8*$G$12+H8*$H$12+I8*$I$12+J8*$J$12</f>
        <v>186.58588235294121</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14515.2685296606</v>
      </c>
      <c r="C10" s="566">
        <f t="shared" ref="C10:L10" si="0">SUM(C8:C9)</f>
        <v>0</v>
      </c>
      <c r="D10" s="566">
        <f t="shared" si="0"/>
        <v>0</v>
      </c>
      <c r="E10" s="566">
        <f t="shared" si="0"/>
        <v>698.82352941176475</v>
      </c>
      <c r="F10" s="566">
        <f t="shared" si="0"/>
        <v>0</v>
      </c>
      <c r="G10" s="566">
        <f t="shared" si="0"/>
        <v>0</v>
      </c>
      <c r="H10" s="566">
        <f t="shared" si="0"/>
        <v>0</v>
      </c>
      <c r="I10" s="566">
        <f t="shared" si="0"/>
        <v>2096.4705882352941</v>
      </c>
      <c r="J10" s="566">
        <f t="shared" si="0"/>
        <v>0</v>
      </c>
      <c r="K10" s="566">
        <f t="shared" si="0"/>
        <v>0</v>
      </c>
      <c r="L10" s="566">
        <f t="shared" si="0"/>
        <v>0</v>
      </c>
      <c r="M10" s="970"/>
      <c r="N10" s="970"/>
      <c r="O10" s="567">
        <f>SUM(O4:O9)</f>
        <v>186.58588235294121</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2673</v>
      </c>
      <c r="C17" s="578">
        <f>B49</f>
        <v>0</v>
      </c>
      <c r="D17" s="579"/>
      <c r="E17" s="579">
        <f>E49</f>
        <v>786.17647058823525</v>
      </c>
      <c r="F17" s="580"/>
      <c r="G17" s="581"/>
      <c r="H17" s="578">
        <f>I49</f>
        <v>0</v>
      </c>
      <c r="I17" s="579">
        <f>G49+F49</f>
        <v>2358.5294117647059</v>
      </c>
      <c r="J17" s="579">
        <f>H49+D49+C49</f>
        <v>0</v>
      </c>
      <c r="K17" s="579"/>
      <c r="L17" s="579"/>
      <c r="M17" s="579"/>
      <c r="N17" s="971"/>
      <c r="O17" s="582">
        <f>C17*$C$22+E17*$E$22+H17*$H$22+I17*$I$22+J17*$J$22+D17*$D$22+F17*$F$22+G17*$G$22+K17*$K$22+L17*$L$22</f>
        <v>209.90911764705882</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2673</v>
      </c>
      <c r="C20" s="565">
        <f>SUM(C17:C19)</f>
        <v>0</v>
      </c>
      <c r="D20" s="565">
        <f t="shared" ref="D20:L20" si="1">SUM(D17:D19)</f>
        <v>0</v>
      </c>
      <c r="E20" s="565">
        <f t="shared" si="1"/>
        <v>786.17647058823525</v>
      </c>
      <c r="F20" s="565">
        <f t="shared" si="1"/>
        <v>0</v>
      </c>
      <c r="G20" s="565">
        <f t="shared" si="1"/>
        <v>0</v>
      </c>
      <c r="H20" s="565">
        <f t="shared" si="1"/>
        <v>0</v>
      </c>
      <c r="I20" s="565">
        <f t="shared" si="1"/>
        <v>2358.5294117647059</v>
      </c>
      <c r="J20" s="565">
        <f t="shared" si="1"/>
        <v>0</v>
      </c>
      <c r="K20" s="565">
        <f t="shared" si="1"/>
        <v>0</v>
      </c>
      <c r="L20" s="565">
        <f t="shared" si="1"/>
        <v>0</v>
      </c>
      <c r="M20" s="565"/>
      <c r="N20" s="565"/>
      <c r="O20" s="586">
        <f>SUM(O17:O19)</f>
        <v>209.90911764705882</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38.25">
      <c r="A28" s="590"/>
      <c r="B28" s="785">
        <v>46013</v>
      </c>
      <c r="C28" s="785">
        <v>9150</v>
      </c>
      <c r="D28" s="638" t="s">
        <v>971</v>
      </c>
      <c r="E28" s="637" t="s">
        <v>972</v>
      </c>
      <c r="F28" s="637" t="s">
        <v>973</v>
      </c>
      <c r="G28" s="637" t="s">
        <v>974</v>
      </c>
      <c r="H28" s="637" t="s">
        <v>975</v>
      </c>
      <c r="I28" s="637" t="s">
        <v>972</v>
      </c>
      <c r="J28" s="784">
        <v>40142</v>
      </c>
      <c r="K28" s="784">
        <v>40142</v>
      </c>
      <c r="L28" s="637" t="s">
        <v>976</v>
      </c>
      <c r="M28" s="637">
        <v>528</v>
      </c>
      <c r="N28" s="637">
        <v>2376</v>
      </c>
      <c r="O28" s="637">
        <v>2673</v>
      </c>
      <c r="P28" s="637">
        <v>0</v>
      </c>
      <c r="Q28" s="637">
        <v>0</v>
      </c>
      <c r="R28" s="637">
        <v>0</v>
      </c>
      <c r="S28" s="637">
        <v>1485</v>
      </c>
      <c r="T28" s="637">
        <v>4455</v>
      </c>
      <c r="U28" s="637">
        <v>0</v>
      </c>
      <c r="V28" s="637">
        <v>0</v>
      </c>
      <c r="W28" s="637">
        <v>0</v>
      </c>
      <c r="X28" s="637">
        <v>10</v>
      </c>
      <c r="Y28" s="637" t="s">
        <v>111</v>
      </c>
      <c r="Z28" s="639" t="s">
        <v>111</v>
      </c>
    </row>
    <row r="29" spans="1:26" s="573" customFormat="1">
      <c r="A29" s="593" t="s">
        <v>279</v>
      </c>
      <c r="B29" s="594"/>
      <c r="C29" s="594"/>
      <c r="D29" s="594"/>
      <c r="E29" s="594"/>
      <c r="F29" s="594"/>
      <c r="G29" s="594"/>
      <c r="H29" s="594"/>
      <c r="I29" s="594"/>
      <c r="J29" s="594"/>
      <c r="K29" s="594"/>
      <c r="L29" s="595"/>
      <c r="M29" s="595">
        <f>SUM(M28:M28)</f>
        <v>528</v>
      </c>
      <c r="N29" s="595">
        <f>SUM(N28:N28)</f>
        <v>2376</v>
      </c>
      <c r="O29" s="595">
        <f>SUM(O28:O28)</f>
        <v>2673</v>
      </c>
      <c r="P29" s="595">
        <f>SUM(P28:P28)</f>
        <v>0</v>
      </c>
      <c r="Q29" s="595">
        <f>SUM(Q28:Q28)</f>
        <v>0</v>
      </c>
      <c r="R29" s="595">
        <f>SUM(R28:R28)</f>
        <v>0</v>
      </c>
      <c r="S29" s="595">
        <f>SUM(S28:S28)</f>
        <v>1485</v>
      </c>
      <c r="T29" s="595">
        <f>SUM(T28:T28)</f>
        <v>4455</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528</v>
      </c>
      <c r="N32" s="600">
        <f>SUMIF($Z$28:$Z$28,"landbouw",N28:N28)</f>
        <v>2376</v>
      </c>
      <c r="O32" s="600">
        <f>SUMIF($Z$28:$Z$28,"landbouw",O28:O28)</f>
        <v>2673</v>
      </c>
      <c r="P32" s="600">
        <f>SUMIF($Z$28:$Z$28,"landbouw",P28:P28)</f>
        <v>0</v>
      </c>
      <c r="Q32" s="600">
        <f>SUMIF($Z$28:$Z$28,"landbouw",Q28:Q28)</f>
        <v>0</v>
      </c>
      <c r="R32" s="600">
        <f>SUMIF($Z$28:$Z$28,"landbouw",R28:R28)</f>
        <v>0</v>
      </c>
      <c r="S32" s="600">
        <f>SUMIF($Z$28:$Z$28,"landbouw",S28:S28)</f>
        <v>1485</v>
      </c>
      <c r="T32" s="600">
        <f>SUMIF($Z$28:$Z$28,"landbouw",T28:T28)</f>
        <v>4455</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0.52941176470588236</v>
      </c>
      <c r="C45" s="620">
        <f>IF(ISERROR(N29/(O29+N29)),0,N29/(N29+O29))</f>
        <v>0.47058823529411764</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698.82352941176475</v>
      </c>
      <c r="F48" s="629">
        <f t="shared" si="2"/>
        <v>2096.4705882352941</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786.17647058823525</v>
      </c>
      <c r="F49" s="632">
        <f t="shared" si="3"/>
        <v>2358.5294117647059</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31825.405556348855</v>
      </c>
      <c r="C4" s="457">
        <f>huishoudens!C8</f>
        <v>0</v>
      </c>
      <c r="D4" s="457">
        <f>huishoudens!D8</f>
        <v>75454.787885805737</v>
      </c>
      <c r="E4" s="457">
        <f>huishoudens!E8</f>
        <v>3412.5003249941337</v>
      </c>
      <c r="F4" s="457">
        <f>huishoudens!F8</f>
        <v>0</v>
      </c>
      <c r="G4" s="457">
        <f>huishoudens!G8</f>
        <v>0</v>
      </c>
      <c r="H4" s="457">
        <f>huishoudens!H8</f>
        <v>0</v>
      </c>
      <c r="I4" s="457">
        <f>huishoudens!I8</f>
        <v>0</v>
      </c>
      <c r="J4" s="457">
        <f>huishoudens!J8</f>
        <v>1722.9729744089636</v>
      </c>
      <c r="K4" s="457">
        <f>huishoudens!K8</f>
        <v>0</v>
      </c>
      <c r="L4" s="457">
        <f>huishoudens!L8</f>
        <v>0</v>
      </c>
      <c r="M4" s="457">
        <f>huishoudens!M8</f>
        <v>0</v>
      </c>
      <c r="N4" s="457">
        <f>huishoudens!N8</f>
        <v>14056.752605614529</v>
      </c>
      <c r="O4" s="457">
        <f>huishoudens!O8</f>
        <v>168.84</v>
      </c>
      <c r="P4" s="458">
        <f>huishoudens!P8</f>
        <v>114.4</v>
      </c>
      <c r="Q4" s="459">
        <f>SUM(B4:P4)</f>
        <v>126755.6593471722</v>
      </c>
    </row>
    <row r="5" spans="1:17">
      <c r="A5" s="456" t="s">
        <v>155</v>
      </c>
      <c r="B5" s="457">
        <f ca="1">tertiair!B16</f>
        <v>14257.76434681952</v>
      </c>
      <c r="C5" s="457">
        <f ca="1">tertiair!C16</f>
        <v>0</v>
      </c>
      <c r="D5" s="457">
        <f ca="1">tertiair!D16</f>
        <v>16020.741652621244</v>
      </c>
      <c r="E5" s="457">
        <f>tertiair!E16</f>
        <v>288.36920498929476</v>
      </c>
      <c r="F5" s="457">
        <f ca="1">tertiair!F16</f>
        <v>2567.3958616290383</v>
      </c>
      <c r="G5" s="457">
        <f>tertiair!G16</f>
        <v>0</v>
      </c>
      <c r="H5" s="457">
        <f>tertiair!H16</f>
        <v>0</v>
      </c>
      <c r="I5" s="457">
        <f>tertiair!I16</f>
        <v>0</v>
      </c>
      <c r="J5" s="457">
        <f>tertiair!J16</f>
        <v>0</v>
      </c>
      <c r="K5" s="457">
        <f>tertiair!K16</f>
        <v>0</v>
      </c>
      <c r="L5" s="457">
        <f ca="1">tertiair!L16</f>
        <v>0</v>
      </c>
      <c r="M5" s="457">
        <f>tertiair!M16</f>
        <v>0</v>
      </c>
      <c r="N5" s="457">
        <f ca="1">tertiair!N16</f>
        <v>208.18529473923519</v>
      </c>
      <c r="O5" s="457">
        <f>tertiair!O16</f>
        <v>1.5633333333333335</v>
      </c>
      <c r="P5" s="458">
        <f>tertiair!P16</f>
        <v>0</v>
      </c>
      <c r="Q5" s="456">
        <f t="shared" ref="Q5:Q14" ca="1" si="0">SUM(B5:P5)</f>
        <v>33344.019694131661</v>
      </c>
    </row>
    <row r="6" spans="1:17">
      <c r="A6" s="456" t="s">
        <v>193</v>
      </c>
      <c r="B6" s="457">
        <f>'openbare verlichting'!B8</f>
        <v>1121.5350000000001</v>
      </c>
      <c r="C6" s="457"/>
      <c r="D6" s="457"/>
      <c r="E6" s="457"/>
      <c r="F6" s="457"/>
      <c r="G6" s="457"/>
      <c r="H6" s="457"/>
      <c r="I6" s="457"/>
      <c r="J6" s="457"/>
      <c r="K6" s="457"/>
      <c r="L6" s="457"/>
      <c r="M6" s="457"/>
      <c r="N6" s="457"/>
      <c r="O6" s="457"/>
      <c r="P6" s="458"/>
      <c r="Q6" s="456">
        <f t="shared" si="0"/>
        <v>1121.5350000000001</v>
      </c>
    </row>
    <row r="7" spans="1:17">
      <c r="A7" s="456" t="s">
        <v>111</v>
      </c>
      <c r="B7" s="457">
        <f>landbouw!B8</f>
        <v>2179.348931510669</v>
      </c>
      <c r="C7" s="457">
        <f>landbouw!C8</f>
        <v>2673</v>
      </c>
      <c r="D7" s="457">
        <f>landbouw!D8</f>
        <v>251.75458546380807</v>
      </c>
      <c r="E7" s="457">
        <f>landbouw!E8</f>
        <v>22.822613820583104</v>
      </c>
      <c r="F7" s="457">
        <f>landbouw!F8</f>
        <v>7844.2693803633611</v>
      </c>
      <c r="G7" s="457">
        <f>landbouw!G8</f>
        <v>0</v>
      </c>
      <c r="H7" s="457">
        <f>landbouw!H8</f>
        <v>0</v>
      </c>
      <c r="I7" s="457">
        <f>landbouw!I8</f>
        <v>0</v>
      </c>
      <c r="J7" s="457">
        <f>landbouw!J8</f>
        <v>194.63539342161653</v>
      </c>
      <c r="K7" s="457">
        <f>landbouw!K8</f>
        <v>0</v>
      </c>
      <c r="L7" s="457">
        <f>landbouw!L8</f>
        <v>0</v>
      </c>
      <c r="M7" s="457">
        <f>landbouw!M8</f>
        <v>0</v>
      </c>
      <c r="N7" s="457">
        <f>landbouw!N8</f>
        <v>0</v>
      </c>
      <c r="O7" s="457">
        <f>landbouw!O8</f>
        <v>0</v>
      </c>
      <c r="P7" s="458">
        <f>landbouw!P8</f>
        <v>0</v>
      </c>
      <c r="Q7" s="456">
        <f t="shared" si="0"/>
        <v>13165.830904580038</v>
      </c>
    </row>
    <row r="8" spans="1:17">
      <c r="A8" s="456" t="s">
        <v>654</v>
      </c>
      <c r="B8" s="457">
        <f>industrie!B18</f>
        <v>10361.363820649964</v>
      </c>
      <c r="C8" s="457">
        <f>industrie!C18</f>
        <v>0</v>
      </c>
      <c r="D8" s="457">
        <f>industrie!D18</f>
        <v>8988.8698199016035</v>
      </c>
      <c r="E8" s="457">
        <f>industrie!E18</f>
        <v>103.51385325064356</v>
      </c>
      <c r="F8" s="457">
        <f>industrie!F18</f>
        <v>2517.7508407398009</v>
      </c>
      <c r="G8" s="457">
        <f>industrie!G18</f>
        <v>0</v>
      </c>
      <c r="H8" s="457">
        <f>industrie!H18</f>
        <v>0</v>
      </c>
      <c r="I8" s="457">
        <f>industrie!I18</f>
        <v>0</v>
      </c>
      <c r="J8" s="457">
        <f>industrie!J18</f>
        <v>51.025294105276089</v>
      </c>
      <c r="K8" s="457">
        <f>industrie!K18</f>
        <v>0</v>
      </c>
      <c r="L8" s="457">
        <f>industrie!L18</f>
        <v>0</v>
      </c>
      <c r="M8" s="457">
        <f>industrie!M18</f>
        <v>0</v>
      </c>
      <c r="N8" s="457">
        <f>industrie!N18</f>
        <v>228.63061756189163</v>
      </c>
      <c r="O8" s="457">
        <f>industrie!O18</f>
        <v>0</v>
      </c>
      <c r="P8" s="458">
        <f>industrie!P18</f>
        <v>0</v>
      </c>
      <c r="Q8" s="456">
        <f t="shared" si="0"/>
        <v>22251.154246209178</v>
      </c>
    </row>
    <row r="9" spans="1:17" s="462" customFormat="1">
      <c r="A9" s="460" t="s">
        <v>572</v>
      </c>
      <c r="B9" s="461">
        <f>transport!B14</f>
        <v>0.89702468433166249</v>
      </c>
      <c r="C9" s="461">
        <f>transport!C14</f>
        <v>0</v>
      </c>
      <c r="D9" s="461">
        <f>transport!D14</f>
        <v>4.5569165178119366</v>
      </c>
      <c r="E9" s="461">
        <f>transport!E14</f>
        <v>537.81274143745713</v>
      </c>
      <c r="F9" s="461">
        <f>transport!F14</f>
        <v>0</v>
      </c>
      <c r="G9" s="461">
        <f>transport!G14</f>
        <v>134254.25668434871</v>
      </c>
      <c r="H9" s="461">
        <f>transport!H14</f>
        <v>16366.934255562719</v>
      </c>
      <c r="I9" s="461">
        <f>transport!I14</f>
        <v>0</v>
      </c>
      <c r="J9" s="461">
        <f>transport!J14</f>
        <v>0</v>
      </c>
      <c r="K9" s="461">
        <f>transport!K14</f>
        <v>0</v>
      </c>
      <c r="L9" s="461">
        <f>transport!L14</f>
        <v>0</v>
      </c>
      <c r="M9" s="461">
        <f>transport!M14</f>
        <v>6536.8517689928294</v>
      </c>
      <c r="N9" s="461">
        <f>transport!N14</f>
        <v>0</v>
      </c>
      <c r="O9" s="461">
        <f>transport!O14</f>
        <v>0</v>
      </c>
      <c r="P9" s="461">
        <f>transport!P14</f>
        <v>0</v>
      </c>
      <c r="Q9" s="460">
        <f>SUM(B9:P9)</f>
        <v>157701.30939154388</v>
      </c>
    </row>
    <row r="10" spans="1:17">
      <c r="A10" s="456" t="s">
        <v>562</v>
      </c>
      <c r="B10" s="457">
        <f>transport!B54</f>
        <v>0</v>
      </c>
      <c r="C10" s="457">
        <f>transport!C54</f>
        <v>0</v>
      </c>
      <c r="D10" s="457">
        <f>transport!D54</f>
        <v>0</v>
      </c>
      <c r="E10" s="457">
        <f>transport!E54</f>
        <v>0</v>
      </c>
      <c r="F10" s="457">
        <f>transport!F54</f>
        <v>0</v>
      </c>
      <c r="G10" s="457">
        <f>transport!G54</f>
        <v>1572.5125935770375</v>
      </c>
      <c r="H10" s="457">
        <f>transport!H54</f>
        <v>0</v>
      </c>
      <c r="I10" s="457">
        <f>transport!I54</f>
        <v>0</v>
      </c>
      <c r="J10" s="457">
        <f>transport!J54</f>
        <v>0</v>
      </c>
      <c r="K10" s="457">
        <f>transport!K54</f>
        <v>0</v>
      </c>
      <c r="L10" s="457">
        <f>transport!L54</f>
        <v>0</v>
      </c>
      <c r="M10" s="457">
        <f>transport!M54</f>
        <v>66.869017532740088</v>
      </c>
      <c r="N10" s="457">
        <f>transport!N54</f>
        <v>0</v>
      </c>
      <c r="O10" s="457">
        <f>transport!O54</f>
        <v>0</v>
      </c>
      <c r="P10" s="458">
        <f>transport!P54</f>
        <v>0</v>
      </c>
      <c r="Q10" s="456">
        <f t="shared" si="0"/>
        <v>1639.3816111097776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1464.36266442485</v>
      </c>
      <c r="C14" s="464"/>
      <c r="D14" s="464">
        <f>'SEAP template'!E25</f>
        <v>2821.22463758087</v>
      </c>
      <c r="E14" s="464"/>
      <c r="F14" s="464"/>
      <c r="G14" s="464"/>
      <c r="H14" s="464"/>
      <c r="I14" s="464"/>
      <c r="J14" s="464"/>
      <c r="K14" s="464"/>
      <c r="L14" s="464"/>
      <c r="M14" s="464"/>
      <c r="N14" s="464"/>
      <c r="O14" s="464"/>
      <c r="P14" s="465"/>
      <c r="Q14" s="456">
        <f t="shared" si="0"/>
        <v>4285.5873020057197</v>
      </c>
    </row>
    <row r="15" spans="1:17" s="469" customFormat="1">
      <c r="A15" s="466" t="s">
        <v>566</v>
      </c>
      <c r="B15" s="467">
        <f ca="1">SUM(B4:B14)</f>
        <v>61210.677344438198</v>
      </c>
      <c r="C15" s="467">
        <f t="shared" ref="C15:Q15" ca="1" si="1">SUM(C4:C14)</f>
        <v>2673</v>
      </c>
      <c r="D15" s="467">
        <f t="shared" ca="1" si="1"/>
        <v>103541.93549789109</v>
      </c>
      <c r="E15" s="467">
        <f t="shared" si="1"/>
        <v>4365.0187384921119</v>
      </c>
      <c r="F15" s="467">
        <f t="shared" ca="1" si="1"/>
        <v>12929.416082732201</v>
      </c>
      <c r="G15" s="467">
        <f t="shared" si="1"/>
        <v>135826.76927792575</v>
      </c>
      <c r="H15" s="467">
        <f t="shared" si="1"/>
        <v>16366.934255562719</v>
      </c>
      <c r="I15" s="467">
        <f t="shared" si="1"/>
        <v>0</v>
      </c>
      <c r="J15" s="467">
        <f t="shared" si="1"/>
        <v>1968.6336619358563</v>
      </c>
      <c r="K15" s="467">
        <f t="shared" si="1"/>
        <v>0</v>
      </c>
      <c r="L15" s="467">
        <f t="shared" ca="1" si="1"/>
        <v>0</v>
      </c>
      <c r="M15" s="467">
        <f t="shared" si="1"/>
        <v>6603.7207865255696</v>
      </c>
      <c r="N15" s="467">
        <f t="shared" ca="1" si="1"/>
        <v>14493.568517915655</v>
      </c>
      <c r="O15" s="467">
        <f t="shared" si="1"/>
        <v>170.40333333333334</v>
      </c>
      <c r="P15" s="467">
        <f t="shared" si="1"/>
        <v>114.4</v>
      </c>
      <c r="Q15" s="467">
        <f t="shared" ca="1" si="1"/>
        <v>360264.47749675246</v>
      </c>
    </row>
    <row r="17" spans="1:17">
      <c r="A17" s="470" t="s">
        <v>567</v>
      </c>
      <c r="B17" s="774">
        <f ca="1">huishoudens!B10</f>
        <v>0.1716411529200865</v>
      </c>
      <c r="C17" s="774">
        <f ca="1">huishoudens!C10</f>
        <v>7.8529411764705875E-2</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5462.5493018410443</v>
      </c>
      <c r="C22" s="457">
        <f t="shared" ref="C22:C32" ca="1" si="3">C4*$C$17</f>
        <v>0</v>
      </c>
      <c r="D22" s="457">
        <f t="shared" ref="D22:D32" si="4">D4*$D$17</f>
        <v>15241.86715293276</v>
      </c>
      <c r="E22" s="457">
        <f t="shared" ref="E22:E32" si="5">E4*$E$17</f>
        <v>774.63757377366835</v>
      </c>
      <c r="F22" s="457">
        <f t="shared" ref="F22:F32" si="6">F4*$F$17</f>
        <v>0</v>
      </c>
      <c r="G22" s="457">
        <f t="shared" ref="G22:G32" si="7">G4*$G$17</f>
        <v>0</v>
      </c>
      <c r="H22" s="457">
        <f t="shared" ref="H22:H32" si="8">H4*$H$17</f>
        <v>0</v>
      </c>
      <c r="I22" s="457">
        <f t="shared" ref="I22:I32" si="9">I4*$I$17</f>
        <v>0</v>
      </c>
      <c r="J22" s="457">
        <f t="shared" ref="J22:J32" si="10">J4*$J$17</f>
        <v>609.93243294077308</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22088.986461488243</v>
      </c>
    </row>
    <row r="23" spans="1:17">
      <c r="A23" s="456" t="s">
        <v>155</v>
      </c>
      <c r="B23" s="457">
        <f t="shared" ca="1" si="2"/>
        <v>2447.2191105510065</v>
      </c>
      <c r="C23" s="457">
        <f t="shared" ca="1" si="3"/>
        <v>0</v>
      </c>
      <c r="D23" s="457">
        <f t="shared" ca="1" si="4"/>
        <v>3236.1898138294914</v>
      </c>
      <c r="E23" s="457">
        <f t="shared" si="5"/>
        <v>65.459809532569906</v>
      </c>
      <c r="F23" s="457">
        <f t="shared" ca="1" si="6"/>
        <v>685.49469505495324</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6434.3634289680203</v>
      </c>
    </row>
    <row r="24" spans="1:17">
      <c r="A24" s="456" t="s">
        <v>193</v>
      </c>
      <c r="B24" s="457">
        <f t="shared" ca="1" si="2"/>
        <v>192.50156044022921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192.50156044022921</v>
      </c>
    </row>
    <row r="25" spans="1:17">
      <c r="A25" s="456" t="s">
        <v>111</v>
      </c>
      <c r="B25" s="457">
        <f t="shared" ca="1" si="2"/>
        <v>374.06596321964986</v>
      </c>
      <c r="C25" s="457">
        <f t="shared" ca="1" si="3"/>
        <v>209.90911764705879</v>
      </c>
      <c r="D25" s="457">
        <f t="shared" si="4"/>
        <v>50.854426263689234</v>
      </c>
      <c r="E25" s="457">
        <f t="shared" si="5"/>
        <v>5.1807333372723647</v>
      </c>
      <c r="F25" s="457">
        <f t="shared" si="6"/>
        <v>2094.4199245570176</v>
      </c>
      <c r="G25" s="457">
        <f t="shared" si="7"/>
        <v>0</v>
      </c>
      <c r="H25" s="457">
        <f t="shared" si="8"/>
        <v>0</v>
      </c>
      <c r="I25" s="457">
        <f t="shared" si="9"/>
        <v>0</v>
      </c>
      <c r="J25" s="457">
        <f t="shared" si="10"/>
        <v>68.900929271252252</v>
      </c>
      <c r="K25" s="457">
        <f t="shared" si="11"/>
        <v>0</v>
      </c>
      <c r="L25" s="457">
        <f t="shared" si="12"/>
        <v>0</v>
      </c>
      <c r="M25" s="457">
        <f t="shared" si="13"/>
        <v>0</v>
      </c>
      <c r="N25" s="457">
        <f t="shared" si="14"/>
        <v>0</v>
      </c>
      <c r="O25" s="457">
        <f t="shared" si="15"/>
        <v>0</v>
      </c>
      <c r="P25" s="458">
        <f t="shared" si="16"/>
        <v>0</v>
      </c>
      <c r="Q25" s="456">
        <f t="shared" ca="1" si="17"/>
        <v>2803.3310942959401</v>
      </c>
    </row>
    <row r="26" spans="1:17">
      <c r="A26" s="456" t="s">
        <v>654</v>
      </c>
      <c r="B26" s="457">
        <f t="shared" ca="1" si="2"/>
        <v>1778.4364320008322</v>
      </c>
      <c r="C26" s="457">
        <f t="shared" ca="1" si="3"/>
        <v>0</v>
      </c>
      <c r="D26" s="457">
        <f t="shared" si="4"/>
        <v>1815.7517036201241</v>
      </c>
      <c r="E26" s="457">
        <f t="shared" si="5"/>
        <v>23.497644687896091</v>
      </c>
      <c r="F26" s="457">
        <f t="shared" si="6"/>
        <v>672.23947447752687</v>
      </c>
      <c r="G26" s="457">
        <f t="shared" si="7"/>
        <v>0</v>
      </c>
      <c r="H26" s="457">
        <f t="shared" si="8"/>
        <v>0</v>
      </c>
      <c r="I26" s="457">
        <f t="shared" si="9"/>
        <v>0</v>
      </c>
      <c r="J26" s="457">
        <f t="shared" si="10"/>
        <v>18.062954113267736</v>
      </c>
      <c r="K26" s="457">
        <f t="shared" si="11"/>
        <v>0</v>
      </c>
      <c r="L26" s="457">
        <f t="shared" si="12"/>
        <v>0</v>
      </c>
      <c r="M26" s="457">
        <f t="shared" si="13"/>
        <v>0</v>
      </c>
      <c r="N26" s="457">
        <f t="shared" si="14"/>
        <v>0</v>
      </c>
      <c r="O26" s="457">
        <f t="shared" si="15"/>
        <v>0</v>
      </c>
      <c r="P26" s="458">
        <f t="shared" si="16"/>
        <v>0</v>
      </c>
      <c r="Q26" s="456">
        <f t="shared" ca="1" si="17"/>
        <v>4307.9882088996465</v>
      </c>
    </row>
    <row r="27" spans="1:17" s="462" customFormat="1">
      <c r="A27" s="460" t="s">
        <v>572</v>
      </c>
      <c r="B27" s="768">
        <f t="shared" ca="1" si="2"/>
        <v>0.15396635101646319</v>
      </c>
      <c r="C27" s="461">
        <f t="shared" ca="1" si="3"/>
        <v>0</v>
      </c>
      <c r="D27" s="461">
        <f t="shared" si="4"/>
        <v>0.92049713659801125</v>
      </c>
      <c r="E27" s="461">
        <f t="shared" si="5"/>
        <v>122.08349230630277</v>
      </c>
      <c r="F27" s="461">
        <f t="shared" si="6"/>
        <v>0</v>
      </c>
      <c r="G27" s="461">
        <f t="shared" si="7"/>
        <v>35845.88653472111</v>
      </c>
      <c r="H27" s="461">
        <f t="shared" si="8"/>
        <v>4075.3666296351171</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40044.411120150144</v>
      </c>
    </row>
    <row r="28" spans="1:17">
      <c r="A28" s="456" t="s">
        <v>562</v>
      </c>
      <c r="B28" s="457">
        <f t="shared" ca="1" si="2"/>
        <v>0</v>
      </c>
      <c r="C28" s="457">
        <f t="shared" ca="1" si="3"/>
        <v>0</v>
      </c>
      <c r="D28" s="457">
        <f t="shared" si="4"/>
        <v>0</v>
      </c>
      <c r="E28" s="457">
        <f t="shared" si="5"/>
        <v>0</v>
      </c>
      <c r="F28" s="457">
        <f t="shared" si="6"/>
        <v>0</v>
      </c>
      <c r="G28" s="457">
        <f t="shared" si="7"/>
        <v>419.86086248506905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419.86086248506905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251.34489601501099</v>
      </c>
      <c r="C32" s="457">
        <f t="shared" ca="1" si="3"/>
        <v>0</v>
      </c>
      <c r="D32" s="457">
        <f t="shared" si="4"/>
        <v>569.88737679133578</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821.23227280634683</v>
      </c>
    </row>
    <row r="33" spans="1:17" s="469" customFormat="1">
      <c r="A33" s="466" t="s">
        <v>566</v>
      </c>
      <c r="B33" s="467">
        <f ca="1">SUM(B22:B32)</f>
        <v>10506.271230418788</v>
      </c>
      <c r="C33" s="467">
        <f t="shared" ref="C33:Q33" ca="1" si="19">SUM(C22:C32)</f>
        <v>209.90911764705879</v>
      </c>
      <c r="D33" s="467">
        <f t="shared" ca="1" si="19"/>
        <v>20915.470970573999</v>
      </c>
      <c r="E33" s="467">
        <f t="shared" si="19"/>
        <v>990.85925363770957</v>
      </c>
      <c r="F33" s="467">
        <f t="shared" ca="1" si="19"/>
        <v>3452.1540940894979</v>
      </c>
      <c r="G33" s="467">
        <f t="shared" si="19"/>
        <v>36265.747397206178</v>
      </c>
      <c r="H33" s="467">
        <f t="shared" si="19"/>
        <v>4075.3666296351171</v>
      </c>
      <c r="I33" s="467">
        <f t="shared" si="19"/>
        <v>0</v>
      </c>
      <c r="J33" s="467">
        <f t="shared" si="19"/>
        <v>696.89631632529313</v>
      </c>
      <c r="K33" s="467">
        <f t="shared" si="19"/>
        <v>0</v>
      </c>
      <c r="L33" s="467">
        <f t="shared" ca="1" si="19"/>
        <v>0</v>
      </c>
      <c r="M33" s="467">
        <f t="shared" si="19"/>
        <v>0</v>
      </c>
      <c r="N33" s="467">
        <f t="shared" ca="1" si="19"/>
        <v>0</v>
      </c>
      <c r="O33" s="467">
        <f t="shared" si="19"/>
        <v>0</v>
      </c>
      <c r="P33" s="467">
        <f t="shared" si="19"/>
        <v>0</v>
      </c>
      <c r="Q33" s="467">
        <f t="shared" ca="1" si="19"/>
        <v>77112.675009533647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9911.2119547937709</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2228.0565748668282</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1782</v>
      </c>
      <c r="C8" s="1018">
        <f>'SEAP template'!C76</f>
        <v>594</v>
      </c>
      <c r="D8" s="1018">
        <f>'SEAP template'!D76</f>
        <v>0</v>
      </c>
      <c r="E8" s="1018">
        <f>'SEAP template'!E76</f>
        <v>0</v>
      </c>
      <c r="F8" s="1018">
        <f>'SEAP template'!F76</f>
        <v>698.82352941176475</v>
      </c>
      <c r="G8" s="1018">
        <f>'SEAP template'!G76</f>
        <v>0</v>
      </c>
      <c r="H8" s="1018">
        <f>'SEAP template'!H76</f>
        <v>0</v>
      </c>
      <c r="I8" s="1018">
        <f>'SEAP template'!I76</f>
        <v>2096.4705882352941</v>
      </c>
      <c r="J8" s="1018">
        <f>'SEAP template'!J76</f>
        <v>0</v>
      </c>
      <c r="K8" s="1018">
        <f>'SEAP template'!K76</f>
        <v>0</v>
      </c>
      <c r="L8" s="1018">
        <f>'SEAP template'!L76</f>
        <v>0</v>
      </c>
      <c r="M8" s="1018">
        <f>'SEAP template'!M76</f>
        <v>0</v>
      </c>
      <c r="N8" s="1018">
        <f>'SEAP template'!N76</f>
        <v>0</v>
      </c>
      <c r="O8" s="1018">
        <f>'SEAP template'!O76</f>
        <v>0</v>
      </c>
      <c r="P8" s="1019">
        <f>'SEAP template'!Q76</f>
        <v>186.58588235294121</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13921.2685296606</v>
      </c>
      <c r="C10" s="1022">
        <f>SUM(C4:C9)</f>
        <v>594</v>
      </c>
      <c r="D10" s="1022">
        <f t="shared" ref="D10:H10" si="0">SUM(D8:D9)</f>
        <v>0</v>
      </c>
      <c r="E10" s="1022">
        <f t="shared" si="0"/>
        <v>0</v>
      </c>
      <c r="F10" s="1022">
        <f t="shared" si="0"/>
        <v>698.82352941176475</v>
      </c>
      <c r="G10" s="1022">
        <f t="shared" si="0"/>
        <v>0</v>
      </c>
      <c r="H10" s="1022">
        <f t="shared" si="0"/>
        <v>0</v>
      </c>
      <c r="I10" s="1022">
        <f>SUM(I8:I9)</f>
        <v>2096.4705882352941</v>
      </c>
      <c r="J10" s="1022">
        <f>SUM(J8:J9)</f>
        <v>0</v>
      </c>
      <c r="K10" s="1022">
        <f t="shared" ref="K10:L10" si="1">SUM(K8:K9)</f>
        <v>0</v>
      </c>
      <c r="L10" s="1022">
        <f t="shared" si="1"/>
        <v>0</v>
      </c>
      <c r="M10" s="1022">
        <f>SUM(M8:M9)</f>
        <v>0</v>
      </c>
      <c r="N10" s="1022">
        <f>SUM(N8:N9)</f>
        <v>0</v>
      </c>
      <c r="O10" s="1022">
        <f>SUM(O8:O9)</f>
        <v>0</v>
      </c>
      <c r="P10" s="1022">
        <f>SUM(P8:P9)</f>
        <v>186.58588235294121</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0.1716411529200865</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2004.75</v>
      </c>
      <c r="C17" s="1025">
        <f>'SEAP template'!C87</f>
        <v>668.25</v>
      </c>
      <c r="D17" s="1019">
        <f>'SEAP template'!D87</f>
        <v>0</v>
      </c>
      <c r="E17" s="1019">
        <f>'SEAP template'!E87</f>
        <v>0</v>
      </c>
      <c r="F17" s="1019">
        <f>'SEAP template'!F87</f>
        <v>786.17647058823525</v>
      </c>
      <c r="G17" s="1019">
        <f>'SEAP template'!G87</f>
        <v>0</v>
      </c>
      <c r="H17" s="1019">
        <f>'SEAP template'!H87</f>
        <v>0</v>
      </c>
      <c r="I17" s="1019">
        <f>'SEAP template'!I87</f>
        <v>2358.5294117647059</v>
      </c>
      <c r="J17" s="1019">
        <f>'SEAP template'!J87</f>
        <v>0</v>
      </c>
      <c r="K17" s="1019">
        <f>'SEAP template'!K87</f>
        <v>0</v>
      </c>
      <c r="L17" s="1019">
        <f>'SEAP template'!L87</f>
        <v>0</v>
      </c>
      <c r="M17" s="1019">
        <f>'SEAP template'!M87</f>
        <v>0</v>
      </c>
      <c r="N17" s="1019">
        <f>'SEAP template'!N87</f>
        <v>0</v>
      </c>
      <c r="O17" s="1019">
        <f>'SEAP template'!O87</f>
        <v>0</v>
      </c>
      <c r="P17" s="1019">
        <f>'SEAP template'!Q87</f>
        <v>209.90911764705882</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2004.75</v>
      </c>
      <c r="C20" s="1022">
        <f>SUM(C17:C19)</f>
        <v>668.25</v>
      </c>
      <c r="D20" s="1022">
        <f t="shared" ref="D20:H20" si="2">SUM(D17:D19)</f>
        <v>0</v>
      </c>
      <c r="E20" s="1022">
        <f t="shared" si="2"/>
        <v>0</v>
      </c>
      <c r="F20" s="1022">
        <f t="shared" si="2"/>
        <v>786.17647058823525</v>
      </c>
      <c r="G20" s="1022">
        <f t="shared" si="2"/>
        <v>0</v>
      </c>
      <c r="H20" s="1022">
        <f t="shared" si="2"/>
        <v>0</v>
      </c>
      <c r="I20" s="1022">
        <f>SUM(I17:I19)</f>
        <v>2358.5294117647059</v>
      </c>
      <c r="J20" s="1022">
        <f>SUM(J17:J19)</f>
        <v>0</v>
      </c>
      <c r="K20" s="1022">
        <f t="shared" ref="K20:L20" si="3">SUM(K17:K19)</f>
        <v>0</v>
      </c>
      <c r="L20" s="1022">
        <f t="shared" si="3"/>
        <v>0</v>
      </c>
      <c r="M20" s="1022">
        <f>SUM(M17:M19)</f>
        <v>0</v>
      </c>
      <c r="N20" s="1022">
        <f>SUM(N17:N19)</f>
        <v>0</v>
      </c>
      <c r="O20" s="1022">
        <f>SUM(O17:O19)</f>
        <v>0</v>
      </c>
      <c r="P20" s="1022">
        <f>SUM(P17:P19)</f>
        <v>209.90911764705882</v>
      </c>
    </row>
    <row r="22" spans="1:16">
      <c r="A22" s="470" t="s">
        <v>933</v>
      </c>
      <c r="B22" s="774" t="s">
        <v>927</v>
      </c>
      <c r="C22" s="774">
        <f ca="1">'EF ele_warmte'!B22</f>
        <v>7.8529411764705875E-2</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0.1716411529200865</v>
      </c>
      <c r="C17" s="506">
        <f ca="1">'EF ele_warmte'!B22</f>
        <v>7.8529411764705875E-2</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2020-06-20T16:43:47Z</dcterms:modified>
</cp:coreProperties>
</file>