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P9" i="55"/>
  <c r="I76" i="14"/>
  <c r="I8" i="55" s="1"/>
  <c r="I10" i="55" s="1"/>
  <c r="I20" i="18"/>
  <c r="I87" i="14"/>
  <c r="I17" i="55" s="1"/>
  <c r="I20" i="55" s="1"/>
  <c r="O8" i="18"/>
  <c r="O10" i="18" s="1"/>
  <c r="J10" i="18"/>
  <c r="Q87" i="14"/>
  <c r="D90" i="14"/>
  <c r="J87" i="14" l="1"/>
  <c r="O17" i="18"/>
  <c r="O20" i="18" s="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P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D4" i="48"/>
  <c r="D22" i="48" s="1"/>
  <c r="E11" i="14"/>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23" i="48"/>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Q63"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P33" i="48" l="1"/>
  <c r="P15" i="48"/>
  <c r="O8" i="48"/>
  <c r="O26" i="48" s="1"/>
  <c r="P13" i="14"/>
  <c r="P16" i="14" s="1"/>
  <c r="P27" i="14" s="1"/>
  <c r="O15" i="48"/>
  <c r="O23" i="48"/>
  <c r="O33" i="48" s="1"/>
  <c r="K11" i="14"/>
  <c r="J4" i="48"/>
  <c r="J22" i="48" s="1"/>
  <c r="O11" i="14"/>
  <c r="N4" i="48"/>
  <c r="N22" i="48" s="1"/>
  <c r="E12" i="13"/>
  <c r="F41" i="14" s="1"/>
  <c r="F11" i="14"/>
  <c r="R11" i="14" s="1"/>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H22" i="14" l="1"/>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<sst xmlns="http://schemas.openxmlformats.org/spreadsheetml/2006/main" count="2522" uniqueCount="978">
  <si>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</si>
  <si>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</si>
  <si>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</si>
  <si>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</si>
  <si>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</si>
  <si>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</si>
  <si>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</si>
  <si>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</si>
  <si>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</si>
  <si>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</si>
  <si>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</si>
  <si>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</si>
  <si>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</si>
  <si>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</si>
  <si>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</si>
  <si>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</si>
  <si>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</si>
  <si>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</si>
  <si>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</si>
  <si>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</si>
  <si>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</si>
  <si>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</si>
  <si>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</si>
  <si>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</si>
  <si>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</si>
  <si>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</si>
  <si>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</si>
  <si>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</si>
  <si>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</si>
  <si>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</si>
  <si>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</si>
  <si>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</si>
  <si>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</si>
  <si>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</si>
  <si>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</si>
  <si>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</si>
  <si>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</si>
  <si>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</si>
  <si>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</si>
  <si>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</si>
  <si>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</si>
  <si>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</si>
  <si>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</si>
  <si>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</si>
  <si>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</si>
  <si>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</si>
  <si>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</si>
  <si>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</si>
  <si>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</si>
  <si>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</si>
  <si>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</si>
  <si>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</si>
  <si>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</si>
  <si>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</si>
  <si>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</si>
  <si>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</si>
  <si>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</si>
  <si>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</si>
  <si>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</si>
  <si>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</si>
  <si>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</si>
  <si>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</si>
  <si>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</si>
  <si>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</si>
  <si>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</si>
  <si>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</si>
  <si>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</si>
  <si>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</si>
  <si>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</si>
  <si>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</si>
  <si>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</si>
  <si>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</si>
  <si>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</si>
  <si>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</si>
  <si>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</si>
  <si>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</si>
  <si>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</si>
  <si>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</si>
  <si>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</si>
  <si>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</si>
  <si>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</si>
  <si>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</si>
  <si>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</si>
  <si>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</si>
  <si>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</si>
  <si>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</si>
  <si>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</si>
  <si>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</si>
  <si>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</si>
  <si>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</si>
  <si>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</si>
  <si>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</si>
  <si>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</si>
  <si>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</si>
  <si>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</si>
  <si>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</si>
  <si>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</si>
  <si>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</si>
  <si>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</si>
  <si>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</si>
  <si>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</si>
  <si>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</si>
  <si>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</si>
  <si>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</si>
  <si>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</si>
  <si>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</si>
  <si>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</si>
  <si>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</si>
  <si>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</si>
  <si>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</si>
  <si>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</si>
  <si>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</si>
  <si>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</si>
  <si>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</si>
  <si>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</si>
  <si>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</si>
  <si>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</si>
  <si>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</si>
  <si>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</si>
  <si>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</si>
  <si>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</si>
  <si>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</si>
  <si>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</si>
  <si>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</si>
  <si>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</si>
  <si>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</si>
  <si>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</si>
  <si>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</si>
  <si>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</si>
  <si>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</si>
  <si>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</si>
  <si>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</si>
  <si>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</si>
  <si>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</si>
  <si>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</si>
  <si>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</si>
  <si>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</si>
  <si>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</si>
  <si>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</si>
  <si>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</si>
  <si>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</si>
  <si>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</si>
  <si>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</si>
  <si>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</si>
  <si>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</si>
  <si>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</si>
  <si>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</si>
  <si>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</si>
  <si>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</si>
  <si>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</si>
  <si>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</si>
  <si>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</si>
  <si>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</si>
  <si>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</si>
  <si>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</si>
  <si>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</si>
  <si>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</si>
  <si>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</si>
  <si>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</si>
  <si>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</si>
  <si>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</si>
  <si>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</si>
  <si>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</si>
  <si>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</si>
  <si>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</si>
  <si>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</si>
  <si>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</si>
  <si>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</si>
  <si>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</si>
  <si>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</si>
  <si>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</si>
  <si>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</si>
  <si>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</si>
  <si>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</si>
  <si>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</si>
  <si>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</si>
  <si>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</si>
  <si>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</si>
  <si>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</si>
  <si>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</si>
  <si>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</si>
  <si>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</si>
  <si>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</si>
  <si>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</si>
  <si>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</si>
  <si>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</si>
  <si>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</si>
  <si>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</si>
  <si>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</si>
  <si>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</si>
  <si>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</si>
  <si>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</si>
  <si>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</si>
  <si>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</si>
  <si>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</si>
  <si>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</si>
  <si>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</si>
  <si>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</si>
  <si>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</si>
  <si>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</si>
  <si>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</si>
  <si>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</si>
  <si>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</si>
  <si>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</si>
  <si>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</si>
  <si>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</si>
  <si>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</si>
  <si>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</si>
  <si>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</si>
  <si>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</si>
  <si>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</si>
  <si>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</si>
  <si>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</si>
  <si>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</si>
  <si>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</si>
  <si>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</si>
  <si>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</si>
  <si>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</si>
  <si>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</si>
  <si>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</si>
  <si>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</si>
  <si>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</si>
  <si>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</si>
  <si>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</si>
  <si>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</si>
  <si>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</si>
  <si>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</si>
  <si>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</si>
  <si>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</si>
  <si>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</si>
  <si>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</si>
  <si>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</si>
  <si>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</si>
  <si>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</si>
  <si>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</si>
  <si>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</si>
  <si>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</si>
  <si>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</si>
  <si>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</si>
  <si>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</si>
  <si>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</si>
  <si>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</si>
  <si>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</si>
  <si>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</si>
  <si>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</si>
  <si>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</si>
  <si>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</si>
  <si>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</si>
  <si>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</si>
  <si>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</si>
  <si>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</si>
  <si>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</si>
  <si>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</si>
  <si>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</si>
  <si>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</si>
  <si>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</si>
  <si>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</si>
  <si>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</si>
  <si>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</si>
  <si>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</si>
  <si>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</si>
  <si>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</si>
  <si>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</si>
  <si>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</si>
  <si>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</si>
  <si>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</si>
  <si>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</si>
  <si>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</si>
  <si>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</si>
  <si>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</si>
  <si>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</si>
  <si>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</si>
  <si>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</si>
  <si>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</si>
  <si>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</si>
  <si>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</si>
  <si>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</si>
  <si>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</si>
  <si>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</si>
  <si>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</si>
  <si>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</si>
  <si>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</si>
  <si>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</si>
  <si>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</si>
  <si>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</si>
  <si>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</si>
  <si>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</si>
  <si>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</si>
  <si>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</si>
  <si>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</si>
  <si>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</si>
  <si>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</si>
  <si>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</si>
  <si>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</si>
  <si>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</si>
  <si>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</si>
  <si>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</si>
  <si>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</si>
  <si>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</si>
  <si>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</si>
  <si>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</si>
  <si>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</si>
  <si>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</si>
  <si>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</si>
  <si>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</si>
  <si>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</si>
  <si>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</si>
  <si>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</si>
  <si>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</si>
  <si>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</si>
  <si>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</si>
  <si>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</si>
  <si>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</si>
  <si>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</si>
  <si>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</si>
  <si>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</si>
  <si>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</si>
  <si>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</si>
  <si>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</si>
  <si>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</si>
  <si>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</si>
  <si>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</si>
  <si>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</si>
  <si>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</si>
  <si>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</si>
  <si>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</si>
  <si>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</si>
  <si>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</si>
  <si>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</si>
  <si>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</si>
  <si>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</si>
  <si>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</si>
  <si>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</si>
  <si>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</si>
  <si>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</si>
  <si>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</si>
  <si>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</si>
  <si>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</si>
  <si>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</si>
  <si>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</si>
  <si>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</si>
  <si>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</si>
  <si>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</si>
  <si>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</si>
  <si>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</si>
  <si>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</si>
  <si>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</si>
  <si>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</si>
  <si>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</si>
  <si>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</si>
  <si>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</si>
  <si>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</si>
  <si>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</si>
  <si>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</si>
  <si>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</si>
  <si>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</si>
  <si>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</si>
  <si>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</si>
  <si>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</si>
  <si>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</si>
  <si>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</si>
  <si>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</si>
  <si>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</si>
  <si>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</si>
  <si>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</si>
  <si>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</si>
  <si>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</si>
  <si>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</si>
  <si>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</si>
  <si>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</si>
  <si>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</si>
  <si>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</si>
  <si>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</si>
  <si>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</si>
  <si>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</si>
  <si>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</si>
  <si>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</si>
  <si>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</si>
  <si>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</si>
  <si>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</si>
  <si>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</si>
  <si>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</si>
  <si>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</si>
  <si>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</si>
  <si>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</si>
  <si>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</si>
  <si>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</si>
  <si>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</si>
  <si>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</si>
  <si>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</si>
  <si>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</si>
  <si>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</si>
  <si>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</si>
  <si>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</si>
  <si>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</si>
  <si>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</si>
  <si>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</si>
  <si>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</si>
  <si>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</si>
  <si>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</si>
  <si>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</si>
  <si>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</si>
  <si>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</si>
  <si>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</si>
  <si>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</si>
  <si>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</si>
  <si>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</si>
  <si>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</si>
  <si>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</si>
  <si>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</si>
  <si>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</si>
  <si>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</si>
  <si>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</si>
  <si>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</si>
  <si>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</si>
  <si>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</si>
  <si>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</si>
  <si>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</si>
  <si>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</si>
  <si>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</si>
  <si>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</si>
  <si>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</si>
  <si>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</si>
  <si>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</si>
  <si>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</si>
  <si>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</si>
  <si>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</si>
  <si>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</si>
  <si>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</si>
  <si>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</si>
  <si>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</si>
  <si>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</si>
  <si>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</si>
  <si>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</si>
  <si>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</si>
  <si>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</si>
  <si>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</si>
  <si>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</si>
  <si>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</si>
  <si>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</si>
  <si>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</si>
  <si>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</si>
  <si>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</si>
  <si>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</si>
  <si>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</si>
  <si>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</si>
  <si>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</si>
  <si>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</si>
  <si>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</si>
  <si>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</si>
  <si>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</si>
  <si>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</si>
  <si>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</si>
  <si>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</si>
  <si>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</si>
  <si>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</si>
  <si>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</si>
  <si>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</si>
  <si>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</si>
  <si>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</si>
  <si>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</si>
  <si>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</si>
  <si>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</si>
  <si>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</si>
  <si>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</si>
  <si>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</si>
  <si>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</si>
  <si>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</si>
  <si>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</si>
  <si>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</si>
  <si>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</si>
  <si>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</si>
  <si>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</si>
  <si>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</si>
  <si>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</si>
  <si>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</si>
  <si>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</si>
  <si>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</si>
  <si>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</si>
  <si>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</si>
  <si>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</si>
  <si>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</si>
  <si>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</si>
  <si>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</si>
  <si>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</si>
  <si>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</si>
  <si>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</si>
  <si>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</si>
  <si>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</si>
  <si>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</si>
  <si>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</si>
  <si>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</si>
  <si>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</si>
  <si>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</si>
  <si>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</si>
  <si>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</si>
  <si>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</si>
  <si>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</si>
  <si>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</si>
  <si>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</si>
  <si>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</si>
  <si>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</si>
  <si>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</si>
  <si>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</si>
  <si>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</si>
  <si>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</si>
  <si>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</si>
  <si>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</si>
  <si>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</si>
  <si>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</si>
  <si>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</si>
  <si>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</si>
  <si>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</si>
  <si>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</si>
  <si>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</si>
  <si>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</si>
  <si>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</si>
  <si>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</si>
  <si>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</si>
  <si>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</si>
  <si>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</si>
  <si>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</si>
  <si>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</si>
  <si>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</si>
  <si>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</si>
  <si>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</si>
  <si>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</si>
  <si>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</si>
  <si>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</si>
  <si>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</si>
  <si>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</si>
  <si>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</si>
  <si>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</si>
  <si>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</si>
  <si>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</si>
  <si>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</si>
  <si>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</si>
  <si>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</si>
  <si>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</si>
  <si>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</si>
  <si>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</si>
  <si>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</si>
  <si>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</si>
  <si>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</si>
  <si>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</si>
  <si>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</si>
  <si>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</si>
  <si>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</si>
  <si>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</si>
  <si>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</si>
  <si>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</si>
  <si>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</si>
  <si>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</si>
  <si>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</si>
  <si>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</si>
  <si>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</si>
  <si>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</si>
  <si>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</si>
  <si>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</si>
  <si>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</si>
  <si>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</si>
  <si>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</si>
  <si>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</si>
  <si>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</si>
  <si>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</si>
  <si>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</si>
  <si>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</si>
  <si>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</si>
  <si>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</si>
  <si>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</si>
  <si>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</si>
  <si>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</si>
  <si>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</si>
  <si>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</si>
  <si>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</si>
  <si>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</si>
  <si>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</si>
  <si>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</si>
  <si>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</si>
  <si>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</si>
  <si>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</si>
  <si>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</si>
  <si>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</si>
  <si>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</si>
  <si>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</si>
  <si>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</si>
  <si>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</si>
  <si>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</si>
  <si>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</si>
  <si>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</si>
  <si>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</si>
  <si>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</si>
  <si>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</si>
  <si>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</si>
  <si>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</si>
  <si>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</si>
  <si>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</si>
  <si>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</si>
  <si>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</si>
  <si>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</si>
  <si>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</si>
  <si>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</si>
  <si>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</si>
  <si>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</si>
  <si>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</si>
  <si>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</si>
  <si>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</si>
  <si>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</si>
  <si>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</si>
  <si>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</si>
  <si>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</si>
  <si>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</si>
  <si>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</si>
  <si>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</si>
  <si>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</si>
  <si>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</si>
  <si>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</si>
  <si>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</si>
  <si>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</si>
  <si>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</si>
  <si>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</si>
  <si>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</si>
  <si>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</si>
  <si>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</si>
  <si>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</si>
  <si>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</si>
  <si>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</si>
  <si>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</si>
  <si>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</si>
  <si>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</si>
  <si>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</si>
  <si>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</si>
  <si>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</si>
  <si>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</si>
  <si>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</si>
  <si>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</si>
  <si>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</si>
  <si>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</si>
  <si>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</si>
  <si>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</si>
  <si>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</si>
  <si>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</si>
  <si>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</si>
  <si>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</si>
  <si>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</si>
  <si>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</si>
  <si>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</si>
  <si>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</si>
  <si>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</si>
  <si>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</si>
  <si>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</si>
  <si>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</si>
  <si>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</si>
  <si>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</si>
  <si>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</si>
  <si>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</si>
  <si>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</si>
  <si>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</si>
  <si>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</si>
  <si>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</si>
  <si>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</si>
  <si>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</si>
  <si>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</si>
  <si>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</si>
  <si>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</si>
  <si>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</si>
  <si>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</si>
  <si>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</si>
  <si>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</si>
  <si>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</si>
  <si>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</si>
  <si>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</si>
  <si>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</si>
  <si>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</si>
  <si>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</si>
  <si>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</si>
  <si>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</si>
  <si>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</si>
  <si>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</si>
  <si>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</si>
  <si>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</si>
  <si>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</si>
  <si>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</si>
  <si>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</si>
  <si>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</si>
  <si>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</si>
  <si>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</si>
  <si>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</si>
  <si>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</si>
  <si>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</si>
  <si>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</si>
  <si>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</si>
  <si>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</si>
  <si>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</si>
  <si>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</si>
  <si>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</si>
  <si>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</si>
  <si>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</si>
  <si>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</si>
  <si>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</si>
  <si>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</si>
  <si>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</si>
  <si>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</si>
  <si>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</si>
  <si>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</si>
  <si>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</si>
  <si>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</si>
  <si>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</si>
  <si>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</si>
  <si>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</si>
  <si>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</si>
  <si>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</si>
  <si>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</si>
  <si>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</si>
  <si>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</si>
  <si>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</si>
  <si>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</si>
  <si>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</si>
  <si>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</si>
  <si>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</si>
  <si>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</si>
  <si>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</si>
  <si>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</si>
  <si>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</si>
  <si>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</si>
  <si>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</si>
  <si>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</si>
  <si>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</si>
  <si>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</si>
  <si>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</si>
  <si>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</si>
  <si>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</si>
  <si>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</si>
  <si>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</si>
  <si>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</si>
  <si>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</si>
  <si>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</si>
  <si>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</si>
  <si>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</si>
  <si>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</si>
  <si>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</si>
  <si>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</si>
  <si>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</si>
  <si>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</si>
  <si>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</si>
  <si>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</si>
  <si>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</si>
  <si>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</si>
  <si>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</si>
  <si>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</si>
  <si>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</si>
  <si>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</si>
  <si>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</si>
  <si>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</si>
  <si>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</si>
  <si>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</si>
  <si>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</si>
  <si>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</si>
  <si>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</si>
  <si>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</si>
  <si>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</si>
  <si>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</si>
  <si>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</si>
  <si>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</si>
  <si>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</si>
  <si>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</si>
  <si>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</si>
  <si>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</si>
  <si>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</si>
  <si>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</si>
  <si>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</si>
  <si>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</si>
  <si>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</si>
  <si>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</si>
  <si>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</si>
  <si>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</si>
  <si>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</si>
  <si>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</si>
  <si>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</si>
  <si>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</si>
  <si>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</si>
  <si>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</si>
  <si>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</si>
  <si>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</si>
  <si>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</si>
  <si>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</si>
  <si>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</si>
  <si>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</si>
  <si>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</si>
  <si>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</si>
  <si>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</si>
  <si>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</si>
  <si>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</si>
  <si>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</si>
  <si>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</si>
  <si>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</si>
  <si>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</si>
  <si>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</si>
  <si>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</si>
  <si>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</si>
  <si>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</si>
  <si>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</si>
  <si>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</si>
  <si>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</si>
  <si>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</si>
  <si>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</si>
  <si>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</si>
  <si>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</si>
  <si>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</si>
  <si>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</si>
  <si>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</si>
  <si>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</si>
  <si>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</si>
  <si>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</si>
  <si>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</si>
  <si>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</si>
  <si>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</si>
  <si>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</si>
  <si>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</si>
  <si>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</si>
  <si>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</si>
  <si>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</si>
  <si>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</si>
  <si>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</si>
  <si>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</si>
  <si>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</si>
  <si>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</si>
  <si>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</si>
  <si>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</si>
  <si>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</si>
  <si>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</si>
  <si>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</si>
  <si>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</si>
  <si>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</si>
  <si>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</si>
  <si>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</si>
  <si>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</si>
  <si>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</si>
  <si>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</si>
  <si>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</si>
  <si>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</si>
  <si>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</si>
  <si>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</si>
  <si>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</si>
  <si>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</si>
  <si>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</si>
  <si>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</si>
  <si>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</si>
  <si>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</si>
  <si>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</si>
  <si>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</si>
  <si>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</si>
  <si>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</si>
  <si>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</si>
  <si>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</si>
  <si>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</si>
  <si>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</si>
  <si>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</si>
  <si>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</si>
  <si>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</si>
  <si>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</si>
  <si>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</si>
  <si>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</si>
  <si>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</si>
  <si>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</si>
  <si>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</si>
  <si>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</si>
  <si>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</si>
  <si>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</si>
  <si>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</si>
  <si>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</si>
  <si>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</si>
  <si>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</si>
  <si>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</si>
  <si>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</si>
  <si>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</si>
  <si>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</si>
  <si>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</si>
  <si>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</si>
  <si>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</si>
  <si>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</si>
  <si>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</si>
  <si>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</si>
  <si>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</si>
  <si>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</si>
  <si>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</si>
  <si>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</si>
  <si>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</si>
  <si>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</si>
  <si>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</si>
  <si>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</si>
  <si>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</si>
  <si>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</si>
  <si>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</si>
  <si>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</si>
  <si>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</si>
  <si>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</si>
  <si>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</si>
  <si>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</si>
  <si>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</si>
  <si>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</si>
  <si>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</si>
  <si>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</si>
  <si>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</si>
  <si>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</si>
  <si>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</si>
  <si>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</si>
  <si>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</si>
  <si>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</si>
  <si>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</si>
  <si>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</si>
  <si>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</si>
  <si>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</si>
  <si>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</si>
  <si>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</si>
  <si>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</si>
  <si>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</si>
  <si>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</si>
  <si>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</si>
  <si>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</si>
  <si>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</si>
  <si>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</si>
  <si>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</si>
  <si>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</si>
  <si>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</si>
  <si>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</si>
  <si>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</si>
  <si>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</si>
  <si>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</si>
  <si>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</si>
  <si>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</si>
  <si>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</si>
  <si>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</si>
  <si>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</si>
  <si>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</si>
  <si>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</si>
  <si>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</si>
  <si>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</si>
  <si>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</si>
  <si>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</si>
  <si>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</si>
  <si>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</si>
  <si>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</si>
  <si>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</si>
  <si>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</si>
  <si>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</si>
  <si>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</si>
  <si>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</si>
  <si>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</si>
  <si>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</si>
  <si>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</si>
  <si>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</si>
  <si>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</si>
  <si>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</si>
  <si>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</si>
  <si>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</si>
  <si>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</si>
  <si>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</si>
  <si>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</si>
  <si>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</si>
  <si>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</si>
  <si>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</si>
  <si>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</si>
  <si>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</si>
  <si>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45065</t>
  </si>
  <si>
    <t>ZWALM</t>
  </si>
  <si>
    <t>Paarden&amp;pony's 200 - 600 kg</t>
  </si>
  <si>
    <t>Paarden&amp;pony's &lt; 200 kg</t>
  </si>
  <si>
    <t>Fluvius</t>
  </si>
  <si>
    <t xml:space="preserve">Bron: </t>
  </si>
  <si>
    <t>referentietaak LNE (2017); Jaarverslag De Lijn</t>
  </si>
  <si>
    <t>Aquafin NV</t>
  </si>
  <si>
    <t>Dijkstraat 8,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</si>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</sst>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45065</v>
      </c>
      <c r="B6" s="394"/>
      <c r="C6" s="395"/>
    </row>
    <row r="7" spans="1:7" s="392" customFormat="1" ht="15.75" customHeight="1">
      <c r="A7" s="396" t="str">
        <f>txtMunicipality</f>
        <v>ZWALM</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0.21254068947644103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0.21254068947644103</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3190</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2071</v>
      </c>
      <c r="C14" s="331"/>
      <c r="D14" s="331"/>
      <c r="E14" s="331"/>
      <c r="F14" s="331"/>
    </row>
    <row r="15" spans="1:6">
      <c r="A15" s="1290" t="s">
        <v>183</v>
      </c>
      <c r="B15" s="1291">
        <v>13</v>
      </c>
      <c r="C15" s="331"/>
      <c r="D15" s="331"/>
      <c r="E15" s="331"/>
      <c r="F15" s="331"/>
    </row>
    <row r="16" spans="1:6">
      <c r="A16" s="1290" t="s">
        <v>6</v>
      </c>
      <c r="B16" s="1291">
        <v>452</v>
      </c>
      <c r="C16" s="331"/>
      <c r="D16" s="331"/>
      <c r="E16" s="331"/>
      <c r="F16" s="331"/>
    </row>
    <row r="17" spans="1:6">
      <c r="A17" s="1290" t="s">
        <v>7</v>
      </c>
      <c r="B17" s="1291">
        <v>350</v>
      </c>
      <c r="C17" s="331"/>
      <c r="D17" s="331"/>
      <c r="E17" s="331"/>
      <c r="F17" s="331"/>
    </row>
    <row r="18" spans="1:6">
      <c r="A18" s="1290" t="s">
        <v>8</v>
      </c>
      <c r="B18" s="1291">
        <v>560</v>
      </c>
      <c r="C18" s="331"/>
      <c r="D18" s="331"/>
      <c r="E18" s="331"/>
      <c r="F18" s="331"/>
    </row>
    <row r="19" spans="1:6">
      <c r="A19" s="1290" t="s">
        <v>9</v>
      </c>
      <c r="B19" s="1291">
        <v>555</v>
      </c>
      <c r="C19" s="331"/>
      <c r="D19" s="331"/>
      <c r="E19" s="331"/>
      <c r="F19" s="331"/>
    </row>
    <row r="20" spans="1:6">
      <c r="A20" s="1290" t="s">
        <v>10</v>
      </c>
      <c r="B20" s="1291">
        <v>433</v>
      </c>
      <c r="C20" s="331"/>
      <c r="D20" s="331"/>
      <c r="E20" s="331"/>
      <c r="F20" s="331"/>
    </row>
    <row r="21" spans="1:6">
      <c r="A21" s="1290" t="s">
        <v>11</v>
      </c>
      <c r="B21" s="1291">
        <v>882</v>
      </c>
      <c r="C21" s="331"/>
      <c r="D21" s="331"/>
      <c r="E21" s="331"/>
      <c r="F21" s="331"/>
    </row>
    <row r="22" spans="1:6">
      <c r="A22" s="1290" t="s">
        <v>12</v>
      </c>
      <c r="B22" s="1291">
        <v>2726</v>
      </c>
      <c r="C22" s="331"/>
      <c r="D22" s="331"/>
      <c r="E22" s="331"/>
      <c r="F22" s="331"/>
    </row>
    <row r="23" spans="1:6">
      <c r="A23" s="1290" t="s">
        <v>13</v>
      </c>
      <c r="B23" s="1291">
        <v>68</v>
      </c>
      <c r="C23" s="331"/>
      <c r="D23" s="331"/>
      <c r="E23" s="331"/>
      <c r="F23" s="331"/>
    </row>
    <row r="24" spans="1:6">
      <c r="A24" s="1290" t="s">
        <v>14</v>
      </c>
      <c r="B24" s="1291">
        <v>4</v>
      </c>
      <c r="C24" s="331"/>
      <c r="D24" s="331"/>
      <c r="E24" s="331"/>
      <c r="F24" s="331"/>
    </row>
    <row r="25" spans="1:6">
      <c r="A25" s="1290" t="s">
        <v>15</v>
      </c>
      <c r="B25" s="1291">
        <v>296</v>
      </c>
      <c r="C25" s="331"/>
      <c r="D25" s="331"/>
      <c r="E25" s="331"/>
      <c r="F25" s="331"/>
    </row>
    <row r="26" spans="1:6">
      <c r="A26" s="1290" t="s">
        <v>16</v>
      </c>
      <c r="B26" s="1291">
        <v>168</v>
      </c>
      <c r="C26" s="331"/>
      <c r="D26" s="331"/>
      <c r="E26" s="331"/>
      <c r="F26" s="331"/>
    </row>
    <row r="27" spans="1:6">
      <c r="A27" s="1290" t="s">
        <v>17</v>
      </c>
      <c r="B27" s="1291">
        <v>0</v>
      </c>
      <c r="C27" s="331"/>
      <c r="D27" s="331"/>
      <c r="E27" s="331"/>
      <c r="F27" s="331"/>
    </row>
    <row r="28" spans="1:6" s="43" customFormat="1">
      <c r="A28" s="1292" t="s">
        <v>18</v>
      </c>
      <c r="B28" s="1293">
        <v>53529</v>
      </c>
      <c r="C28" s="337"/>
      <c r="D28" s="337"/>
      <c r="E28" s="337"/>
      <c r="F28" s="337"/>
    </row>
    <row r="29" spans="1:6">
      <c r="A29" s="1292" t="s">
        <v>966</v>
      </c>
      <c r="B29" s="1293">
        <v>27</v>
      </c>
      <c r="C29" s="337"/>
      <c r="D29" s="337"/>
      <c r="E29" s="337"/>
      <c r="F29" s="337"/>
    </row>
    <row r="30" spans="1:6">
      <c r="A30" s="1285" t="s">
        <v>967</v>
      </c>
      <c r="B30" s="1294">
        <v>7</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2</v>
      </c>
      <c r="F38" s="1291">
        <v>1264.9399603688</v>
      </c>
    </row>
    <row r="39" spans="1:6">
      <c r="A39" s="1290" t="s">
        <v>29</v>
      </c>
      <c r="B39" s="1290" t="s">
        <v>30</v>
      </c>
      <c r="C39" s="1291">
        <v>809</v>
      </c>
      <c r="D39" s="1291">
        <v>12143107.8450354</v>
      </c>
      <c r="E39" s="1291">
        <v>3027</v>
      </c>
      <c r="F39" s="1291">
        <v>15579469.104981201</v>
      </c>
    </row>
    <row r="40" spans="1:6">
      <c r="A40" s="1290" t="s">
        <v>29</v>
      </c>
      <c r="B40" s="1290" t="s">
        <v>28</v>
      </c>
      <c r="C40" s="1291">
        <v>0</v>
      </c>
      <c r="D40" s="1291">
        <v>0</v>
      </c>
      <c r="E40" s="1291">
        <v>0</v>
      </c>
      <c r="F40" s="1291">
        <v>0</v>
      </c>
    </row>
    <row r="41" spans="1:6">
      <c r="A41" s="1290" t="s">
        <v>31</v>
      </c>
      <c r="B41" s="1290" t="s">
        <v>32</v>
      </c>
      <c r="C41" s="1291">
        <v>3</v>
      </c>
      <c r="D41" s="1291">
        <v>40161.418371993401</v>
      </c>
      <c r="E41" s="1291">
        <v>54</v>
      </c>
      <c r="F41" s="1291">
        <v>423805.446352367</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8</v>
      </c>
      <c r="D48" s="1291">
        <v>189310.24231366301</v>
      </c>
      <c r="E48" s="1291">
        <v>25</v>
      </c>
      <c r="F48" s="1291">
        <v>688044.08037360501</v>
      </c>
    </row>
    <row r="49" spans="1:6">
      <c r="A49" s="1290" t="s">
        <v>31</v>
      </c>
      <c r="B49" s="1290" t="s">
        <v>39</v>
      </c>
      <c r="C49" s="1291">
        <v>0</v>
      </c>
      <c r="D49" s="1291">
        <v>0</v>
      </c>
      <c r="E49" s="1291">
        <v>0</v>
      </c>
      <c r="F49" s="1291">
        <v>0</v>
      </c>
    </row>
    <row r="50" spans="1:6">
      <c r="A50" s="1290" t="s">
        <v>31</v>
      </c>
      <c r="B50" s="1290" t="s">
        <v>40</v>
      </c>
      <c r="C50" s="1291">
        <v>0</v>
      </c>
      <c r="D50" s="1291">
        <v>0</v>
      </c>
      <c r="E50" s="1291">
        <v>6</v>
      </c>
      <c r="F50" s="1291">
        <v>79091.561515424197</v>
      </c>
    </row>
    <row r="51" spans="1:6">
      <c r="A51" s="1290" t="s">
        <v>41</v>
      </c>
      <c r="B51" s="1290" t="s">
        <v>42</v>
      </c>
      <c r="C51" s="1291">
        <v>0</v>
      </c>
      <c r="D51" s="1291">
        <v>0</v>
      </c>
      <c r="E51" s="1291">
        <v>67</v>
      </c>
      <c r="F51" s="1291">
        <v>892064.46648742096</v>
      </c>
    </row>
    <row r="52" spans="1:6">
      <c r="A52" s="1290" t="s">
        <v>41</v>
      </c>
      <c r="B52" s="1290" t="s">
        <v>28</v>
      </c>
      <c r="C52" s="1291">
        <v>2</v>
      </c>
      <c r="D52" s="1291">
        <v>69666.730992211204</v>
      </c>
      <c r="E52" s="1291">
        <v>7</v>
      </c>
      <c r="F52" s="1291">
        <v>104148.77850733799</v>
      </c>
    </row>
    <row r="53" spans="1:6">
      <c r="A53" s="1290" t="s">
        <v>43</v>
      </c>
      <c r="B53" s="1290" t="s">
        <v>44</v>
      </c>
      <c r="C53" s="1291">
        <v>27</v>
      </c>
      <c r="D53" s="1291">
        <v>554434.41036388197</v>
      </c>
      <c r="E53" s="1291">
        <v>108</v>
      </c>
      <c r="F53" s="1291">
        <v>574468.26637194795</v>
      </c>
    </row>
    <row r="54" spans="1:6">
      <c r="A54" s="1290" t="s">
        <v>45</v>
      </c>
      <c r="B54" s="1290" t="s">
        <v>46</v>
      </c>
      <c r="C54" s="1291">
        <v>0</v>
      </c>
      <c r="D54" s="1291">
        <v>0</v>
      </c>
      <c r="E54" s="1291">
        <v>1</v>
      </c>
      <c r="F54" s="1291">
        <v>728451</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9</v>
      </c>
      <c r="D57" s="1291">
        <v>148247.76542254101</v>
      </c>
      <c r="E57" s="1291">
        <v>25</v>
      </c>
      <c r="F57" s="1291">
        <v>181426.873320065</v>
      </c>
    </row>
    <row r="58" spans="1:6">
      <c r="A58" s="1290" t="s">
        <v>48</v>
      </c>
      <c r="B58" s="1290" t="s">
        <v>50</v>
      </c>
      <c r="C58" s="1291">
        <v>0</v>
      </c>
      <c r="D58" s="1291">
        <v>0</v>
      </c>
      <c r="E58" s="1291">
        <v>0</v>
      </c>
      <c r="F58" s="1291">
        <v>0</v>
      </c>
    </row>
    <row r="59" spans="1:6">
      <c r="A59" s="1290" t="s">
        <v>48</v>
      </c>
      <c r="B59" s="1290" t="s">
        <v>51</v>
      </c>
      <c r="C59" s="1291">
        <v>0</v>
      </c>
      <c r="D59" s="1291">
        <v>0</v>
      </c>
      <c r="E59" s="1291">
        <v>42</v>
      </c>
      <c r="F59" s="1291">
        <v>669725.08816746797</v>
      </c>
    </row>
    <row r="60" spans="1:6">
      <c r="A60" s="1290" t="s">
        <v>48</v>
      </c>
      <c r="B60" s="1290" t="s">
        <v>52</v>
      </c>
      <c r="C60" s="1291">
        <v>14</v>
      </c>
      <c r="D60" s="1291">
        <v>482376.89142076002</v>
      </c>
      <c r="E60" s="1291">
        <v>46</v>
      </c>
      <c r="F60" s="1291">
        <v>924685.44498180598</v>
      </c>
    </row>
    <row r="61" spans="1:6">
      <c r="A61" s="1290" t="s">
        <v>48</v>
      </c>
      <c r="B61" s="1290" t="s">
        <v>53</v>
      </c>
      <c r="C61" s="1291">
        <v>6</v>
      </c>
      <c r="D61" s="1291">
        <v>539218.72560485394</v>
      </c>
      <c r="E61" s="1291">
        <v>72</v>
      </c>
      <c r="F61" s="1291">
        <v>743062.08086927701</v>
      </c>
    </row>
    <row r="62" spans="1:6">
      <c r="A62" s="1290" t="s">
        <v>48</v>
      </c>
      <c r="B62" s="1290" t="s">
        <v>54</v>
      </c>
      <c r="C62" s="1291">
        <v>3</v>
      </c>
      <c r="D62" s="1291">
        <v>175805.022821919</v>
      </c>
      <c r="E62" s="1291">
        <v>10</v>
      </c>
      <c r="F62" s="1291">
        <v>112791.91870542199</v>
      </c>
    </row>
    <row r="63" spans="1:6">
      <c r="A63" s="1290" t="s">
        <v>48</v>
      </c>
      <c r="B63" s="1290" t="s">
        <v>28</v>
      </c>
      <c r="C63" s="1291">
        <v>49</v>
      </c>
      <c r="D63" s="1291">
        <v>2266133.3703410001</v>
      </c>
      <c r="E63" s="1291">
        <v>132</v>
      </c>
      <c r="F63" s="1291">
        <v>3673875.5543608698</v>
      </c>
    </row>
    <row r="64" spans="1:6">
      <c r="A64" s="1290" t="s">
        <v>55</v>
      </c>
      <c r="B64" s="1290" t="s">
        <v>56</v>
      </c>
      <c r="C64" s="1291">
        <v>0</v>
      </c>
      <c r="D64" s="1291">
        <v>0</v>
      </c>
      <c r="E64" s="1291">
        <v>0</v>
      </c>
      <c r="F64" s="1291">
        <v>0</v>
      </c>
    </row>
    <row r="65" spans="1:6">
      <c r="A65" s="1290" t="s">
        <v>55</v>
      </c>
      <c r="B65" s="1290" t="s">
        <v>28</v>
      </c>
      <c r="C65" s="1291">
        <v>1</v>
      </c>
      <c r="D65" s="1291">
        <v>15877.588341597801</v>
      </c>
      <c r="E65" s="1291">
        <v>5</v>
      </c>
      <c r="F65" s="1291">
        <v>16609.203482145898</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0</v>
      </c>
      <c r="F68" s="1294">
        <v>0</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49855532</v>
      </c>
      <c r="E73" s="455"/>
      <c r="F73" s="331"/>
    </row>
    <row r="74" spans="1:6">
      <c r="A74" s="1290" t="s">
        <v>63</v>
      </c>
      <c r="B74" s="1290" t="s">
        <v>773</v>
      </c>
      <c r="C74" s="1304" t="s">
        <v>774</v>
      </c>
      <c r="D74" s="1305">
        <v>4100946.1564936456</v>
      </c>
      <c r="E74" s="455"/>
      <c r="F74" s="331"/>
    </row>
    <row r="75" spans="1:6">
      <c r="A75" s="1290" t="s">
        <v>64</v>
      </c>
      <c r="B75" s="1290" t="s">
        <v>771</v>
      </c>
      <c r="C75" s="1304" t="s">
        <v>775</v>
      </c>
      <c r="D75" s="1305">
        <v>13747058</v>
      </c>
      <c r="E75" s="455"/>
      <c r="F75" s="331"/>
    </row>
    <row r="76" spans="1:6">
      <c r="A76" s="1290" t="s">
        <v>64</v>
      </c>
      <c r="B76" s="1290" t="s">
        <v>773</v>
      </c>
      <c r="C76" s="1304" t="s">
        <v>776</v>
      </c>
      <c r="D76" s="1305">
        <v>244328.15649364551</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229117.68701270898</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871.0303852192344</v>
      </c>
      <c r="C91" s="331"/>
      <c r="D91" s="331"/>
      <c r="E91" s="331"/>
      <c r="F91" s="331"/>
    </row>
    <row r="92" spans="1:6">
      <c r="A92" s="1285" t="s">
        <v>68</v>
      </c>
      <c r="B92" s="1286">
        <v>50.232843177275363</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72</v>
      </c>
      <c r="C97" s="331"/>
      <c r="D97" s="331"/>
      <c r="E97" s="331"/>
      <c r="F97" s="331"/>
    </row>
    <row r="98" spans="1:6">
      <c r="A98" s="1290" t="s">
        <v>71</v>
      </c>
      <c r="B98" s="1291">
        <v>1</v>
      </c>
      <c r="C98" s="331"/>
      <c r="D98" s="331"/>
      <c r="E98" s="331"/>
      <c r="F98" s="331"/>
    </row>
    <row r="99" spans="1:6">
      <c r="A99" s="1290" t="s">
        <v>72</v>
      </c>
      <c r="B99" s="1291">
        <v>102</v>
      </c>
      <c r="C99" s="331"/>
      <c r="D99" s="331"/>
      <c r="E99" s="331"/>
      <c r="F99" s="331"/>
    </row>
    <row r="100" spans="1:6">
      <c r="A100" s="1290" t="s">
        <v>73</v>
      </c>
      <c r="B100" s="1291">
        <v>331</v>
      </c>
      <c r="C100" s="331"/>
      <c r="D100" s="331"/>
      <c r="E100" s="331"/>
      <c r="F100" s="331"/>
    </row>
    <row r="101" spans="1:6">
      <c r="A101" s="1290" t="s">
        <v>74</v>
      </c>
      <c r="B101" s="1291">
        <v>77</v>
      </c>
      <c r="C101" s="331"/>
      <c r="D101" s="331"/>
      <c r="E101" s="331"/>
      <c r="F101" s="331"/>
    </row>
    <row r="102" spans="1:6">
      <c r="A102" s="1290" t="s">
        <v>75</v>
      </c>
      <c r="B102" s="1291">
        <v>48</v>
      </c>
      <c r="C102" s="331"/>
      <c r="D102" s="331"/>
      <c r="E102" s="331"/>
      <c r="F102" s="331"/>
    </row>
    <row r="103" spans="1:6">
      <c r="A103" s="1290" t="s">
        <v>76</v>
      </c>
      <c r="B103" s="1291">
        <v>263</v>
      </c>
      <c r="C103" s="331"/>
      <c r="D103" s="331"/>
      <c r="E103" s="331"/>
      <c r="F103" s="331"/>
    </row>
    <row r="104" spans="1:6">
      <c r="A104" s="1290" t="s">
        <v>77</v>
      </c>
      <c r="B104" s="1291">
        <v>1972</v>
      </c>
      <c r="C104" s="331"/>
      <c r="D104" s="331"/>
      <c r="E104" s="331"/>
      <c r="F104" s="331"/>
    </row>
    <row r="105" spans="1:6">
      <c r="A105" s="1285" t="s">
        <v>78</v>
      </c>
      <c r="B105" s="1294">
        <v>4</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11</v>
      </c>
      <c r="C123" s="1291">
        <v>2</v>
      </c>
      <c r="D123" s="331"/>
      <c r="E123" s="331"/>
      <c r="F123" s="331"/>
    </row>
    <row r="124" spans="1:6" s="43" customFormat="1">
      <c r="A124" s="1292" t="s">
        <v>88</v>
      </c>
      <c r="B124" s="1313">
        <v>1</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28</v>
      </c>
      <c r="C129" s="331"/>
      <c r="D129" s="331"/>
      <c r="E129" s="331"/>
      <c r="F129" s="331"/>
    </row>
    <row r="130" spans="1:6">
      <c r="A130" s="1290" t="s">
        <v>294</v>
      </c>
      <c r="B130" s="1291">
        <v>3</v>
      </c>
      <c r="C130" s="331"/>
      <c r="D130" s="331"/>
      <c r="E130" s="331"/>
      <c r="F130" s="331"/>
    </row>
    <row r="131" spans="1:6">
      <c r="A131" s="1290" t="s">
        <v>295</v>
      </c>
      <c r="B131" s="1291">
        <v>0</v>
      </c>
      <c r="C131" s="331"/>
      <c r="D131" s="331"/>
      <c r="E131" s="331"/>
      <c r="F131" s="331"/>
    </row>
    <row r="132" spans="1:6">
      <c r="A132" s="1285" t="s">
        <v>296</v>
      </c>
      <c r="B132" s="1286">
        <v>7</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26516.58548220716</v>
      </c>
      <c r="C3" s="43" t="s">
        <v>169</v>
      </c>
      <c r="D3" s="43"/>
      <c r="E3" s="156"/>
      <c r="F3" s="43"/>
      <c r="G3" s="43"/>
      <c r="H3" s="43"/>
      <c r="I3" s="43"/>
      <c r="J3" s="43"/>
      <c r="K3" s="96"/>
    </row>
    <row r="4" spans="1:11">
      <c r="A4" s="362" t="s">
        <v>170</v>
      </c>
      <c r="B4" s="49">
        <f>IF(ISERROR('SEAP template'!B78+'SEAP template'!C78),0,'SEAP template'!B78+'SEAP template'!C78)</f>
        <v>1191.2632283965099</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38.957142857142863</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0.21254068947644103</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728.45100000000002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728.45100000000002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0.21254068947644103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154.82547778980296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15579.469104981201</v>
      </c>
      <c r="C5" s="17">
        <f>IF(ISERROR('Eigen informatie GS &amp; warmtenet'!B57),0,'Eigen informatie GS &amp; warmtenet'!B57)</f>
        <v>0</v>
      </c>
      <c r="D5" s="30">
        <f>(SUM(HH_hh_gas_kWh,HH_rest_gas_kWh)/1000)*0.902</f>
        <v>10953.083276221931</v>
      </c>
      <c r="E5" s="17">
        <f>B46*B57</f>
        <v>11764.842618999952</v>
      </c>
      <c r="F5" s="17">
        <f>B51*B62</f>
        <v>29614.152552758766</v>
      </c>
      <c r="G5" s="18"/>
      <c r="H5" s="17"/>
      <c r="I5" s="17"/>
      <c r="J5" s="17">
        <f>B50*B61+C50*C61</f>
        <v>5463.2962153369663</v>
      </c>
      <c r="K5" s="17"/>
      <c r="L5" s="17"/>
      <c r="M5" s="17"/>
      <c r="N5" s="17">
        <f>B48*B59+C48*C59</f>
        <v>7895.7871036801771</v>
      </c>
      <c r="O5" s="17">
        <f>B69*B70*B71</f>
        <v>48.463333333333338</v>
      </c>
      <c r="P5" s="17">
        <f>B77*B78*B79/1000-B77*B78*B79/1000/B80</f>
        <v>362.26666666666665</v>
      </c>
    </row>
    <row r="6" spans="1:16">
      <c r="A6" s="16" t="s">
        <v>631</v>
      </c>
      <c r="B6" s="776">
        <f>kWh_PV_kleiner_dan_10kW</f>
        <v>871.0303852192344</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16450.499490200436</v>
      </c>
      <c r="C8" s="21">
        <f>C5</f>
        <v>0</v>
      </c>
      <c r="D8" s="21">
        <f>D5</f>
        <v>10953.083276221931</v>
      </c>
      <c r="E8" s="21">
        <f>E5</f>
        <v>11764.842618999952</v>
      </c>
      <c r="F8" s="21">
        <f>F5</f>
        <v>29614.152552758766</v>
      </c>
      <c r="G8" s="21"/>
      <c r="H8" s="21"/>
      <c r="I8" s="21"/>
      <c r="J8" s="21">
        <f>J5</f>
        <v>5463.2962153369663</v>
      </c>
      <c r="K8" s="21"/>
      <c r="L8" s="21">
        <f>L5</f>
        <v>0</v>
      </c>
      <c r="M8" s="21">
        <f>M5</f>
        <v>0</v>
      </c>
      <c r="N8" s="21">
        <f>N5</f>
        <v>7895.7871036801771</v>
      </c>
      <c r="O8" s="21">
        <f>O5</f>
        <v>48.463333333333338</v>
      </c>
      <c r="P8" s="21">
        <f>P5</f>
        <v>362.26666666666665</v>
      </c>
    </row>
    <row r="9" spans="1:16">
      <c r="B9" s="19"/>
      <c r="C9" s="19"/>
      <c r="D9" s="260"/>
      <c r="E9" s="19"/>
      <c r="F9" s="19"/>
      <c r="G9" s="19"/>
      <c r="H9" s="19"/>
      <c r="I9" s="19"/>
      <c r="J9" s="19"/>
      <c r="K9" s="19"/>
      <c r="L9" s="19"/>
      <c r="M9" s="19"/>
      <c r="N9" s="19"/>
      <c r="O9" s="19"/>
      <c r="P9" s="19"/>
    </row>
    <row r="10" spans="1:16">
      <c r="A10" s="24" t="s">
        <v>213</v>
      </c>
      <c r="B10" s="25">
        <f ca="1">'EF ele_warmte'!B12</f>
        <v>0.21254068947644103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3496.4005038790424</v>
      </c>
      <c r="C12" s="23">
        <f ca="1">C10*C8</f>
        <v>0</v>
      </c>
      <c r="D12" s="23">
        <f>D8*D10</f>
        <v>2212.5228217968302</v>
      </c>
      <c r="E12" s="23">
        <f>E10*E8</f>
        <v>2670.6192745129893</v>
      </c>
      <c r="F12" s="23">
        <f>F10*F8</f>
        <v>7906.9787315865906</v>
      </c>
      <c r="G12" s="23"/>
      <c r="H12" s="23"/>
      <c r="I12" s="23"/>
      <c r="J12" s="23">
        <f>J10*J8</f>
        <v>1934.0068602292858</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72</v>
      </c>
      <c r="C18" s="167" t="s">
        <v>110</v>
      </c>
      <c r="D18" s="229"/>
      <c r="E18" s="15"/>
    </row>
    <row r="19" spans="1:7">
      <c r="A19" s="172" t="s">
        <v>71</v>
      </c>
      <c r="B19" s="37">
        <f>aantalw2001_ander</f>
        <v>1</v>
      </c>
      <c r="C19" s="167" t="s">
        <v>110</v>
      </c>
      <c r="D19" s="230"/>
      <c r="E19" s="15"/>
    </row>
    <row r="20" spans="1:7">
      <c r="A20" s="172" t="s">
        <v>72</v>
      </c>
      <c r="B20" s="37">
        <f>aantalw2001_propaan</f>
        <v>102</v>
      </c>
      <c r="C20" s="168">
        <f>IF(ISERROR(B20/SUM($B$20,$B$21,$B$22)*100),0,B20/SUM($B$20,$B$21,$B$22)*100)</f>
        <v>20</v>
      </c>
      <c r="D20" s="230"/>
      <c r="E20" s="15"/>
    </row>
    <row r="21" spans="1:7">
      <c r="A21" s="172" t="s">
        <v>73</v>
      </c>
      <c r="B21" s="37">
        <f>aantalw2001_elektriciteit</f>
        <v>331</v>
      </c>
      <c r="C21" s="168">
        <f>IF(ISERROR(B21/SUM($B$20,$B$21,$B$22)*100),0,B21/SUM($B$20,$B$21,$B$22)*100)</f>
        <v>64.901960784313729</v>
      </c>
      <c r="D21" s="230"/>
      <c r="E21" s="15"/>
    </row>
    <row r="22" spans="1:7">
      <c r="A22" s="172" t="s">
        <v>74</v>
      </c>
      <c r="B22" s="37">
        <f>aantalw2001_hout</f>
        <v>77</v>
      </c>
      <c r="C22" s="168">
        <f>IF(ISERROR(B22/SUM($B$20,$B$21,$B$22)*100),0,B22/SUM($B$20,$B$21,$B$22)*100)</f>
        <v>15.098039215686274</v>
      </c>
      <c r="D22" s="230"/>
      <c r="E22" s="15"/>
    </row>
    <row r="23" spans="1:7">
      <c r="A23" s="172" t="s">
        <v>75</v>
      </c>
      <c r="B23" s="37">
        <f>aantalw2001_niet_gespec</f>
        <v>48</v>
      </c>
      <c r="C23" s="167" t="s">
        <v>110</v>
      </c>
      <c r="D23" s="229"/>
      <c r="E23" s="15"/>
    </row>
    <row r="24" spans="1:7">
      <c r="A24" s="172" t="s">
        <v>76</v>
      </c>
      <c r="B24" s="37">
        <f>aantalw2001_steenkool</f>
        <v>263</v>
      </c>
      <c r="C24" s="167" t="s">
        <v>110</v>
      </c>
      <c r="D24" s="230"/>
      <c r="E24" s="15"/>
    </row>
    <row r="25" spans="1:7">
      <c r="A25" s="172" t="s">
        <v>77</v>
      </c>
      <c r="B25" s="37">
        <f>aantalw2001_stookolie</f>
        <v>1972</v>
      </c>
      <c r="C25" s="167" t="s">
        <v>110</v>
      </c>
      <c r="D25" s="229"/>
      <c r="E25" s="52"/>
    </row>
    <row r="26" spans="1:7">
      <c r="A26" s="172" t="s">
        <v>78</v>
      </c>
      <c r="B26" s="37">
        <f>aantalw2001_WP</f>
        <v>4</v>
      </c>
      <c r="C26" s="167" t="s">
        <v>110</v>
      </c>
      <c r="D26" s="229"/>
      <c r="E26" s="15"/>
    </row>
    <row r="27" spans="1:7" s="15" customFormat="1">
      <c r="A27" s="172"/>
      <c r="B27" s="29"/>
      <c r="C27" s="36"/>
      <c r="D27" s="229"/>
    </row>
    <row r="28" spans="1:7" s="15" customFormat="1">
      <c r="A28" s="231" t="s">
        <v>711</v>
      </c>
      <c r="B28" s="37">
        <f>aantalHuishoudens</f>
        <v>3190</v>
      </c>
      <c r="C28" s="36"/>
      <c r="D28" s="229"/>
    </row>
    <row r="29" spans="1:7" s="15" customFormat="1">
      <c r="A29" s="231" t="s">
        <v>712</v>
      </c>
      <c r="B29" s="37">
        <f>SUM(HH_hh_gas_aantal,HH_rest_gas_aantal)</f>
        <v>809</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809</v>
      </c>
      <c r="C32" s="168">
        <f>IF(ISERROR(B32/SUM($B$32,$B$34,$B$35,$B$36,$B$38,$B$39)*100),0,B32/SUM($B$32,$B$34,$B$35,$B$36,$B$38,$B$39)*100)</f>
        <v>25.512456638284455</v>
      </c>
      <c r="D32" s="234"/>
      <c r="G32" s="15"/>
    </row>
    <row r="33" spans="1:7">
      <c r="A33" s="172" t="s">
        <v>71</v>
      </c>
      <c r="B33" s="34" t="s">
        <v>110</v>
      </c>
      <c r="C33" s="168"/>
      <c r="D33" s="234"/>
      <c r="G33" s="15"/>
    </row>
    <row r="34" spans="1:7">
      <c r="A34" s="172" t="s">
        <v>72</v>
      </c>
      <c r="B34" s="33">
        <f>IF((($B$28-$B$32-$B$39-$B$77-$B$38)*C20/100)&lt;0,0,($B$28-$B$32-$B$39-$B$77-$B$38)*C20/100)</f>
        <v>172.80000000000004</v>
      </c>
      <c r="C34" s="168">
        <f>IF(ISERROR(B34/SUM($B$32,$B$34,$B$35,$B$36,$B$38,$B$39)*100),0,B34/SUM($B$32,$B$34,$B$35,$B$36,$B$38,$B$39)*100)</f>
        <v>5.4493850520340601</v>
      </c>
      <c r="D34" s="234"/>
      <c r="G34" s="15"/>
    </row>
    <row r="35" spans="1:7">
      <c r="A35" s="172" t="s">
        <v>73</v>
      </c>
      <c r="B35" s="33">
        <f>IF((($B$28-$B$32-$B$39-$B$77-$B$38)*C21/100)&lt;0,0,($B$28-$B$32-$B$39-$B$77-$B$38)*C21/100)</f>
        <v>560.75294117647081</v>
      </c>
      <c r="C35" s="168">
        <f>IF(ISERROR(B35/SUM($B$32,$B$34,$B$35,$B$36,$B$38,$B$39)*100),0,B35/SUM($B$32,$B$34,$B$35,$B$36,$B$38,$B$39)*100)</f>
        <v>17.683788747287004</v>
      </c>
      <c r="D35" s="234"/>
      <c r="G35" s="15"/>
    </row>
    <row r="36" spans="1:7">
      <c r="A36" s="172" t="s">
        <v>74</v>
      </c>
      <c r="B36" s="33">
        <f>IF((($B$28-$B$32-$B$39-$B$77-$B$38)*C22/100)&lt;0,0,($B$28-$B$32-$B$39-$B$77-$B$38)*C22/100)</f>
        <v>130.44705882352943</v>
      </c>
      <c r="C36" s="168">
        <f>IF(ISERROR(B36/SUM($B$32,$B$34,$B$35,$B$36,$B$38,$B$39)*100),0,B36/SUM($B$32,$B$34,$B$35,$B$36,$B$38,$B$39)*100)</f>
        <v>4.1137514608492411</v>
      </c>
      <c r="D36" s="234"/>
      <c r="G36" s="15"/>
    </row>
    <row r="37" spans="1:7">
      <c r="A37" s="172" t="s">
        <v>75</v>
      </c>
      <c r="B37" s="34" t="s">
        <v>110</v>
      </c>
      <c r="C37" s="168"/>
      <c r="D37" s="174"/>
      <c r="G37" s="15"/>
    </row>
    <row r="38" spans="1:7">
      <c r="A38" s="172" t="s">
        <v>76</v>
      </c>
      <c r="B38" s="33">
        <f>IF((B24-(B29-B18)*0.1)&lt;0,0,B24-(B29-B18)*0.1)</f>
        <v>189.3</v>
      </c>
      <c r="C38" s="168">
        <f>IF(ISERROR(B38/SUM($B$32,$B$34,$B$35,$B$36,$B$38,$B$39)*100),0,B38/SUM($B$32,$B$34,$B$35,$B$36,$B$38,$B$39)*100)</f>
        <v>5.9697256385998116</v>
      </c>
      <c r="D38" s="235"/>
      <c r="G38" s="15"/>
    </row>
    <row r="39" spans="1:7">
      <c r="A39" s="172" t="s">
        <v>77</v>
      </c>
      <c r="B39" s="33">
        <f>IF((B25-(B29-B18))&lt;0,0,B25-(B29-B18)*0.9)</f>
        <v>1308.6999999999998</v>
      </c>
      <c r="C39" s="168">
        <f>IF(ISERROR(B39/SUM($B$32,$B$34,$B$35,$B$36,$B$38,$B$39)*100),0,B39/SUM($B$32,$B$34,$B$35,$B$36,$B$38,$B$39)*100)</f>
        <v>41.270892462945433</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809</v>
      </c>
      <c r="C44" s="34" t="s">
        <v>110</v>
      </c>
      <c r="D44" s="175"/>
    </row>
    <row r="45" spans="1:7">
      <c r="A45" s="172" t="s">
        <v>71</v>
      </c>
      <c r="B45" s="33" t="str">
        <f t="shared" si="0"/>
        <v>-</v>
      </c>
      <c r="C45" s="34" t="s">
        <v>110</v>
      </c>
      <c r="D45" s="175"/>
    </row>
    <row r="46" spans="1:7">
      <c r="A46" s="172" t="s">
        <v>72</v>
      </c>
      <c r="B46" s="33">
        <f t="shared" si="0"/>
        <v>172.80000000000004</v>
      </c>
      <c r="C46" s="34" t="s">
        <v>110</v>
      </c>
      <c r="D46" s="175"/>
    </row>
    <row r="47" spans="1:7">
      <c r="A47" s="172" t="s">
        <v>73</v>
      </c>
      <c r="B47" s="33">
        <f t="shared" si="0"/>
        <v>560.75294117647081</v>
      </c>
      <c r="C47" s="34" t="s">
        <v>110</v>
      </c>
      <c r="D47" s="175"/>
    </row>
    <row r="48" spans="1:7">
      <c r="A48" s="172" t="s">
        <v>74</v>
      </c>
      <c r="B48" s="33">
        <f t="shared" si="0"/>
        <v>130.44705882352943</v>
      </c>
      <c r="C48" s="33">
        <f>B48*10</f>
        <v>1304.4705882352944</v>
      </c>
      <c r="D48" s="235"/>
    </row>
    <row r="49" spans="1:6">
      <c r="A49" s="172" t="s">
        <v>75</v>
      </c>
      <c r="B49" s="33" t="str">
        <f t="shared" si="0"/>
        <v>-</v>
      </c>
      <c r="C49" s="34" t="s">
        <v>110</v>
      </c>
      <c r="D49" s="235"/>
    </row>
    <row r="50" spans="1:6">
      <c r="A50" s="172" t="s">
        <v>76</v>
      </c>
      <c r="B50" s="33">
        <f t="shared" si="0"/>
        <v>189.3</v>
      </c>
      <c r="C50" s="33">
        <f>B50*2</f>
        <v>378.6</v>
      </c>
      <c r="D50" s="235"/>
    </row>
    <row r="51" spans="1:6">
      <c r="A51" s="172" t="s">
        <v>77</v>
      </c>
      <c r="B51" s="33">
        <f t="shared" si="0"/>
        <v>1308.6999999999998</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31</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19</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6305.566960404909</v>
      </c>
      <c r="C5" s="17">
        <f>IF(ISERROR('Eigen informatie GS &amp; warmtenet'!B58),0,'Eigen informatie GS &amp; warmtenet'!B58)</f>
        <v>0</v>
      </c>
      <c r="D5" s="30">
        <f>SUM(D6:D12)</f>
        <v>3257.8271616011889</v>
      </c>
      <c r="E5" s="17">
        <f>SUM(E6:E12)</f>
        <v>161.59869306535177</v>
      </c>
      <c r="F5" s="17">
        <f>SUM(F6:F12)</f>
        <v>1231.6527840132867</v>
      </c>
      <c r="G5" s="18"/>
      <c r="H5" s="17"/>
      <c r="I5" s="17"/>
      <c r="J5" s="17">
        <f>SUM(J6:J12)</f>
        <v>0</v>
      </c>
      <c r="K5" s="17"/>
      <c r="L5" s="17"/>
      <c r="M5" s="17"/>
      <c r="N5" s="17">
        <f>SUM(N6:N12)</f>
        <v>152.40539485614127</v>
      </c>
      <c r="O5" s="17">
        <f>B38*B39*B40</f>
        <v>4.6900000000000004</v>
      </c>
      <c r="P5" s="17">
        <f>B46*B47*B48/1000-B46*B47*B48/1000/B49</f>
        <v>0</v>
      </c>
      <c r="R5" s="32"/>
    </row>
    <row r="6" spans="1:18">
      <c r="A6" s="32" t="s">
        <v>53</v>
      </c>
      <c r="B6" s="37">
        <f>B26</f>
        <v>743.062080869277</v>
      </c>
      <c r="C6" s="33"/>
      <c r="D6" s="37">
        <f>IF(ISERROR(TER_kantoor_gas_kWh/1000),0,TER_kantoor_gas_kWh/1000)*0.902</f>
        <v>486.37529049557827</v>
      </c>
      <c r="E6" s="33">
        <f>$C$26*'E Balans VL '!I12/100/3.6*1000000</f>
        <v>26.010095848385095</v>
      </c>
      <c r="F6" s="33">
        <f>$C$26*('E Balans VL '!L12+'E Balans VL '!N12)/100/3.6*1000000</f>
        <v>112.66416484632983</v>
      </c>
      <c r="G6" s="34"/>
      <c r="H6" s="33"/>
      <c r="I6" s="33"/>
      <c r="J6" s="33">
        <f>$C$26*('E Balans VL '!D12+'E Balans VL '!E12)/100/3.6*1000000</f>
        <v>0</v>
      </c>
      <c r="K6" s="33"/>
      <c r="L6" s="33"/>
      <c r="M6" s="33"/>
      <c r="N6" s="33">
        <f>$C$26*'E Balans VL '!Y12/100/3.6*1000000</f>
        <v>5.7436373130888709</v>
      </c>
      <c r="O6" s="33"/>
      <c r="P6" s="33"/>
      <c r="R6" s="32"/>
    </row>
    <row r="7" spans="1:18">
      <c r="A7" s="32" t="s">
        <v>52</v>
      </c>
      <c r="B7" s="37">
        <f t="shared" ref="B7:B12" si="0">B27</f>
        <v>924.68544498180597</v>
      </c>
      <c r="C7" s="33"/>
      <c r="D7" s="37">
        <f>IF(ISERROR(TER_horeca_gas_kWh/1000),0,TER_horeca_gas_kWh/1000)*0.902</f>
        <v>435.10395606152554</v>
      </c>
      <c r="E7" s="33">
        <f>$C$27*'E Balans VL '!I9/100/3.6*1000000</f>
        <v>52.164554418973836</v>
      </c>
      <c r="F7" s="33">
        <f>$C$27*('E Balans VL '!L9+'E Balans VL '!N9)/100/3.6*1000000</f>
        <v>161.08532179078588</v>
      </c>
      <c r="G7" s="34"/>
      <c r="H7" s="33"/>
      <c r="I7" s="33"/>
      <c r="J7" s="33">
        <f>$C$27*('E Balans VL '!D9+'E Balans VL '!E9)/100/3.6*1000000</f>
        <v>0</v>
      </c>
      <c r="K7" s="33"/>
      <c r="L7" s="33"/>
      <c r="M7" s="33"/>
      <c r="N7" s="33">
        <f>$C$27*'E Balans VL '!Y9/100/3.6*1000000</f>
        <v>0</v>
      </c>
      <c r="O7" s="33"/>
      <c r="P7" s="33"/>
      <c r="R7" s="32"/>
    </row>
    <row r="8" spans="1:18">
      <c r="A8" s="6" t="s">
        <v>51</v>
      </c>
      <c r="B8" s="37">
        <f t="shared" si="0"/>
        <v>669.72508816746802</v>
      </c>
      <c r="C8" s="33"/>
      <c r="D8" s="37">
        <f>IF(ISERROR(TER_handel_gas_kWh/1000),0,TER_handel_gas_kWh/1000)*0.902</f>
        <v>0</v>
      </c>
      <c r="E8" s="33">
        <f>$C$28*'E Balans VL '!I13/100/3.6*1000000</f>
        <v>3.4383005595696767</v>
      </c>
      <c r="F8" s="33">
        <f>$C$28*('E Balans VL '!L13+'E Balans VL '!N13)/100/3.6*1000000</f>
        <v>103.26126028051048</v>
      </c>
      <c r="G8" s="34"/>
      <c r="H8" s="33"/>
      <c r="I8" s="33"/>
      <c r="J8" s="33">
        <f>$C$28*('E Balans VL '!D13+'E Balans VL '!E13)/100/3.6*1000000</f>
        <v>0</v>
      </c>
      <c r="K8" s="33"/>
      <c r="L8" s="33"/>
      <c r="M8" s="33"/>
      <c r="N8" s="33">
        <f>$C$28*'E Balans VL '!Y13/100/3.6*1000000</f>
        <v>0.31323859883102434</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181.426873320065</v>
      </c>
      <c r="C10" s="33"/>
      <c r="D10" s="37">
        <f>IF(ISERROR(TER_ander_gas_kWh/1000),0,TER_ander_gas_kWh/1000)*0.902</f>
        <v>133.71948441113202</v>
      </c>
      <c r="E10" s="33">
        <f>$C$30*'E Balans VL '!I14/100/3.6*1000000</f>
        <v>1.1059826960494714</v>
      </c>
      <c r="F10" s="33">
        <f>$C$30*('E Balans VL '!L14+'E Balans VL '!N14)/100/3.6*1000000</f>
        <v>48.098749383397724</v>
      </c>
      <c r="G10" s="34"/>
      <c r="H10" s="33"/>
      <c r="I10" s="33"/>
      <c r="J10" s="33">
        <f>$C$30*('E Balans VL '!D14+'E Balans VL '!E14)/100/3.6*1000000</f>
        <v>0</v>
      </c>
      <c r="K10" s="33"/>
      <c r="L10" s="33"/>
      <c r="M10" s="33"/>
      <c r="N10" s="33">
        <f>$C$30*'E Balans VL '!Y14/100/3.6*1000000</f>
        <v>41.814973954096551</v>
      </c>
      <c r="O10" s="33"/>
      <c r="P10" s="33"/>
      <c r="R10" s="32"/>
    </row>
    <row r="11" spans="1:18">
      <c r="A11" s="32" t="s">
        <v>54</v>
      </c>
      <c r="B11" s="37">
        <f t="shared" si="0"/>
        <v>112.79191870542199</v>
      </c>
      <c r="C11" s="33"/>
      <c r="D11" s="37">
        <f>IF(ISERROR(TER_onderwijs_gas_kWh/1000),0,TER_onderwijs_gas_kWh/1000)*0.902</f>
        <v>158.57613058537095</v>
      </c>
      <c r="E11" s="33">
        <f>$C$31*'E Balans VL '!I11/100/3.6*1000000</f>
        <v>8.5953315190784335E-2</v>
      </c>
      <c r="F11" s="33">
        <f>$C$31*('E Balans VL '!L11+'E Balans VL '!N11)/100/3.6*1000000</f>
        <v>81.622413629576968</v>
      </c>
      <c r="G11" s="34"/>
      <c r="H11" s="33"/>
      <c r="I11" s="33"/>
      <c r="J11" s="33">
        <f>$C$31*('E Balans VL '!D11+'E Balans VL '!E11)/100/3.6*1000000</f>
        <v>0</v>
      </c>
      <c r="K11" s="33"/>
      <c r="L11" s="33"/>
      <c r="M11" s="33"/>
      <c r="N11" s="33">
        <f>$C$31*'E Balans VL '!Y11/100/3.6*1000000</f>
        <v>0.3324247412022438</v>
      </c>
      <c r="O11" s="33"/>
      <c r="P11" s="33"/>
      <c r="R11" s="32"/>
    </row>
    <row r="12" spans="1:18">
      <c r="A12" s="32" t="s">
        <v>259</v>
      </c>
      <c r="B12" s="37">
        <f t="shared" si="0"/>
        <v>3673.87555436087</v>
      </c>
      <c r="C12" s="33"/>
      <c r="D12" s="37">
        <f>IF(ISERROR(TER_rest_gas_kWh/1000),0,TER_rest_gas_kWh/1000)*0.902</f>
        <v>2044.0523000475821</v>
      </c>
      <c r="E12" s="33">
        <f>$C$32*'E Balans VL '!I8/100/3.6*1000000</f>
        <v>78.793806227182927</v>
      </c>
      <c r="F12" s="33">
        <f>$C$32*('E Balans VL '!L8+'E Balans VL '!N8)/100/3.6*1000000</f>
        <v>724.92087408268594</v>
      </c>
      <c r="G12" s="34"/>
      <c r="H12" s="33"/>
      <c r="I12" s="33"/>
      <c r="J12" s="33">
        <f>$C$32*('E Balans VL '!D8+'E Balans VL '!E8)/100/3.6*1000000</f>
        <v>0</v>
      </c>
      <c r="K12" s="33"/>
      <c r="L12" s="33"/>
      <c r="M12" s="33"/>
      <c r="N12" s="33">
        <f>$C$32*'E Balans VL '!Y8/100/3.6*1000000</f>
        <v>104.20112024892258</v>
      </c>
      <c r="O12" s="33"/>
      <c r="P12" s="33"/>
      <c r="R12" s="32"/>
    </row>
    <row r="13" spans="1:18">
      <c r="A13" s="16" t="s">
        <v>495</v>
      </c>
      <c r="B13" s="248">
        <f ca="1">'lokale energieproductie'!N38+'lokale energieproductie'!N31</f>
        <v>270</v>
      </c>
      <c r="C13" s="248">
        <f ca="1">'lokale energieproductie'!O38+'lokale energieproductie'!O31</f>
        <v>0</v>
      </c>
      <c r="D13" s="309">
        <f ca="1">('lokale energieproductie'!P31+'lokale energieproductie'!P38)*(-1)</f>
        <v>-192.85714285714286</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-578.57142857142856</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6575.566960404909</v>
      </c>
      <c r="C16" s="21">
        <f ca="1">C5+C13+C14</f>
        <v>0</v>
      </c>
      <c r="D16" s="21">
        <f t="shared" ref="D16:N16" ca="1" si="1">MAX((D5+D13+D14),0)</f>
        <v>3064.9700187440462</v>
      </c>
      <c r="E16" s="21">
        <f t="shared" si="1"/>
        <v>161.59869306535177</v>
      </c>
      <c r="F16" s="21">
        <f t="shared" ca="1" si="1"/>
        <v>1231.6527840132867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0.21254068947644103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1397.575535462965</v>
      </c>
      <c r="C20" s="23">
        <f t="shared" ref="C20:P20" ca="1" si="2">C16*C18</f>
        <v>0</v>
      </c>
      <c r="D20" s="23">
        <f t="shared" ca="1" si="2"/>
        <v>619.12394378629733</v>
      </c>
      <c r="E20" s="23">
        <f t="shared" si="2"/>
        <v>36.68290332583485</v>
      </c>
      <c r="F20" s="23">
        <f t="shared" ca="1" si="2"/>
        <v>328.85129333154754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743.062080869277</v>
      </c>
      <c r="C26" s="39">
        <f>IF(ISERROR(B26*3.6/1000000/'E Balans VL '!Z12*100),0,B26*3.6/1000000/'E Balans VL '!Z12*100)</f>
        <v>1.5636509216189184E-2</v>
      </c>
      <c r="D26" s="238" t="s">
        <v>718</v>
      </c>
      <c r="F26" s="6"/>
    </row>
    <row r="27" spans="1:18">
      <c r="A27" s="232" t="s">
        <v>52</v>
      </c>
      <c r="B27" s="33">
        <f>IF(ISERROR(TER_horeca_ele_kWh/1000),0,TER_horeca_ele_kWh/1000)</f>
        <v>924.68544498180597</v>
      </c>
      <c r="C27" s="39">
        <f>IF(ISERROR(B27*3.6/1000000/'E Balans VL '!Z9*100),0,B27*3.6/1000000/'E Balans VL '!Z9*100)</f>
        <v>7.8290518284571398E-2</v>
      </c>
      <c r="D27" s="238" t="s">
        <v>718</v>
      </c>
      <c r="F27" s="6"/>
    </row>
    <row r="28" spans="1:18">
      <c r="A28" s="172" t="s">
        <v>51</v>
      </c>
      <c r="B28" s="33">
        <f>IF(ISERROR(TER_handel_ele_kWh/1000),0,TER_handel_ele_kWh/1000)</f>
        <v>669.72508816746802</v>
      </c>
      <c r="C28" s="39">
        <f>IF(ISERROR(B28*3.6/1000000/'E Balans VL '!Z13*100),0,B28*3.6/1000000/'E Balans VL '!Z13*100)</f>
        <v>1.8541246456970275E-2</v>
      </c>
      <c r="D28" s="238" t="s">
        <v>718</v>
      </c>
      <c r="F28" s="6"/>
    </row>
    <row r="29" spans="1:18">
      <c r="A29" s="232" t="s">
        <v>50</v>
      </c>
      <c r="B29" s="33">
        <f>IF(ISERROR(TER_gezond_ele_kWh/1000),0,TER_gezond_ele_kWh/1000)</f>
        <v>0</v>
      </c>
      <c r="C29" s="39">
        <f>IF(ISERROR(B29*3.6/1000000/'E Balans VL '!Z10*100),0,B29*3.6/1000000/'E Balans VL '!Z10*100)</f>
        <v>0</v>
      </c>
      <c r="D29" s="238" t="s">
        <v>718</v>
      </c>
      <c r="F29" s="6"/>
    </row>
    <row r="30" spans="1:18">
      <c r="A30" s="232" t="s">
        <v>49</v>
      </c>
      <c r="B30" s="33">
        <f>IF(ISERROR(TER_ander_ele_kWh/1000),0,TER_ander_ele_kWh/1000)</f>
        <v>181.426873320065</v>
      </c>
      <c r="C30" s="39">
        <f>IF(ISERROR(B30*3.6/1000000/'E Balans VL '!Z14*100),0,B30*3.6/1000000/'E Balans VL '!Z14*100)</f>
        <v>1.4062246493833641E-2</v>
      </c>
      <c r="D30" s="238" t="s">
        <v>718</v>
      </c>
      <c r="F30" s="6"/>
    </row>
    <row r="31" spans="1:18">
      <c r="A31" s="232" t="s">
        <v>54</v>
      </c>
      <c r="B31" s="33">
        <f>IF(ISERROR(TER_onderwijs_ele_kWh/1000),0,TER_onderwijs_ele_kWh/1000)</f>
        <v>112.79191870542199</v>
      </c>
      <c r="C31" s="39">
        <f>IF(ISERROR(B31*3.6/1000000/'E Balans VL '!Z11*100),0,B31*3.6/1000000/'E Balans VL '!Z11*100)</f>
        <v>2.1579015981969735E-2</v>
      </c>
      <c r="D31" s="238" t="s">
        <v>718</v>
      </c>
    </row>
    <row r="32" spans="1:18">
      <c r="A32" s="232" t="s">
        <v>259</v>
      </c>
      <c r="B32" s="33">
        <f>IF(ISERROR(TER_rest_ele_kWh/1000),0,TER_rest_ele_kWh/1000)</f>
        <v>3673.87555436087</v>
      </c>
      <c r="C32" s="39">
        <f>IF(ISERROR(B32*3.6/1000000/'E Balans VL '!Z8*100),0,B32*3.6/1000000/'E Balans VL '!Z8*100)</f>
        <v>3.0293925171920987E-2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3</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1190.9410882413961</v>
      </c>
      <c r="C5" s="17">
        <f>IF(ISERROR('Eigen informatie GS &amp; warmtenet'!B59),0,'Eigen informatie GS &amp; warmtenet'!B59)</f>
        <v>0</v>
      </c>
      <c r="D5" s="30">
        <f>SUM(D6:D15)</f>
        <v>206.98343793846206</v>
      </c>
      <c r="E5" s="17">
        <f>SUM(E6:E15)</f>
        <v>14.049365294941277</v>
      </c>
      <c r="F5" s="17">
        <f>SUM(F6:F15)</f>
        <v>481.61243907177288</v>
      </c>
      <c r="G5" s="18"/>
      <c r="H5" s="17"/>
      <c r="I5" s="17"/>
      <c r="J5" s="17">
        <f>SUM(J6:J15)</f>
        <v>4.9968175534596639</v>
      </c>
      <c r="K5" s="17"/>
      <c r="L5" s="17"/>
      <c r="M5" s="17"/>
      <c r="N5" s="17">
        <f>SUM(N6:N15)</f>
        <v>44.949772943295073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423.80544635236697</v>
      </c>
      <c r="C9" s="33"/>
      <c r="D9" s="37">
        <f>IF( ISERROR(IND_andere_gas_kWh/1000),0,IND_andere_gas_kWh/1000)*0.902</f>
        <v>36.225599371538046</v>
      </c>
      <c r="E9" s="33">
        <f>C31*'E Balans VL '!I19/100/3.6*1000000</f>
        <v>7.1183316497362235</v>
      </c>
      <c r="F9" s="33">
        <f>C31*'E Balans VL '!L19/100/3.6*1000000+C31*'E Balans VL '!N19/100/3.6*1000000</f>
        <v>331.30695980239386</v>
      </c>
      <c r="G9" s="34"/>
      <c r="H9" s="33"/>
      <c r="I9" s="33"/>
      <c r="J9" s="40">
        <f>C31*'E Balans VL '!D19/100/3.6*1000000+C31*'E Balans VL '!E19/100/3.6*1000000</f>
        <v>3.8223510167180022E-2</v>
      </c>
      <c r="K9" s="33"/>
      <c r="L9" s="33"/>
      <c r="M9" s="33"/>
      <c r="N9" s="33">
        <f>C31*'E Balans VL '!Y19/100/3.6*1000000</f>
        <v>31.410782934500055</v>
      </c>
      <c r="O9" s="33"/>
      <c r="P9" s="33"/>
      <c r="R9" s="32"/>
    </row>
    <row r="10" spans="1:18">
      <c r="A10" s="6" t="s">
        <v>40</v>
      </c>
      <c r="B10" s="37">
        <f t="shared" si="0"/>
        <v>79.091561515424203</v>
      </c>
      <c r="C10" s="33"/>
      <c r="D10" s="37">
        <f>IF( ISERROR(IND_voed_gas_kWh/1000),0,IND_voed_gas_kWh/1000)*0.902</f>
        <v>0</v>
      </c>
      <c r="E10" s="33">
        <f>C32*'E Balans VL '!I20/100/3.6*1000000</f>
        <v>0.72159854076992269</v>
      </c>
      <c r="F10" s="33">
        <f>C32*'E Balans VL '!L20/100/3.6*1000000+C32*'E Balans VL '!N20/100/3.6*1000000</f>
        <v>12.759942711708014</v>
      </c>
      <c r="G10" s="34"/>
      <c r="H10" s="33"/>
      <c r="I10" s="33"/>
      <c r="J10" s="40">
        <f>C32*'E Balans VL '!D20/100/3.6*1000000+C32*'E Balans VL '!E20/100/3.6*1000000</f>
        <v>0.32575090525828881</v>
      </c>
      <c r="K10" s="33"/>
      <c r="L10" s="33"/>
      <c r="M10" s="33"/>
      <c r="N10" s="33">
        <f>C32*'E Balans VL '!Y20/100/3.6*1000000</f>
        <v>1.157047179524048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688.04408037360497</v>
      </c>
      <c r="C15" s="33"/>
      <c r="D15" s="37">
        <f>IF( ISERROR(IND_rest_gas_kWh/1000),0,IND_rest_gas_kWh/1000)*0.902</f>
        <v>170.75783856692402</v>
      </c>
      <c r="E15" s="33">
        <f>C37*'E Balans VL '!I15/100/3.6*1000000</f>
        <v>6.2094351044351308</v>
      </c>
      <c r="F15" s="33">
        <f>C37*'E Balans VL '!L15/100/3.6*1000000+C37*'E Balans VL '!N15/100/3.6*1000000</f>
        <v>137.545536557671</v>
      </c>
      <c r="G15" s="34"/>
      <c r="H15" s="33"/>
      <c r="I15" s="33"/>
      <c r="J15" s="40">
        <f>C37*'E Balans VL '!D15/100/3.6*1000000+C37*'E Balans VL '!E15/100/3.6*1000000</f>
        <v>4.632843138034195</v>
      </c>
      <c r="K15" s="33"/>
      <c r="L15" s="33"/>
      <c r="M15" s="33"/>
      <c r="N15" s="33">
        <f>C37*'E Balans VL '!Y15/100/3.6*1000000</f>
        <v>12.381942829270969</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1190.9410882413961</v>
      </c>
      <c r="C18" s="21">
        <f>C5+C16</f>
        <v>0</v>
      </c>
      <c r="D18" s="21">
        <f>MAX((D5+D16),0)</f>
        <v>206.98343793846206</v>
      </c>
      <c r="E18" s="21">
        <f>MAX((E5+E16),0)</f>
        <v>14.049365294941277</v>
      </c>
      <c r="F18" s="21">
        <f>MAX((F5+F16),0)</f>
        <v>481.61243907177288</v>
      </c>
      <c r="G18" s="21"/>
      <c r="H18" s="21"/>
      <c r="I18" s="21"/>
      <c r="J18" s="21">
        <f>MAX((J5+J16),0)</f>
        <v>4.9968175534596639</v>
      </c>
      <c r="K18" s="21"/>
      <c r="L18" s="21">
        <f>MAX((L5+L16),0)</f>
        <v>0</v>
      </c>
      <c r="M18" s="21"/>
      <c r="N18" s="21">
        <f>MAX((N5+N16),0)</f>
        <v>44.949772943295073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0.21254068947644103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253.12344002064933</v>
      </c>
      <c r="C22" s="23">
        <f ca="1">C18*C20</f>
        <v>0</v>
      </c>
      <c r="D22" s="23">
        <f>D18*D20</f>
        <v>41.810654463569335</v>
      </c>
      <c r="E22" s="23">
        <f>E18*E20</f>
        <v>3.18920592195167</v>
      </c>
      <c r="F22" s="23">
        <f>F18*F20</f>
        <v>128.59052123216335</v>
      </c>
      <c r="G22" s="23"/>
      <c r="H22" s="23"/>
      <c r="I22" s="23"/>
      <c r="J22" s="23">
        <f>J18*J20</f>
        <v>1.7688734139247209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423.80544635236697</v>
      </c>
      <c r="C31" s="39">
        <f>IF(ISERROR(B31*3.6/1000000/'E Balans VL '!Z19*100),0,B31*3.6/1000000/'E Balans VL '!Z19*100)</f>
        <v>1.8785615918341034E-2</v>
      </c>
      <c r="D31" s="238" t="s">
        <v>718</v>
      </c>
    </row>
    <row r="32" spans="1:18">
      <c r="A32" s="172" t="s">
        <v>40</v>
      </c>
      <c r="B32" s="37">
        <f>IF( ISERROR(IND_voed_ele_kWh/1000),0,IND_voed_ele_kWh/1000)</f>
        <v>79.091561515424203</v>
      </c>
      <c r="C32" s="39">
        <f>IF(ISERROR(B32*3.6/1000000/'E Balans VL '!Z20*100),0,B32*3.6/1000000/'E Balans VL '!Z20*100)</f>
        <v>2.6418850389405856E-3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688.04408037360497</v>
      </c>
      <c r="C37" s="39">
        <f>IF(ISERROR(B37*3.6/1000000/'E Balans VL '!Z15*100),0,B37*3.6/1000000/'E Balans VL '!Z15*100)</f>
        <v>5.1179270382900694E-3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996.21324499475895</v>
      </c>
      <c r="C5" s="17">
        <f>'Eigen informatie GS &amp; warmtenet'!B60</f>
        <v>0</v>
      </c>
      <c r="D5" s="30">
        <f>IF(ISERROR(SUM(LB_lb_gas_kWh,LB_rest_gas_kWh)/1000),0,SUM(LB_lb_gas_kWh,LB_rest_gas_kWh)/1000)*0.902</f>
        <v>62.839391354974502</v>
      </c>
      <c r="E5" s="17">
        <f>B17*'E Balans VL '!I25/3.6*1000000/100</f>
        <v>10.432560772957629</v>
      </c>
      <c r="F5" s="17">
        <f>B17*('E Balans VL '!L25/3.6*1000000+'E Balans VL '!N25/3.6*1000000)/100</f>
        <v>4264.5496498808488</v>
      </c>
      <c r="G5" s="18"/>
      <c r="H5" s="17"/>
      <c r="I5" s="17"/>
      <c r="J5" s="17">
        <f>('E Balans VL '!D25+'E Balans VL '!E25)/3.6*1000000*landbouw!B17/100</f>
        <v>88.97077198967618</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996.21324499475895</v>
      </c>
      <c r="C8" s="21">
        <f>C5+C6</f>
        <v>0</v>
      </c>
      <c r="D8" s="21">
        <f>MAX((D5+D6),0)</f>
        <v>62.839391354974502</v>
      </c>
      <c r="E8" s="21">
        <f>MAX((E5+E6),0)</f>
        <v>10.432560772957629</v>
      </c>
      <c r="F8" s="21">
        <f>MAX((F5+F6),0)</f>
        <v>4264.5496498808488</v>
      </c>
      <c r="G8" s="21"/>
      <c r="H8" s="21"/>
      <c r="I8" s="21"/>
      <c r="J8" s="21">
        <f>MAX((J5+J6),0)</f>
        <v>88.97077198967618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0.21254068947644103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211.73584995674872</v>
      </c>
      <c r="C12" s="23">
        <f ca="1">C8*C10</f>
        <v>0</v>
      </c>
      <c r="D12" s="23">
        <f>D8*D10</f>
        <v>12.693557053704851</v>
      </c>
      <c r="E12" s="23">
        <f>E8*E10</f>
        <v>2.368191295461382</v>
      </c>
      <c r="F12" s="23">
        <f>F8*F10</f>
        <v>1138.6347565181868</v>
      </c>
      <c r="G12" s="23"/>
      <c r="H12" s="23"/>
      <c r="I12" s="23"/>
      <c r="J12" s="23">
        <f>J8*J10</f>
        <v>31.495653284345366</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0.15333644887408249</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170.22779526620189</v>
      </c>
      <c r="C26" s="248">
        <f>B26*'GWP N2O_CH4'!B5</f>
        <v>3574.7837005902397</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45.234285472580865</v>
      </c>
      <c r="C27" s="248">
        <f>B27*'GWP N2O_CH4'!B5</f>
        <v>949.91999492419814</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2.3444050826439344</v>
      </c>
      <c r="C28" s="248">
        <f>B28*'GWP N2O_CH4'!B4</f>
        <v>726.76557561961965</v>
      </c>
      <c r="D28" s="50"/>
    </row>
    <row r="29" spans="1:4">
      <c r="A29" s="41" t="s">
        <v>276</v>
      </c>
      <c r="B29" s="248">
        <f>B34*'ha_N2O bodem landbouw'!B4</f>
        <v>18.632916159590096</v>
      </c>
      <c r="C29" s="248">
        <f>B29*'GWP N2O_CH4'!B4</f>
        <v>5776.20400947293</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3.0793341144423891E-3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1.6035551773519499E-6</v>
      </c>
      <c r="C5" s="443" t="s">
        <v>210</v>
      </c>
      <c r="D5" s="428">
        <f>SUM(D6:D11)</f>
        <v>8.7433945443292948E-6</v>
      </c>
      <c r="E5" s="428">
        <f>SUM(E6:E11)</f>
        <v>8.8661429748320125E-4</v>
      </c>
      <c r="F5" s="441" t="s">
        <v>210</v>
      </c>
      <c r="G5" s="428">
        <f>SUM(G6:G11)</f>
        <v>0.16027468145221446</v>
      </c>
      <c r="H5" s="428">
        <f>SUM(H6:H11)</f>
        <v>3.0002758847448324E-2</v>
      </c>
      <c r="I5" s="443" t="s">
        <v>210</v>
      </c>
      <c r="J5" s="443" t="s">
        <v>210</v>
      </c>
      <c r="K5" s="443" t="s">
        <v>210</v>
      </c>
      <c r="L5" s="443" t="s">
        <v>210</v>
      </c>
      <c r="M5" s="428">
        <f>SUM(M6:M11)</f>
        <v>8.2853803166505063E-3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1.25696290761486E-6</v>
      </c>
      <c r="C6" s="429"/>
      <c r="D6" s="429">
        <f>vkm_GW_PW*SUMIFS(TableVerdeelsleutelVkm[CNG],TableVerdeelsleutelVkm[Voertuigtype],"Lichte voertuigen")*SUMIFS(TableECFTransport[EnergieConsumptieFactor (PJ per km)],TableECFTransport[Index],CONCATENATE($A6,"_CNG_CNG"))</f>
        <v>5.9620959028817509E-6</v>
      </c>
      <c r="E6" s="431">
        <f>vkm_GW_PW*SUMIFS(TableVerdeelsleutelVkm[LPG],TableVerdeelsleutelVkm[Voertuigtype],"Lichte voertuigen")*SUMIFS(TableECFTransport[EnergieConsumptieFactor (PJ per km)],TableECFTransport[Index],CONCATENATE($A6,"_LPG_LPG"))</f>
        <v>6.1695255528443729E-4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8.356472024975635E-2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2.08066805011951E-2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4.5575284118212871E-3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3.8524581243082195E-2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1.0699167967675597E-6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1.659656216370648E-3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3.4659226973708998E-7</v>
      </c>
      <c r="C8" s="429"/>
      <c r="D8" s="431">
        <f>vkm_NGW_PW*SUMIFS(TableVerdeelsleutelVkm[CNG],TableVerdeelsleutelVkm[Voertuigtype],"Lichte voertuigen")*SUMIFS(TableECFTransport[EnergieConsumptieFactor (PJ per km)],TableECFTransport[Index],CONCATENATE($A8,"_CNG_CNG"))</f>
        <v>2.7812986414475443E-6</v>
      </c>
      <c r="E8" s="431">
        <f>vkm_NGW_PW*SUMIFS(TableVerdeelsleutelVkm[LPG],TableVerdeelsleutelVkm[Voertuigtype],"Lichte voertuigen")*SUMIFS(TableECFTransport[EnergieConsumptieFactor (PJ per km)],TableECFTransport[Index],CONCATENATE($A8,"_LPG_LPG"))</f>
        <v>2.6966174219876391E-4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3.5008480627138371E-2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9.1949021957696293E-3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1.9313326135602146E-3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3.1768993322375551E-3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1.062336868264965E-7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1.3686307489835827E-4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0.44543199370887498</v>
      </c>
      <c r="C14" s="21"/>
      <c r="D14" s="21">
        <f t="shared" ref="D14:M14" si="0">((D5)*10^9/3600)+D12</f>
        <v>2.4287207067581371</v>
      </c>
      <c r="E14" s="21">
        <f t="shared" si="0"/>
        <v>246.28174930088923</v>
      </c>
      <c r="F14" s="21"/>
      <c r="G14" s="21">
        <f t="shared" si="0"/>
        <v>44520.744847837348</v>
      </c>
      <c r="H14" s="21">
        <f t="shared" si="0"/>
        <v>8334.0996798467568</v>
      </c>
      <c r="I14" s="21"/>
      <c r="J14" s="21"/>
      <c r="K14" s="21"/>
      <c r="L14" s="21"/>
      <c r="M14" s="21">
        <f t="shared" si="0"/>
        <v>2301.4945324029181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0.21254068947644103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9.4672423057750033E-2</v>
      </c>
      <c r="C18" s="23"/>
      <c r="D18" s="23">
        <f t="shared" ref="D18:M18" si="1">D14*D16</f>
        <v>0.49060158276514371</v>
      </c>
      <c r="E18" s="23">
        <f t="shared" si="1"/>
        <v>55.905957091301858</v>
      </c>
      <c r="F18" s="23"/>
      <c r="G18" s="23">
        <f t="shared" si="1"/>
        <v>11887.038874372573</v>
      </c>
      <c r="H18" s="23">
        <f t="shared" si="1"/>
        <v>2075.1908202818422</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3.022556680811638E-3</v>
      </c>
      <c r="H50" s="320">
        <f t="shared" si="2"/>
        <v>0</v>
      </c>
      <c r="I50" s="320">
        <f t="shared" si="2"/>
        <v>0</v>
      </c>
      <c r="J50" s="320">
        <f t="shared" si="2"/>
        <v>0</v>
      </c>
      <c r="K50" s="320">
        <f t="shared" si="2"/>
        <v>0</v>
      </c>
      <c r="L50" s="320">
        <f t="shared" si="2"/>
        <v>0</v>
      </c>
      <c r="M50" s="320">
        <f t="shared" si="2"/>
        <v>1.2853022386494003E-4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3.022556680811638E-3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1.2853022386494003E-4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839.59907800323276</v>
      </c>
      <c r="H54" s="21">
        <f t="shared" si="3"/>
        <v>0</v>
      </c>
      <c r="I54" s="21">
        <f t="shared" si="3"/>
        <v>0</v>
      </c>
      <c r="J54" s="21">
        <f t="shared" si="3"/>
        <v>0</v>
      </c>
      <c r="K54" s="21">
        <f t="shared" si="3"/>
        <v>0</v>
      </c>
      <c r="L54" s="21">
        <f t="shared" si="3"/>
        <v>0</v>
      </c>
      <c r="M54" s="21">
        <f t="shared" si="3"/>
        <v>35.702839962483338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0.21254068947644103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224.17295382686316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7304.017960404909</v>
      </c>
      <c r="D10" s="684">
        <f ca="1">tertiair!C16</f>
        <v>0</v>
      </c>
      <c r="E10" s="684">
        <f ca="1">tertiair!D16</f>
        <v>3064.9700187440462</v>
      </c>
      <c r="F10" s="684">
        <f>tertiair!E16</f>
        <v>161.59869306535177</v>
      </c>
      <c r="G10" s="684">
        <f ca="1">tertiair!F16</f>
        <v>1231.6527840132867</v>
      </c>
      <c r="H10" s="684">
        <f>tertiair!G16</f>
        <v>0</v>
      </c>
      <c r="I10" s="684">
        <f>tertiair!H16</f>
        <v>0</v>
      </c>
      <c r="J10" s="684">
        <f>tertiair!I16</f>
        <v>0</v>
      </c>
      <c r="K10" s="684">
        <f>tertiair!J16</f>
        <v>0</v>
      </c>
      <c r="L10" s="684">
        <f>tertiair!K16</f>
        <v>0</v>
      </c>
      <c r="M10" s="684">
        <f ca="1">tertiair!L16</f>
        <v>0</v>
      </c>
      <c r="N10" s="684">
        <f>tertiair!M16</f>
        <v>0</v>
      </c>
      <c r="O10" s="684">
        <f ca="1">tertiair!N16</f>
        <v>0</v>
      </c>
      <c r="P10" s="684">
        <f>tertiair!O16</f>
        <v>4.6900000000000004</v>
      </c>
      <c r="Q10" s="685">
        <f>tertiair!P16</f>
        <v>0</v>
      </c>
      <c r="R10" s="687">
        <f ca="1">SUM(C10:Q10)</f>
        <v>11766.929456227595</v>
      </c>
      <c r="S10" s="67"/>
    </row>
    <row r="11" spans="1:19" s="453" customFormat="1">
      <c r="A11" s="799" t="s">
        <v>224</v>
      </c>
      <c r="B11" s="804"/>
      <c r="C11" s="684">
        <f>huishoudens!B8</f>
        <v>16450.499490200436</v>
      </c>
      <c r="D11" s="684">
        <f>huishoudens!C8</f>
        <v>0</v>
      </c>
      <c r="E11" s="684">
        <f>huishoudens!D8</f>
        <v>10953.083276221931</v>
      </c>
      <c r="F11" s="684">
        <f>huishoudens!E8</f>
        <v>11764.842618999952</v>
      </c>
      <c r="G11" s="684">
        <f>huishoudens!F8</f>
        <v>29614.152552758766</v>
      </c>
      <c r="H11" s="684">
        <f>huishoudens!G8</f>
        <v>0</v>
      </c>
      <c r="I11" s="684">
        <f>huishoudens!H8</f>
        <v>0</v>
      </c>
      <c r="J11" s="684">
        <f>huishoudens!I8</f>
        <v>0</v>
      </c>
      <c r="K11" s="684">
        <f>huishoudens!J8</f>
        <v>5463.2962153369663</v>
      </c>
      <c r="L11" s="684">
        <f>huishoudens!K8</f>
        <v>0</v>
      </c>
      <c r="M11" s="684">
        <f>huishoudens!L8</f>
        <v>0</v>
      </c>
      <c r="N11" s="684">
        <f>huishoudens!M8</f>
        <v>0</v>
      </c>
      <c r="O11" s="684">
        <f>huishoudens!N8</f>
        <v>7895.7871036801771</v>
      </c>
      <c r="P11" s="684">
        <f>huishoudens!O8</f>
        <v>48.463333333333338</v>
      </c>
      <c r="Q11" s="685">
        <f>huishoudens!P8</f>
        <v>362.26666666666665</v>
      </c>
      <c r="R11" s="687">
        <f>SUM(C11:Q11)</f>
        <v>82552.391257198236</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1190.9410882413961</v>
      </c>
      <c r="D13" s="684">
        <f>industrie!C18</f>
        <v>0</v>
      </c>
      <c r="E13" s="684">
        <f>industrie!D18</f>
        <v>206.98343793846206</v>
      </c>
      <c r="F13" s="684">
        <f>industrie!E18</f>
        <v>14.049365294941277</v>
      </c>
      <c r="G13" s="684">
        <f>industrie!F18</f>
        <v>481.61243907177288</v>
      </c>
      <c r="H13" s="684">
        <f>industrie!G18</f>
        <v>0</v>
      </c>
      <c r="I13" s="684">
        <f>industrie!H18</f>
        <v>0</v>
      </c>
      <c r="J13" s="684">
        <f>industrie!I18</f>
        <v>0</v>
      </c>
      <c r="K13" s="684">
        <f>industrie!J18</f>
        <v>4.9968175534596639</v>
      </c>
      <c r="L13" s="684">
        <f>industrie!K18</f>
        <v>0</v>
      </c>
      <c r="M13" s="684">
        <f>industrie!L18</f>
        <v>0</v>
      </c>
      <c r="N13" s="684">
        <f>industrie!M18</f>
        <v>0</v>
      </c>
      <c r="O13" s="684">
        <f>industrie!N18</f>
        <v>44.949772943295073</v>
      </c>
      <c r="P13" s="684">
        <f>industrie!O18</f>
        <v>0</v>
      </c>
      <c r="Q13" s="685">
        <f>industrie!P18</f>
        <v>0</v>
      </c>
      <c r="R13" s="687">
        <f>SUM(C13:Q13)</f>
        <v>1943.532921043327</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24945.458538846742</v>
      </c>
      <c r="D16" s="717">
        <f t="shared" ref="D16:R16" ca="1" si="0">SUM(D9:D15)</f>
        <v>0</v>
      </c>
      <c r="E16" s="717">
        <f t="shared" ca="1" si="0"/>
        <v>14225.03673290444</v>
      </c>
      <c r="F16" s="717">
        <f t="shared" si="0"/>
        <v>11940.490677360245</v>
      </c>
      <c r="G16" s="717">
        <f t="shared" ca="1" si="0"/>
        <v>31327.417775843827</v>
      </c>
      <c r="H16" s="717">
        <f t="shared" si="0"/>
        <v>0</v>
      </c>
      <c r="I16" s="717">
        <f t="shared" si="0"/>
        <v>0</v>
      </c>
      <c r="J16" s="717">
        <f t="shared" si="0"/>
        <v>0</v>
      </c>
      <c r="K16" s="717">
        <f t="shared" si="0"/>
        <v>5468.2930328904258</v>
      </c>
      <c r="L16" s="717">
        <f t="shared" si="0"/>
        <v>0</v>
      </c>
      <c r="M16" s="717">
        <f t="shared" ca="1" si="0"/>
        <v>0</v>
      </c>
      <c r="N16" s="717">
        <f t="shared" si="0"/>
        <v>0</v>
      </c>
      <c r="O16" s="717">
        <f t="shared" ca="1" si="0"/>
        <v>7940.7368766234722</v>
      </c>
      <c r="P16" s="717">
        <f t="shared" si="0"/>
        <v>53.153333333333336</v>
      </c>
      <c r="Q16" s="717">
        <f t="shared" si="0"/>
        <v>362.26666666666665</v>
      </c>
      <c r="R16" s="717">
        <f t="shared" ca="1" si="0"/>
        <v>96262.853634469153</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839.59907800323276</v>
      </c>
      <c r="I19" s="684">
        <f>transport!H54</f>
        <v>0</v>
      </c>
      <c r="J19" s="684">
        <f>transport!I54</f>
        <v>0</v>
      </c>
      <c r="K19" s="684">
        <f>transport!J54</f>
        <v>0</v>
      </c>
      <c r="L19" s="684">
        <f>transport!K54</f>
        <v>0</v>
      </c>
      <c r="M19" s="684">
        <f>transport!L54</f>
        <v>0</v>
      </c>
      <c r="N19" s="684">
        <f>transport!M54</f>
        <v>35.702839962483338</v>
      </c>
      <c r="O19" s="684">
        <f>transport!N54</f>
        <v>0</v>
      </c>
      <c r="P19" s="684">
        <f>transport!O54</f>
        <v>0</v>
      </c>
      <c r="Q19" s="685">
        <f>transport!P54</f>
        <v>0</v>
      </c>
      <c r="R19" s="687">
        <f>SUM(C19:Q19)</f>
        <v>875.30191796571614</v>
      </c>
      <c r="S19" s="67"/>
    </row>
    <row r="20" spans="1:19" s="453" customFormat="1">
      <c r="A20" s="799" t="s">
        <v>306</v>
      </c>
      <c r="B20" s="804"/>
      <c r="C20" s="684">
        <f>transport!B14</f>
        <v>0.44543199370887498</v>
      </c>
      <c r="D20" s="684">
        <f>transport!C14</f>
        <v>0</v>
      </c>
      <c r="E20" s="684">
        <f>transport!D14</f>
        <v>2.4287207067581371</v>
      </c>
      <c r="F20" s="684">
        <f>transport!E14</f>
        <v>246.28174930088923</v>
      </c>
      <c r="G20" s="684">
        <f>transport!F14</f>
        <v>0</v>
      </c>
      <c r="H20" s="684">
        <f>transport!G14</f>
        <v>44520.744847837348</v>
      </c>
      <c r="I20" s="684">
        <f>transport!H14</f>
        <v>8334.0996798467568</v>
      </c>
      <c r="J20" s="684">
        <f>transport!I14</f>
        <v>0</v>
      </c>
      <c r="K20" s="684">
        <f>transport!J14</f>
        <v>0</v>
      </c>
      <c r="L20" s="684">
        <f>transport!K14</f>
        <v>0</v>
      </c>
      <c r="M20" s="684">
        <f>transport!L14</f>
        <v>0</v>
      </c>
      <c r="N20" s="684">
        <f>transport!M14</f>
        <v>2301.4945324029181</v>
      </c>
      <c r="O20" s="684">
        <f>transport!N14</f>
        <v>0</v>
      </c>
      <c r="P20" s="684">
        <f>transport!O14</f>
        <v>0</v>
      </c>
      <c r="Q20" s="685">
        <f>transport!P14</f>
        <v>0</v>
      </c>
      <c r="R20" s="687">
        <f>SUM(C20:Q20)</f>
        <v>55405.494962088378</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0.44543199370887498</v>
      </c>
      <c r="D22" s="802">
        <f t="shared" ref="D22:R22" si="1">SUM(D18:D21)</f>
        <v>0</v>
      </c>
      <c r="E22" s="802">
        <f t="shared" si="1"/>
        <v>2.4287207067581371</v>
      </c>
      <c r="F22" s="802">
        <f t="shared" si="1"/>
        <v>246.28174930088923</v>
      </c>
      <c r="G22" s="802">
        <f t="shared" si="1"/>
        <v>0</v>
      </c>
      <c r="H22" s="802">
        <f t="shared" si="1"/>
        <v>45360.343925840578</v>
      </c>
      <c r="I22" s="802">
        <f t="shared" si="1"/>
        <v>8334.0996798467568</v>
      </c>
      <c r="J22" s="802">
        <f t="shared" si="1"/>
        <v>0</v>
      </c>
      <c r="K22" s="802">
        <f t="shared" si="1"/>
        <v>0</v>
      </c>
      <c r="L22" s="802">
        <f t="shared" si="1"/>
        <v>0</v>
      </c>
      <c r="M22" s="802">
        <f t="shared" si="1"/>
        <v>0</v>
      </c>
      <c r="N22" s="802">
        <f t="shared" si="1"/>
        <v>2337.1973723654014</v>
      </c>
      <c r="O22" s="802">
        <f t="shared" si="1"/>
        <v>0</v>
      </c>
      <c r="P22" s="802">
        <f t="shared" si="1"/>
        <v>0</v>
      </c>
      <c r="Q22" s="802">
        <f t="shared" si="1"/>
        <v>0</v>
      </c>
      <c r="R22" s="802">
        <f t="shared" si="1"/>
        <v>56280.796880054091</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996.21324499475895</v>
      </c>
      <c r="D24" s="684">
        <f>+landbouw!C8</f>
        <v>0</v>
      </c>
      <c r="E24" s="684">
        <f>+landbouw!D8</f>
        <v>62.839391354974502</v>
      </c>
      <c r="F24" s="684">
        <f>+landbouw!E8</f>
        <v>10.432560772957629</v>
      </c>
      <c r="G24" s="684">
        <f>+landbouw!F8</f>
        <v>4264.5496498808488</v>
      </c>
      <c r="H24" s="684">
        <f>+landbouw!G8</f>
        <v>0</v>
      </c>
      <c r="I24" s="684">
        <f>+landbouw!H8</f>
        <v>0</v>
      </c>
      <c r="J24" s="684">
        <f>+landbouw!I8</f>
        <v>0</v>
      </c>
      <c r="K24" s="684">
        <f>+landbouw!J8</f>
        <v>88.97077198967618</v>
      </c>
      <c r="L24" s="684">
        <f>+landbouw!K8</f>
        <v>0</v>
      </c>
      <c r="M24" s="684">
        <f>+landbouw!L8</f>
        <v>0</v>
      </c>
      <c r="N24" s="684">
        <f>+landbouw!M8</f>
        <v>0</v>
      </c>
      <c r="O24" s="684">
        <f>+landbouw!N8</f>
        <v>0</v>
      </c>
      <c r="P24" s="684">
        <f>+landbouw!O8</f>
        <v>0</v>
      </c>
      <c r="Q24" s="685">
        <f>+landbouw!P8</f>
        <v>0</v>
      </c>
      <c r="R24" s="687">
        <f>SUM(C24:Q24)</f>
        <v>5423.0056189932156</v>
      </c>
      <c r="S24" s="67"/>
    </row>
    <row r="25" spans="1:19" s="453" customFormat="1" ht="15" thickBot="1">
      <c r="A25" s="821" t="s">
        <v>912</v>
      </c>
      <c r="B25" s="978"/>
      <c r="C25" s="979">
        <f>IF(Onbekend_ele_kWh="---",0,Onbekend_ele_kWh)/1000+IF(REST_rest_ele_kWh="---",0,REST_rest_ele_kWh)/1000</f>
        <v>574.46826637194795</v>
      </c>
      <c r="D25" s="979"/>
      <c r="E25" s="979">
        <f>IF(onbekend_gas_kWh="---",0,onbekend_gas_kWh)/1000+IF(REST_rest_gas_kWh="---",0,REST_rest_gas_kWh)/1000</f>
        <v>554.43441036388197</v>
      </c>
      <c r="F25" s="979"/>
      <c r="G25" s="979"/>
      <c r="H25" s="979"/>
      <c r="I25" s="979"/>
      <c r="J25" s="979"/>
      <c r="K25" s="979"/>
      <c r="L25" s="979"/>
      <c r="M25" s="979"/>
      <c r="N25" s="979"/>
      <c r="O25" s="979"/>
      <c r="P25" s="979"/>
      <c r="Q25" s="980"/>
      <c r="R25" s="687">
        <f>SUM(C25:Q25)</f>
        <v>1128.90267673583</v>
      </c>
      <c r="S25" s="67"/>
    </row>
    <row r="26" spans="1:19" s="453" customFormat="1" ht="15.75" thickBot="1">
      <c r="A26" s="690" t="s">
        <v>913</v>
      </c>
      <c r="B26" s="807"/>
      <c r="C26" s="802">
        <f>SUM(C24:C25)</f>
        <v>1570.6815113667069</v>
      </c>
      <c r="D26" s="802">
        <f t="shared" ref="D26:R26" si="2">SUM(D24:D25)</f>
        <v>0</v>
      </c>
      <c r="E26" s="802">
        <f t="shared" si="2"/>
        <v>617.27380171885648</v>
      </c>
      <c r="F26" s="802">
        <f t="shared" si="2"/>
        <v>10.432560772957629</v>
      </c>
      <c r="G26" s="802">
        <f t="shared" si="2"/>
        <v>4264.5496498808488</v>
      </c>
      <c r="H26" s="802">
        <f t="shared" si="2"/>
        <v>0</v>
      </c>
      <c r="I26" s="802">
        <f t="shared" si="2"/>
        <v>0</v>
      </c>
      <c r="J26" s="802">
        <f t="shared" si="2"/>
        <v>0</v>
      </c>
      <c r="K26" s="802">
        <f t="shared" si="2"/>
        <v>88.97077198967618</v>
      </c>
      <c r="L26" s="802">
        <f t="shared" si="2"/>
        <v>0</v>
      </c>
      <c r="M26" s="802">
        <f t="shared" si="2"/>
        <v>0</v>
      </c>
      <c r="N26" s="802">
        <f t="shared" si="2"/>
        <v>0</v>
      </c>
      <c r="O26" s="802">
        <f t="shared" si="2"/>
        <v>0</v>
      </c>
      <c r="P26" s="802">
        <f t="shared" si="2"/>
        <v>0</v>
      </c>
      <c r="Q26" s="802">
        <f t="shared" si="2"/>
        <v>0</v>
      </c>
      <c r="R26" s="802">
        <f t="shared" si="2"/>
        <v>6551.9082957290457</v>
      </c>
      <c r="S26" s="67"/>
    </row>
    <row r="27" spans="1:19" s="453" customFormat="1" ht="17.25" thickTop="1" thickBot="1">
      <c r="A27" s="691" t="s">
        <v>115</v>
      </c>
      <c r="B27" s="794"/>
      <c r="C27" s="692">
        <f ca="1">C22+C16+C26</f>
        <v>26516.58548220716</v>
      </c>
      <c r="D27" s="692">
        <f t="shared" ref="D27:R27" ca="1" si="3">D22+D16+D26</f>
        <v>0</v>
      </c>
      <c r="E27" s="692">
        <f t="shared" ca="1" si="3"/>
        <v>14844.739255330054</v>
      </c>
      <c r="F27" s="692">
        <f t="shared" si="3"/>
        <v>12197.204987434092</v>
      </c>
      <c r="G27" s="692">
        <f t="shared" ca="1" si="3"/>
        <v>35591.967425724673</v>
      </c>
      <c r="H27" s="692">
        <f t="shared" si="3"/>
        <v>45360.343925840578</v>
      </c>
      <c r="I27" s="692">
        <f t="shared" si="3"/>
        <v>8334.0996798467568</v>
      </c>
      <c r="J27" s="692">
        <f t="shared" si="3"/>
        <v>0</v>
      </c>
      <c r="K27" s="692">
        <f t="shared" si="3"/>
        <v>5557.2638048801018</v>
      </c>
      <c r="L27" s="692">
        <f t="shared" si="3"/>
        <v>0</v>
      </c>
      <c r="M27" s="692">
        <f t="shared" ca="1" si="3"/>
        <v>0</v>
      </c>
      <c r="N27" s="692">
        <f t="shared" si="3"/>
        <v>2337.1973723654014</v>
      </c>
      <c r="O27" s="692">
        <f t="shared" ca="1" si="3"/>
        <v>7940.7368766234722</v>
      </c>
      <c r="P27" s="692">
        <f t="shared" si="3"/>
        <v>53.153333333333336</v>
      </c>
      <c r="Q27" s="692">
        <f t="shared" si="3"/>
        <v>362.26666666666665</v>
      </c>
      <c r="R27" s="692">
        <f t="shared" ca="1" si="3"/>
        <v>159095.55881025229</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1552.4010132527681</v>
      </c>
      <c r="D40" s="684">
        <f ca="1">tertiair!C20</f>
        <v>0</v>
      </c>
      <c r="E40" s="684">
        <f ca="1">tertiair!D20</f>
        <v>619.12394378629733</v>
      </c>
      <c r="F40" s="684">
        <f>tertiair!E20</f>
        <v>36.68290332583485</v>
      </c>
      <c r="G40" s="684">
        <f ca="1">tertiair!F20</f>
        <v>328.85129333154754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2537.0591536964475</v>
      </c>
    </row>
    <row r="41" spans="1:18">
      <c r="A41" s="812" t="s">
        <v>224</v>
      </c>
      <c r="B41" s="819"/>
      <c r="C41" s="684">
        <f ca="1">huishoudens!B12</f>
        <v>3496.4005038790424</v>
      </c>
      <c r="D41" s="684">
        <f ca="1">huishoudens!C12</f>
        <v>0</v>
      </c>
      <c r="E41" s="684">
        <f>huishoudens!D12</f>
        <v>2212.5228217968302</v>
      </c>
      <c r="F41" s="684">
        <f>huishoudens!E12</f>
        <v>2670.6192745129893</v>
      </c>
      <c r="G41" s="684">
        <f>huishoudens!F12</f>
        <v>7906.9787315865906</v>
      </c>
      <c r="H41" s="684">
        <f>huishoudens!G12</f>
        <v>0</v>
      </c>
      <c r="I41" s="684">
        <f>huishoudens!H12</f>
        <v>0</v>
      </c>
      <c r="J41" s="684">
        <f>huishoudens!I12</f>
        <v>0</v>
      </c>
      <c r="K41" s="684">
        <f>huishoudens!J12</f>
        <v>1934.0068602292858</v>
      </c>
      <c r="L41" s="684">
        <f>huishoudens!K12</f>
        <v>0</v>
      </c>
      <c r="M41" s="684">
        <f>huishoudens!L12</f>
        <v>0</v>
      </c>
      <c r="N41" s="684">
        <f>huishoudens!M12</f>
        <v>0</v>
      </c>
      <c r="O41" s="684">
        <f>huishoudens!N12</f>
        <v>0</v>
      </c>
      <c r="P41" s="684">
        <f>huishoudens!O12</f>
        <v>0</v>
      </c>
      <c r="Q41" s="759">
        <f>huishoudens!P12</f>
        <v>0</v>
      </c>
      <c r="R41" s="840">
        <f t="shared" ca="1" si="4"/>
        <v>18220.528192004738</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253.12344002064933</v>
      </c>
      <c r="D43" s="684">
        <f ca="1">industrie!C22</f>
        <v>0</v>
      </c>
      <c r="E43" s="684">
        <f>industrie!D22</f>
        <v>41.810654463569335</v>
      </c>
      <c r="F43" s="684">
        <f>industrie!E22</f>
        <v>3.18920592195167</v>
      </c>
      <c r="G43" s="684">
        <f>industrie!F22</f>
        <v>128.59052123216335</v>
      </c>
      <c r="H43" s="684">
        <f>industrie!G22</f>
        <v>0</v>
      </c>
      <c r="I43" s="684">
        <f>industrie!H22</f>
        <v>0</v>
      </c>
      <c r="J43" s="684">
        <f>industrie!I22</f>
        <v>0</v>
      </c>
      <c r="K43" s="684">
        <f>industrie!J22</f>
        <v>1.7688734139247209</v>
      </c>
      <c r="L43" s="684">
        <f>industrie!K22</f>
        <v>0</v>
      </c>
      <c r="M43" s="684">
        <f>industrie!L22</f>
        <v>0</v>
      </c>
      <c r="N43" s="684">
        <f>industrie!M22</f>
        <v>0</v>
      </c>
      <c r="O43" s="684">
        <f>industrie!N22</f>
        <v>0</v>
      </c>
      <c r="P43" s="684">
        <f>industrie!O22</f>
        <v>0</v>
      </c>
      <c r="Q43" s="759">
        <f>industrie!P22</f>
        <v>0</v>
      </c>
      <c r="R43" s="839">
        <f t="shared" ca="1" si="4"/>
        <v>428.48269505225841</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5301.9249571524597</v>
      </c>
      <c r="D46" s="717">
        <f t="shared" ref="D46:Q46" ca="1" si="5">SUM(D39:D45)</f>
        <v>0</v>
      </c>
      <c r="E46" s="717">
        <f t="shared" ca="1" si="5"/>
        <v>2873.4574200466968</v>
      </c>
      <c r="F46" s="717">
        <f t="shared" si="5"/>
        <v>2710.491383760776</v>
      </c>
      <c r="G46" s="717">
        <f t="shared" ca="1" si="5"/>
        <v>8364.4205461503007</v>
      </c>
      <c r="H46" s="717">
        <f t="shared" si="5"/>
        <v>0</v>
      </c>
      <c r="I46" s="717">
        <f t="shared" si="5"/>
        <v>0</v>
      </c>
      <c r="J46" s="717">
        <f t="shared" si="5"/>
        <v>0</v>
      </c>
      <c r="K46" s="717">
        <f t="shared" si="5"/>
        <v>1935.7757336432105</v>
      </c>
      <c r="L46" s="717">
        <f t="shared" si="5"/>
        <v>0</v>
      </c>
      <c r="M46" s="717">
        <f t="shared" ca="1" si="5"/>
        <v>0</v>
      </c>
      <c r="N46" s="717">
        <f t="shared" si="5"/>
        <v>0</v>
      </c>
      <c r="O46" s="717">
        <f t="shared" ca="1" si="5"/>
        <v>0</v>
      </c>
      <c r="P46" s="717">
        <f t="shared" si="5"/>
        <v>0</v>
      </c>
      <c r="Q46" s="717">
        <f t="shared" si="5"/>
        <v>0</v>
      </c>
      <c r="R46" s="717">
        <f ca="1">SUM(R39:R45)</f>
        <v>21186.070040753442</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224.17295382686316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224.17295382686316</v>
      </c>
    </row>
    <row r="50" spans="1:18">
      <c r="A50" s="815" t="s">
        <v>306</v>
      </c>
      <c r="B50" s="825"/>
      <c r="C50" s="985">
        <f ca="1">transport!B18</f>
        <v>9.4672423057750033E-2</v>
      </c>
      <c r="D50" s="985">
        <f>transport!C18</f>
        <v>0</v>
      </c>
      <c r="E50" s="985">
        <f>transport!D18</f>
        <v>0.49060158276514371</v>
      </c>
      <c r="F50" s="985">
        <f>transport!E18</f>
        <v>55.905957091301858</v>
      </c>
      <c r="G50" s="985">
        <f>transport!F18</f>
        <v>0</v>
      </c>
      <c r="H50" s="985">
        <f>transport!G18</f>
        <v>11887.038874372573</v>
      </c>
      <c r="I50" s="985">
        <f>transport!H18</f>
        <v>2075.1908202818422</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14018.720925751539</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9.4672423057750033E-2</v>
      </c>
      <c r="D52" s="717">
        <f t="shared" ref="D52:Q52" ca="1" si="6">SUM(D48:D51)</f>
        <v>0</v>
      </c>
      <c r="E52" s="717">
        <f t="shared" si="6"/>
        <v>0.49060158276514371</v>
      </c>
      <c r="F52" s="717">
        <f t="shared" si="6"/>
        <v>55.905957091301858</v>
      </c>
      <c r="G52" s="717">
        <f t="shared" si="6"/>
        <v>0</v>
      </c>
      <c r="H52" s="717">
        <f t="shared" si="6"/>
        <v>12111.211828199435</v>
      </c>
      <c r="I52" s="717">
        <f t="shared" si="6"/>
        <v>2075.1908202818422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14242.893879578402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211.73584995674872</v>
      </c>
      <c r="D54" s="985">
        <f ca="1">+landbouw!C12</f>
        <v>0</v>
      </c>
      <c r="E54" s="985">
        <f>+landbouw!D12</f>
        <v>12.693557053704851</v>
      </c>
      <c r="F54" s="985">
        <f>+landbouw!E12</f>
        <v>2.368191295461382</v>
      </c>
      <c r="G54" s="985">
        <f>+landbouw!F12</f>
        <v>1138.6347565181868</v>
      </c>
      <c r="H54" s="985">
        <f>+landbouw!G12</f>
        <v>0</v>
      </c>
      <c r="I54" s="985">
        <f>+landbouw!H12</f>
        <v>0</v>
      </c>
      <c r="J54" s="985">
        <f>+landbouw!I12</f>
        <v>0</v>
      </c>
      <c r="K54" s="985">
        <f>+landbouw!J12</f>
        <v>31.495653284345366</v>
      </c>
      <c r="L54" s="985">
        <f>+landbouw!K12</f>
        <v>0</v>
      </c>
      <c r="M54" s="985">
        <f>+landbouw!L12</f>
        <v>0</v>
      </c>
      <c r="N54" s="985">
        <f>+landbouw!M12</f>
        <v>0</v>
      </c>
      <c r="O54" s="985">
        <f>+landbouw!N12</f>
        <v>0</v>
      </c>
      <c r="P54" s="985">
        <f>+landbouw!O12</f>
        <v>0</v>
      </c>
      <c r="Q54" s="986">
        <f>+landbouw!P12</f>
        <v>0</v>
      </c>
      <c r="R54" s="716">
        <f ca="1">SUM(C54:Q54)</f>
        <v>1396.9280081084471</v>
      </c>
    </row>
    <row r="55" spans="1:18" ht="15" thickBot="1">
      <c r="A55" s="815" t="s">
        <v>912</v>
      </c>
      <c r="B55" s="825"/>
      <c r="C55" s="985">
        <f ca="1">C25*'EF ele_warmte'!B12</f>
        <v>122.0978814170296</v>
      </c>
      <c r="D55" s="985"/>
      <c r="E55" s="985">
        <f>E25*EF_CO2_aardgas</f>
        <v>111.99575089350417</v>
      </c>
      <c r="F55" s="985"/>
      <c r="G55" s="985"/>
      <c r="H55" s="985"/>
      <c r="I55" s="985"/>
      <c r="J55" s="985"/>
      <c r="K55" s="985"/>
      <c r="L55" s="985"/>
      <c r="M55" s="985"/>
      <c r="N55" s="985"/>
      <c r="O55" s="985"/>
      <c r="P55" s="985"/>
      <c r="Q55" s="986"/>
      <c r="R55" s="716">
        <f ca="1">SUM(C55:Q55)</f>
        <v>234.09363231053376</v>
      </c>
    </row>
    <row r="56" spans="1:18" ht="15.75" thickBot="1">
      <c r="A56" s="813" t="s">
        <v>913</v>
      </c>
      <c r="B56" s="826"/>
      <c r="C56" s="717">
        <f ca="1">SUM(C54:C55)</f>
        <v>333.83373137377833</v>
      </c>
      <c r="D56" s="717">
        <f t="shared" ref="D56:Q56" ca="1" si="7">SUM(D54:D55)</f>
        <v>0</v>
      </c>
      <c r="E56" s="717">
        <f t="shared" si="7"/>
        <v>124.68930794720902</v>
      </c>
      <c r="F56" s="717">
        <f t="shared" si="7"/>
        <v>2.368191295461382</v>
      </c>
      <c r="G56" s="717">
        <f t="shared" si="7"/>
        <v>1138.6347565181868</v>
      </c>
      <c r="H56" s="717">
        <f t="shared" si="7"/>
        <v>0</v>
      </c>
      <c r="I56" s="717">
        <f t="shared" si="7"/>
        <v>0</v>
      </c>
      <c r="J56" s="717">
        <f t="shared" si="7"/>
        <v>0</v>
      </c>
      <c r="K56" s="717">
        <f t="shared" si="7"/>
        <v>31.495653284345366</v>
      </c>
      <c r="L56" s="717">
        <f t="shared" si="7"/>
        <v>0</v>
      </c>
      <c r="M56" s="717">
        <f t="shared" si="7"/>
        <v>0</v>
      </c>
      <c r="N56" s="717">
        <f t="shared" si="7"/>
        <v>0</v>
      </c>
      <c r="O56" s="717">
        <f t="shared" si="7"/>
        <v>0</v>
      </c>
      <c r="P56" s="717">
        <f t="shared" si="7"/>
        <v>0</v>
      </c>
      <c r="Q56" s="718">
        <f t="shared" si="7"/>
        <v>0</v>
      </c>
      <c r="R56" s="719">
        <f ca="1">SUM(R54:R55)</f>
        <v>1631.021640418981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5635.8533609492961</v>
      </c>
      <c r="D61" s="725">
        <f t="shared" ref="D61:Q61" ca="1" si="8">D46+D52+D56</f>
        <v>0</v>
      </c>
      <c r="E61" s="725">
        <f t="shared" ca="1" si="8"/>
        <v>2998.6373295766707</v>
      </c>
      <c r="F61" s="725">
        <f t="shared" si="8"/>
        <v>2768.765532147539</v>
      </c>
      <c r="G61" s="725">
        <f t="shared" ca="1" si="8"/>
        <v>9503.0553026684865</v>
      </c>
      <c r="H61" s="725">
        <f t="shared" si="8"/>
        <v>12111.211828199435</v>
      </c>
      <c r="I61" s="725">
        <f t="shared" si="8"/>
        <v>2075.1908202818422</v>
      </c>
      <c r="J61" s="725">
        <f t="shared" si="8"/>
        <v>0</v>
      </c>
      <c r="K61" s="725">
        <f t="shared" si="8"/>
        <v>1967.2713869275558</v>
      </c>
      <c r="L61" s="725">
        <f t="shared" si="8"/>
        <v>0</v>
      </c>
      <c r="M61" s="725">
        <f t="shared" ca="1" si="8"/>
        <v>0</v>
      </c>
      <c r="N61" s="725">
        <f t="shared" si="8"/>
        <v>0</v>
      </c>
      <c r="O61" s="725">
        <f t="shared" ca="1" si="8"/>
        <v>0</v>
      </c>
      <c r="P61" s="725">
        <f t="shared" si="8"/>
        <v>0</v>
      </c>
      <c r="Q61" s="725">
        <f t="shared" si="8"/>
        <v>0</v>
      </c>
      <c r="R61" s="725">
        <f ca="1">R46+R52+R56</f>
        <v>37059.985560750822</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0.21254068947644103</v>
      </c>
      <c r="D63" s="769">
        <f t="shared" ca="1" si="9"/>
        <v>0</v>
      </c>
      <c r="E63" s="987">
        <f t="shared" ca="1" si="9"/>
        <v>0.20199999999999999</v>
      </c>
      <c r="F63" s="769">
        <f t="shared" si="9"/>
        <v>0.22700000000000001</v>
      </c>
      <c r="G63" s="769">
        <f t="shared" ca="1" si="9"/>
        <v>0.26699999999999996</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921.26322839650982</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202.5</v>
      </c>
      <c r="C77" s="735">
        <f>'lokale energieproductie'!B9*IFERROR(SUM(D77:H77)/SUM(D77:O77),0)</f>
        <v>67.5</v>
      </c>
      <c r="D77" s="760">
        <f>'lokale energieproductie'!C9</f>
        <v>192.85714285714286</v>
      </c>
      <c r="E77" s="761">
        <f>'lokale energieproductie'!D9</f>
        <v>0</v>
      </c>
      <c r="F77" s="761">
        <f>'lokale energieproductie'!E9</f>
        <v>0</v>
      </c>
      <c r="G77" s="761">
        <f>'lokale energieproductie'!F9</f>
        <v>0</v>
      </c>
      <c r="H77" s="761">
        <f>'lokale energieproductie'!G9</f>
        <v>0</v>
      </c>
      <c r="I77" s="998">
        <f>'lokale energieproductie'!I9</f>
        <v>0</v>
      </c>
      <c r="J77" s="998">
        <f>'lokale energieproductie'!J9</f>
        <v>578.57142857142856</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38.957142857142863</v>
      </c>
      <c r="R77" s="845">
        <v>0</v>
      </c>
    </row>
    <row r="78" spans="1:18" ht="16.5" thickTop="1" thickBot="1">
      <c r="A78" s="739" t="s">
        <v>115</v>
      </c>
      <c r="B78" s="740">
        <f>SUM(B72:B77)</f>
        <v>1123.7632283965099</v>
      </c>
      <c r="C78" s="740">
        <f>SUM(C72:C77)</f>
        <v>67.5</v>
      </c>
      <c r="D78" s="741">
        <f t="shared" ref="D78:H78" si="10">SUM(D76:D77)</f>
        <v>192.85714285714286</v>
      </c>
      <c r="E78" s="741">
        <f t="shared" si="10"/>
        <v>0</v>
      </c>
      <c r="F78" s="741">
        <f t="shared" si="10"/>
        <v>0</v>
      </c>
      <c r="G78" s="741">
        <f t="shared" si="10"/>
        <v>0</v>
      </c>
      <c r="H78" s="741">
        <f t="shared" si="10"/>
        <v>0</v>
      </c>
      <c r="I78" s="741">
        <f>SUM(I76:I77)</f>
        <v>0</v>
      </c>
      <c r="J78" s="741">
        <f>SUM(J76:J77)</f>
        <v>578.57142857142856</v>
      </c>
      <c r="K78" s="741">
        <f t="shared" ref="K78:L78" si="11">SUM(K76:K77)</f>
        <v>0</v>
      </c>
      <c r="L78" s="741">
        <f t="shared" si="11"/>
        <v>0</v>
      </c>
      <c r="M78" s="741">
        <f>SUM(M76:M77)</f>
        <v>0</v>
      </c>
      <c r="N78" s="741">
        <f>SUM(N76:N77)</f>
        <v>0</v>
      </c>
      <c r="O78" s="850">
        <f>SUM(O76:O77)</f>
        <v>0</v>
      </c>
      <c r="P78" s="742">
        <v>0</v>
      </c>
      <c r="Q78" s="742">
        <f>SUM(Q76:Q77)</f>
        <v>38.957142857142863</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921.26322839650982</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270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192.85714285714286</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578.57142857142856</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38.957142857142863</v>
      </c>
      <c r="P9" s="1238"/>
      <c r="Q9" s="1239"/>
      <c r="R9" s="563"/>
      <c r="S9" s="1008"/>
      <c r="T9" s="1224"/>
      <c r="U9" s="1224"/>
    </row>
    <row r="10" spans="1:21" s="542" customFormat="1" ht="16.5" thickTop="1" thickBot="1">
      <c r="A10" s="564" t="s">
        <v>115</v>
      </c>
      <c r="B10" s="565">
        <f>SUM(B4:B9)</f>
        <v>1191.2632283965099</v>
      </c>
      <c r="C10" s="566">
        <f t="shared" ref="C10:L10" si="0">SUM(C8:C9)</f>
        <v>192.85714285714286</v>
      </c>
      <c r="D10" s="566">
        <f t="shared" si="0"/>
        <v>0</v>
      </c>
      <c r="E10" s="566">
        <f t="shared" si="0"/>
        <v>0</v>
      </c>
      <c r="F10" s="566">
        <f t="shared" si="0"/>
        <v>0</v>
      </c>
      <c r="G10" s="566">
        <f t="shared" si="0"/>
        <v>0</v>
      </c>
      <c r="H10" s="566">
        <f t="shared" si="0"/>
        <v>0</v>
      </c>
      <c r="I10" s="566">
        <f t="shared" si="0"/>
        <v>0</v>
      </c>
      <c r="J10" s="566">
        <f t="shared" si="0"/>
        <v>578.57142857142856</v>
      </c>
      <c r="K10" s="566">
        <f t="shared" si="0"/>
        <v>0</v>
      </c>
      <c r="L10" s="566">
        <f t="shared" si="0"/>
        <v>0</v>
      </c>
      <c r="M10" s="970"/>
      <c r="N10" s="970"/>
      <c r="O10" s="567">
        <f>SUM(O4:O9)</f>
        <v>38.957142857142863</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63.75">
      <c r="A35" s="592"/>
      <c r="B35" s="785">
        <v>45065</v>
      </c>
      <c r="C35" s="785">
        <v>9630</v>
      </c>
      <c r="D35" s="640" t="s">
        <v>971</v>
      </c>
      <c r="E35" s="640" t="s">
        <v>972</v>
      </c>
      <c r="F35" s="640" t="s">
        <v>973</v>
      </c>
      <c r="G35" s="640" t="s">
        <v>974</v>
      </c>
      <c r="H35" s="640" t="s">
        <v>975</v>
      </c>
      <c r="I35" s="640" t="s">
        <v>976</v>
      </c>
      <c r="J35" s="784">
        <v>39937</v>
      </c>
      <c r="K35" s="784">
        <v>39937</v>
      </c>
      <c r="L35" s="640" t="s">
        <v>977</v>
      </c>
      <c r="M35" s="640">
        <v>60</v>
      </c>
      <c r="N35" s="640">
        <v>270</v>
      </c>
      <c r="O35" s="640">
        <v>0</v>
      </c>
      <c r="P35" s="640">
        <v>192.85714285714286</v>
      </c>
      <c r="Q35" s="640">
        <v>578.57142857142856</v>
      </c>
      <c r="R35" s="640">
        <v>0</v>
      </c>
      <c r="S35" s="640">
        <v>0</v>
      </c>
      <c r="T35" s="640">
        <v>0</v>
      </c>
      <c r="U35" s="640">
        <v>0</v>
      </c>
      <c r="V35" s="640">
        <v>0</v>
      </c>
      <c r="W35" s="640">
        <v>0</v>
      </c>
      <c r="X35" s="640">
        <v>1600</v>
      </c>
      <c r="Y35" s="640" t="s">
        <v>49</v>
      </c>
      <c r="Z35" s="641" t="s">
        <v>155</v>
      </c>
    </row>
    <row r="36" spans="1:27" s="573" customFormat="1">
      <c r="A36" s="593" t="s">
        <v>279</v>
      </c>
      <c r="B36" s="594"/>
      <c r="C36" s="594"/>
      <c r="D36" s="594"/>
      <c r="E36" s="594"/>
      <c r="F36" s="594"/>
      <c r="G36" s="594"/>
      <c r="H36" s="594"/>
      <c r="I36" s="594"/>
      <c r="J36" s="594"/>
      <c r="K36" s="594"/>
      <c r="L36" s="595"/>
      <c r="M36" s="595">
        <f>SUM(M35:M35)</f>
        <v>60</v>
      </c>
      <c r="N36" s="595">
        <f>SUM(N35:N35)</f>
        <v>270</v>
      </c>
      <c r="O36" s="595">
        <f>SUM(O35:O35)</f>
        <v>0</v>
      </c>
      <c r="P36" s="595">
        <f>SUM(P35:P35)</f>
        <v>192.85714285714286</v>
      </c>
      <c r="Q36" s="595">
        <f>SUM(Q35:Q35)</f>
        <v>578.57142857142856</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60</v>
      </c>
      <c r="N38" s="595">
        <f>SUMIF($Z$35:$Z$36,"tertiair",N35:N36)</f>
        <v>270</v>
      </c>
      <c r="O38" s="595">
        <f>SUMIF($Z$35:$Z$36,"tertiair",O35:O36)</f>
        <v>0</v>
      </c>
      <c r="P38" s="595">
        <f>SUMIF($Z$35:$Z$36,"tertiair",P35:P36)</f>
        <v>192.85714285714286</v>
      </c>
      <c r="Q38" s="595">
        <f>SUMIF($Z$35:$Z$36,"tertiair",Q35:Q36)</f>
        <v>578.57142857142856</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16450.499490200436</v>
      </c>
      <c r="C4" s="457">
        <f>huishoudens!C8</f>
        <v>0</v>
      </c>
      <c r="D4" s="457">
        <f>huishoudens!D8</f>
        <v>10953.083276221931</v>
      </c>
      <c r="E4" s="457">
        <f>huishoudens!E8</f>
        <v>11764.842618999952</v>
      </c>
      <c r="F4" s="457">
        <f>huishoudens!F8</f>
        <v>29614.152552758766</v>
      </c>
      <c r="G4" s="457">
        <f>huishoudens!G8</f>
        <v>0</v>
      </c>
      <c r="H4" s="457">
        <f>huishoudens!H8</f>
        <v>0</v>
      </c>
      <c r="I4" s="457">
        <f>huishoudens!I8</f>
        <v>0</v>
      </c>
      <c r="J4" s="457">
        <f>huishoudens!J8</f>
        <v>5463.2962153369663</v>
      </c>
      <c r="K4" s="457">
        <f>huishoudens!K8</f>
        <v>0</v>
      </c>
      <c r="L4" s="457">
        <f>huishoudens!L8</f>
        <v>0</v>
      </c>
      <c r="M4" s="457">
        <f>huishoudens!M8</f>
        <v>0</v>
      </c>
      <c r="N4" s="457">
        <f>huishoudens!N8</f>
        <v>7895.7871036801771</v>
      </c>
      <c r="O4" s="457">
        <f>huishoudens!O8</f>
        <v>48.463333333333338</v>
      </c>
      <c r="P4" s="458">
        <f>huishoudens!P8</f>
        <v>362.26666666666665</v>
      </c>
      <c r="Q4" s="459">
        <f>SUM(B4:P4)</f>
        <v>82552.391257198236</v>
      </c>
    </row>
    <row r="5" spans="1:17">
      <c r="A5" s="456" t="s">
        <v>155</v>
      </c>
      <c r="B5" s="457">
        <f ca="1">tertiair!B16</f>
        <v>6575.566960404909</v>
      </c>
      <c r="C5" s="457">
        <f ca="1">tertiair!C16</f>
        <v>0</v>
      </c>
      <c r="D5" s="457">
        <f ca="1">tertiair!D16</f>
        <v>3064.9700187440462</v>
      </c>
      <c r="E5" s="457">
        <f>tertiair!E16</f>
        <v>161.59869306535177</v>
      </c>
      <c r="F5" s="457">
        <f ca="1">tertiair!F16</f>
        <v>1231.6527840132867</v>
      </c>
      <c r="G5" s="457">
        <f>tertiair!G16</f>
        <v>0</v>
      </c>
      <c r="H5" s="457">
        <f>tertiair!H16</f>
        <v>0</v>
      </c>
      <c r="I5" s="457">
        <f>tertiair!I16</f>
        <v>0</v>
      </c>
      <c r="J5" s="457">
        <f>tertiair!J16</f>
        <v>0</v>
      </c>
      <c r="K5" s="457">
        <f>tertiair!K16</f>
        <v>0</v>
      </c>
      <c r="L5" s="457">
        <f ca="1">tertiair!L16</f>
        <v>0</v>
      </c>
      <c r="M5" s="457">
        <f>tertiair!M16</f>
        <v>0</v>
      </c>
      <c r="N5" s="457">
        <f ca="1">tertiair!N16</f>
        <v>0</v>
      </c>
      <c r="O5" s="457">
        <f>tertiair!O16</f>
        <v>4.6900000000000004</v>
      </c>
      <c r="P5" s="458">
        <f>tertiair!P16</f>
        <v>0</v>
      </c>
      <c r="Q5" s="456">
        <f t="shared" ref="Q5:Q14" ca="1" si="0">SUM(B5:P5)</f>
        <v>11038.478456227595</v>
      </c>
    </row>
    <row r="6" spans="1:17">
      <c r="A6" s="456" t="s">
        <v>193</v>
      </c>
      <c r="B6" s="457">
        <f>'openbare verlichting'!B8</f>
        <v>728.45100000000002</v>
      </c>
      <c r="C6" s="457"/>
      <c r="D6" s="457"/>
      <c r="E6" s="457"/>
      <c r="F6" s="457"/>
      <c r="G6" s="457"/>
      <c r="H6" s="457"/>
      <c r="I6" s="457"/>
      <c r="J6" s="457"/>
      <c r="K6" s="457"/>
      <c r="L6" s="457"/>
      <c r="M6" s="457"/>
      <c r="N6" s="457"/>
      <c r="O6" s="457"/>
      <c r="P6" s="458"/>
      <c r="Q6" s="456">
        <f t="shared" si="0"/>
        <v>728.45100000000002</v>
      </c>
    </row>
    <row r="7" spans="1:17">
      <c r="A7" s="456" t="s">
        <v>111</v>
      </c>
      <c r="B7" s="457">
        <f>landbouw!B8</f>
        <v>996.21324499475895</v>
      </c>
      <c r="C7" s="457">
        <f>landbouw!C8</f>
        <v>0</v>
      </c>
      <c r="D7" s="457">
        <f>landbouw!D8</f>
        <v>62.839391354974502</v>
      </c>
      <c r="E7" s="457">
        <f>landbouw!E8</f>
        <v>10.432560772957629</v>
      </c>
      <c r="F7" s="457">
        <f>landbouw!F8</f>
        <v>4264.5496498808488</v>
      </c>
      <c r="G7" s="457">
        <f>landbouw!G8</f>
        <v>0</v>
      </c>
      <c r="H7" s="457">
        <f>landbouw!H8</f>
        <v>0</v>
      </c>
      <c r="I7" s="457">
        <f>landbouw!I8</f>
        <v>0</v>
      </c>
      <c r="J7" s="457">
        <f>landbouw!J8</f>
        <v>88.97077198967618</v>
      </c>
      <c r="K7" s="457">
        <f>landbouw!K8</f>
        <v>0</v>
      </c>
      <c r="L7" s="457">
        <f>landbouw!L8</f>
        <v>0</v>
      </c>
      <c r="M7" s="457">
        <f>landbouw!M8</f>
        <v>0</v>
      </c>
      <c r="N7" s="457">
        <f>landbouw!N8</f>
        <v>0</v>
      </c>
      <c r="O7" s="457">
        <f>landbouw!O8</f>
        <v>0</v>
      </c>
      <c r="P7" s="458">
        <f>landbouw!P8</f>
        <v>0</v>
      </c>
      <c r="Q7" s="456">
        <f t="shared" si="0"/>
        <v>5423.0056189932156</v>
      </c>
    </row>
    <row r="8" spans="1:17">
      <c r="A8" s="456" t="s">
        <v>654</v>
      </c>
      <c r="B8" s="457">
        <f>industrie!B18</f>
        <v>1190.9410882413961</v>
      </c>
      <c r="C8" s="457">
        <f>industrie!C18</f>
        <v>0</v>
      </c>
      <c r="D8" s="457">
        <f>industrie!D18</f>
        <v>206.98343793846206</v>
      </c>
      <c r="E8" s="457">
        <f>industrie!E18</f>
        <v>14.049365294941277</v>
      </c>
      <c r="F8" s="457">
        <f>industrie!F18</f>
        <v>481.61243907177288</v>
      </c>
      <c r="G8" s="457">
        <f>industrie!G18</f>
        <v>0</v>
      </c>
      <c r="H8" s="457">
        <f>industrie!H18</f>
        <v>0</v>
      </c>
      <c r="I8" s="457">
        <f>industrie!I18</f>
        <v>0</v>
      </c>
      <c r="J8" s="457">
        <f>industrie!J18</f>
        <v>4.9968175534596639</v>
      </c>
      <c r="K8" s="457">
        <f>industrie!K18</f>
        <v>0</v>
      </c>
      <c r="L8" s="457">
        <f>industrie!L18</f>
        <v>0</v>
      </c>
      <c r="M8" s="457">
        <f>industrie!M18</f>
        <v>0</v>
      </c>
      <c r="N8" s="457">
        <f>industrie!N18</f>
        <v>44.949772943295073</v>
      </c>
      <c r="O8" s="457">
        <f>industrie!O18</f>
        <v>0</v>
      </c>
      <c r="P8" s="458">
        <f>industrie!P18</f>
        <v>0</v>
      </c>
      <c r="Q8" s="456">
        <f t="shared" si="0"/>
        <v>1943.532921043327</v>
      </c>
    </row>
    <row r="9" spans="1:17" s="462" customFormat="1">
      <c r="A9" s="460" t="s">
        <v>572</v>
      </c>
      <c r="B9" s="461">
        <f>transport!B14</f>
        <v>0.44543199370887498</v>
      </c>
      <c r="C9" s="461">
        <f>transport!C14</f>
        <v>0</v>
      </c>
      <c r="D9" s="461">
        <f>transport!D14</f>
        <v>2.4287207067581371</v>
      </c>
      <c r="E9" s="461">
        <f>transport!E14</f>
        <v>246.28174930088923</v>
      </c>
      <c r="F9" s="461">
        <f>transport!F14</f>
        <v>0</v>
      </c>
      <c r="G9" s="461">
        <f>transport!G14</f>
        <v>44520.744847837348</v>
      </c>
      <c r="H9" s="461">
        <f>transport!H14</f>
        <v>8334.0996798467568</v>
      </c>
      <c r="I9" s="461">
        <f>transport!I14</f>
        <v>0</v>
      </c>
      <c r="J9" s="461">
        <f>transport!J14</f>
        <v>0</v>
      </c>
      <c r="K9" s="461">
        <f>transport!K14</f>
        <v>0</v>
      </c>
      <c r="L9" s="461">
        <f>transport!L14</f>
        <v>0</v>
      </c>
      <c r="M9" s="461">
        <f>transport!M14</f>
        <v>2301.4945324029181</v>
      </c>
      <c r="N9" s="461">
        <f>transport!N14</f>
        <v>0</v>
      </c>
      <c r="O9" s="461">
        <f>transport!O14</f>
        <v>0</v>
      </c>
      <c r="P9" s="461">
        <f>transport!P14</f>
        <v>0</v>
      </c>
      <c r="Q9" s="460">
        <f>SUM(B9:P9)</f>
        <v>55405.494962088378</v>
      </c>
    </row>
    <row r="10" spans="1:17">
      <c r="A10" s="456" t="s">
        <v>562</v>
      </c>
      <c r="B10" s="457">
        <f>transport!B54</f>
        <v>0</v>
      </c>
      <c r="C10" s="457">
        <f>transport!C54</f>
        <v>0</v>
      </c>
      <c r="D10" s="457">
        <f>transport!D54</f>
        <v>0</v>
      </c>
      <c r="E10" s="457">
        <f>transport!E54</f>
        <v>0</v>
      </c>
      <c r="F10" s="457">
        <f>transport!F54</f>
        <v>0</v>
      </c>
      <c r="G10" s="457">
        <f>transport!G54</f>
        <v>839.59907800323276</v>
      </c>
      <c r="H10" s="457">
        <f>transport!H54</f>
        <v>0</v>
      </c>
      <c r="I10" s="457">
        <f>transport!I54</f>
        <v>0</v>
      </c>
      <c r="J10" s="457">
        <f>transport!J54</f>
        <v>0</v>
      </c>
      <c r="K10" s="457">
        <f>transport!K54</f>
        <v>0</v>
      </c>
      <c r="L10" s="457">
        <f>transport!L54</f>
        <v>0</v>
      </c>
      <c r="M10" s="457">
        <f>transport!M54</f>
        <v>35.702839962483338</v>
      </c>
      <c r="N10" s="457">
        <f>transport!N54</f>
        <v>0</v>
      </c>
      <c r="O10" s="457">
        <f>transport!O54</f>
        <v>0</v>
      </c>
      <c r="P10" s="458">
        <f>transport!P54</f>
        <v>0</v>
      </c>
      <c r="Q10" s="456">
        <f t="shared" si="0"/>
        <v>875.30191796571614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574.46826637194795</v>
      </c>
      <c r="C14" s="464"/>
      <c r="D14" s="464">
        <f>'SEAP template'!E25</f>
        <v>554.43441036388197</v>
      </c>
      <c r="E14" s="464"/>
      <c r="F14" s="464"/>
      <c r="G14" s="464"/>
      <c r="H14" s="464"/>
      <c r="I14" s="464"/>
      <c r="J14" s="464"/>
      <c r="K14" s="464"/>
      <c r="L14" s="464"/>
      <c r="M14" s="464"/>
      <c r="N14" s="464"/>
      <c r="O14" s="464"/>
      <c r="P14" s="465"/>
      <c r="Q14" s="456">
        <f t="shared" si="0"/>
        <v>1128.90267673583</v>
      </c>
    </row>
    <row r="15" spans="1:17" s="469" customFormat="1">
      <c r="A15" s="466" t="s">
        <v>566</v>
      </c>
      <c r="B15" s="467">
        <f ca="1">SUM(B4:B14)</f>
        <v>26516.58548220716</v>
      </c>
      <c r="C15" s="467">
        <f t="shared" ref="C15:Q15" ca="1" si="1">SUM(C4:C14)</f>
        <v>0</v>
      </c>
      <c r="D15" s="467">
        <f t="shared" ca="1" si="1"/>
        <v>14844.739255330054</v>
      </c>
      <c r="E15" s="467">
        <f t="shared" si="1"/>
        <v>12197.204987434092</v>
      </c>
      <c r="F15" s="467">
        <f t="shared" ca="1" si="1"/>
        <v>35591.967425724673</v>
      </c>
      <c r="G15" s="467">
        <f t="shared" si="1"/>
        <v>45360.343925840578</v>
      </c>
      <c r="H15" s="467">
        <f t="shared" si="1"/>
        <v>8334.0996798467568</v>
      </c>
      <c r="I15" s="467">
        <f t="shared" si="1"/>
        <v>0</v>
      </c>
      <c r="J15" s="467">
        <f t="shared" si="1"/>
        <v>5557.2638048801018</v>
      </c>
      <c r="K15" s="467">
        <f t="shared" si="1"/>
        <v>0</v>
      </c>
      <c r="L15" s="467">
        <f t="shared" ca="1" si="1"/>
        <v>0</v>
      </c>
      <c r="M15" s="467">
        <f t="shared" si="1"/>
        <v>2337.1973723654014</v>
      </c>
      <c r="N15" s="467">
        <f t="shared" ca="1" si="1"/>
        <v>7940.7368766234722</v>
      </c>
      <c r="O15" s="467">
        <f t="shared" si="1"/>
        <v>53.153333333333336</v>
      </c>
      <c r="P15" s="467">
        <f t="shared" si="1"/>
        <v>362.26666666666665</v>
      </c>
      <c r="Q15" s="467">
        <f t="shared" ca="1" si="1"/>
        <v>159095.55881025232</v>
      </c>
    </row>
    <row r="17" spans="1:17">
      <c r="A17" s="470" t="s">
        <v>567</v>
      </c>
      <c r="B17" s="774">
        <f ca="1">huishoudens!B10</f>
        <v>0.21254068947644103</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3496.4005038790424</v>
      </c>
      <c r="C22" s="457">
        <f t="shared" ref="C22:C32" ca="1" si="3">C4*$C$17</f>
        <v>0</v>
      </c>
      <c r="D22" s="457">
        <f t="shared" ref="D22:D32" si="4">D4*$D$17</f>
        <v>2212.5228217968302</v>
      </c>
      <c r="E22" s="457">
        <f t="shared" ref="E22:E32" si="5">E4*$E$17</f>
        <v>2670.6192745129893</v>
      </c>
      <c r="F22" s="457">
        <f t="shared" ref="F22:F32" si="6">F4*$F$17</f>
        <v>7906.9787315865906</v>
      </c>
      <c r="G22" s="457">
        <f t="shared" ref="G22:G32" si="7">G4*$G$17</f>
        <v>0</v>
      </c>
      <c r="H22" s="457">
        <f t="shared" ref="H22:H32" si="8">H4*$H$17</f>
        <v>0</v>
      </c>
      <c r="I22" s="457">
        <f t="shared" ref="I22:I32" si="9">I4*$I$17</f>
        <v>0</v>
      </c>
      <c r="J22" s="457">
        <f t="shared" ref="J22:J32" si="10">J4*$J$17</f>
        <v>1934.0068602292858</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18220.528192004738</v>
      </c>
    </row>
    <row r="23" spans="1:17">
      <c r="A23" s="456" t="s">
        <v>155</v>
      </c>
      <c r="B23" s="457">
        <f t="shared" ca="1" si="2"/>
        <v>1397.575535462965</v>
      </c>
      <c r="C23" s="457">
        <f t="shared" ca="1" si="3"/>
        <v>0</v>
      </c>
      <c r="D23" s="457">
        <f t="shared" ca="1" si="4"/>
        <v>619.12394378629733</v>
      </c>
      <c r="E23" s="457">
        <f t="shared" si="5"/>
        <v>36.68290332583485</v>
      </c>
      <c r="F23" s="457">
        <f t="shared" ca="1" si="6"/>
        <v>328.85129333154754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2382.2336759066447</v>
      </c>
    </row>
    <row r="24" spans="1:17">
      <c r="A24" s="456" t="s">
        <v>193</v>
      </c>
      <c r="B24" s="457">
        <f t="shared" ca="1" si="2"/>
        <v>154.82547778980296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154.82547778980296</v>
      </c>
    </row>
    <row r="25" spans="1:17">
      <c r="A25" s="456" t="s">
        <v>111</v>
      </c>
      <c r="B25" s="457">
        <f t="shared" ca="1" si="2"/>
        <v>211.73584995674872</v>
      </c>
      <c r="C25" s="457">
        <f t="shared" ca="1" si="3"/>
        <v>0</v>
      </c>
      <c r="D25" s="457">
        <f t="shared" si="4"/>
        <v>12.693557053704851</v>
      </c>
      <c r="E25" s="457">
        <f t="shared" si="5"/>
        <v>2.368191295461382</v>
      </c>
      <c r="F25" s="457">
        <f t="shared" si="6"/>
        <v>1138.6347565181868</v>
      </c>
      <c r="G25" s="457">
        <f t="shared" si="7"/>
        <v>0</v>
      </c>
      <c r="H25" s="457">
        <f t="shared" si="8"/>
        <v>0</v>
      </c>
      <c r="I25" s="457">
        <f t="shared" si="9"/>
        <v>0</v>
      </c>
      <c r="J25" s="457">
        <f t="shared" si="10"/>
        <v>31.495653284345366</v>
      </c>
      <c r="K25" s="457">
        <f t="shared" si="11"/>
        <v>0</v>
      </c>
      <c r="L25" s="457">
        <f t="shared" si="12"/>
        <v>0</v>
      </c>
      <c r="M25" s="457">
        <f t="shared" si="13"/>
        <v>0</v>
      </c>
      <c r="N25" s="457">
        <f t="shared" si="14"/>
        <v>0</v>
      </c>
      <c r="O25" s="457">
        <f t="shared" si="15"/>
        <v>0</v>
      </c>
      <c r="P25" s="458">
        <f t="shared" si="16"/>
        <v>0</v>
      </c>
      <c r="Q25" s="456">
        <f t="shared" ca="1" si="17"/>
        <v>1396.9280081084471</v>
      </c>
    </row>
    <row r="26" spans="1:17">
      <c r="A26" s="456" t="s">
        <v>654</v>
      </c>
      <c r="B26" s="457">
        <f t="shared" ca="1" si="2"/>
        <v>253.12344002064933</v>
      </c>
      <c r="C26" s="457">
        <f t="shared" ca="1" si="3"/>
        <v>0</v>
      </c>
      <c r="D26" s="457">
        <f t="shared" si="4"/>
        <v>41.810654463569335</v>
      </c>
      <c r="E26" s="457">
        <f t="shared" si="5"/>
        <v>3.18920592195167</v>
      </c>
      <c r="F26" s="457">
        <f t="shared" si="6"/>
        <v>128.59052123216335</v>
      </c>
      <c r="G26" s="457">
        <f t="shared" si="7"/>
        <v>0</v>
      </c>
      <c r="H26" s="457">
        <f t="shared" si="8"/>
        <v>0</v>
      </c>
      <c r="I26" s="457">
        <f t="shared" si="9"/>
        <v>0</v>
      </c>
      <c r="J26" s="457">
        <f t="shared" si="10"/>
        <v>1.7688734139247209</v>
      </c>
      <c r="K26" s="457">
        <f t="shared" si="11"/>
        <v>0</v>
      </c>
      <c r="L26" s="457">
        <f t="shared" si="12"/>
        <v>0</v>
      </c>
      <c r="M26" s="457">
        <f t="shared" si="13"/>
        <v>0</v>
      </c>
      <c r="N26" s="457">
        <f t="shared" si="14"/>
        <v>0</v>
      </c>
      <c r="O26" s="457">
        <f t="shared" si="15"/>
        <v>0</v>
      </c>
      <c r="P26" s="458">
        <f t="shared" si="16"/>
        <v>0</v>
      </c>
      <c r="Q26" s="456">
        <f t="shared" ca="1" si="17"/>
        <v>428.48269505225841</v>
      </c>
    </row>
    <row r="27" spans="1:17" s="462" customFormat="1">
      <c r="A27" s="460" t="s">
        <v>572</v>
      </c>
      <c r="B27" s="768">
        <f t="shared" ca="1" si="2"/>
        <v>9.4672423057750033E-2</v>
      </c>
      <c r="C27" s="461">
        <f t="shared" ca="1" si="3"/>
        <v>0</v>
      </c>
      <c r="D27" s="461">
        <f t="shared" si="4"/>
        <v>0.49060158276514371</v>
      </c>
      <c r="E27" s="461">
        <f t="shared" si="5"/>
        <v>55.905957091301858</v>
      </c>
      <c r="F27" s="461">
        <f t="shared" si="6"/>
        <v>0</v>
      </c>
      <c r="G27" s="461">
        <f t="shared" si="7"/>
        <v>11887.038874372573</v>
      </c>
      <c r="H27" s="461">
        <f t="shared" si="8"/>
        <v>2075.1908202818422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14018.720925751539</v>
      </c>
    </row>
    <row r="28" spans="1:17">
      <c r="A28" s="456" t="s">
        <v>562</v>
      </c>
      <c r="B28" s="457">
        <f t="shared" ca="1" si="2"/>
        <v>0</v>
      </c>
      <c r="C28" s="457">
        <f t="shared" ca="1" si="3"/>
        <v>0</v>
      </c>
      <c r="D28" s="457">
        <f t="shared" si="4"/>
        <v>0</v>
      </c>
      <c r="E28" s="457">
        <f t="shared" si="5"/>
        <v>0</v>
      </c>
      <c r="F28" s="457">
        <f t="shared" si="6"/>
        <v>0</v>
      </c>
      <c r="G28" s="457">
        <f t="shared" si="7"/>
        <v>224.17295382686316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224.17295382686316</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122.0978814170296</v>
      </c>
      <c r="C32" s="457">
        <f t="shared" ca="1" si="3"/>
        <v>0</v>
      </c>
      <c r="D32" s="457">
        <f t="shared" si="4"/>
        <v>111.99575089350417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234.09363231053376</v>
      </c>
    </row>
    <row r="33" spans="1:17" s="469" customFormat="1">
      <c r="A33" s="466" t="s">
        <v>566</v>
      </c>
      <c r="B33" s="467">
        <f ca="1">SUM(B22:B32)</f>
        <v>5635.8533609492961</v>
      </c>
      <c r="C33" s="467">
        <f t="shared" ref="C33:Q33" ca="1" si="19">SUM(C22:C32)</f>
        <v>0</v>
      </c>
      <c r="D33" s="467">
        <f t="shared" ca="1" si="19"/>
        <v>2998.6373295766707</v>
      </c>
      <c r="E33" s="467">
        <f t="shared" si="19"/>
        <v>2768.765532147539</v>
      </c>
      <c r="F33" s="467">
        <f t="shared" ca="1" si="19"/>
        <v>9503.0553026684865</v>
      </c>
      <c r="G33" s="467">
        <f t="shared" si="19"/>
        <v>12111.211828199435</v>
      </c>
      <c r="H33" s="467">
        <f t="shared" si="19"/>
        <v>2075.1908202818422</v>
      </c>
      <c r="I33" s="467">
        <f t="shared" si="19"/>
        <v>0</v>
      </c>
      <c r="J33" s="467">
        <f t="shared" si="19"/>
        <v>1967.2713869275558</v>
      </c>
      <c r="K33" s="467">
        <f t="shared" si="19"/>
        <v>0</v>
      </c>
      <c r="L33" s="467">
        <f t="shared" ca="1" si="19"/>
        <v>0</v>
      </c>
      <c r="M33" s="467">
        <f t="shared" si="19"/>
        <v>0</v>
      </c>
      <c r="N33" s="467">
        <f t="shared" ca="1" si="19"/>
        <v>0</v>
      </c>
      <c r="O33" s="467">
        <f t="shared" si="19"/>
        <v>0</v>
      </c>
      <c r="P33" s="467">
        <f t="shared" si="19"/>
        <v>0</v>
      </c>
      <c r="Q33" s="467">
        <f t="shared" ca="1" si="19"/>
        <v>37059.985560750829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921.26322839650982</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202.5</v>
      </c>
      <c r="C9" s="1018">
        <f>'SEAP template'!C77</f>
        <v>67.5</v>
      </c>
      <c r="D9" s="1018">
        <f>'SEAP template'!D77</f>
        <v>192.85714285714286</v>
      </c>
      <c r="E9" s="1018">
        <f>'SEAP template'!E77</f>
        <v>0</v>
      </c>
      <c r="F9" s="1018">
        <f>'SEAP template'!F77</f>
        <v>0</v>
      </c>
      <c r="G9" s="1018">
        <f>'SEAP template'!G77</f>
        <v>0</v>
      </c>
      <c r="H9" s="1018">
        <f>'SEAP template'!H77</f>
        <v>0</v>
      </c>
      <c r="I9" s="1018">
        <f>'SEAP template'!I77</f>
        <v>0</v>
      </c>
      <c r="J9" s="1018">
        <f>'SEAP template'!J77</f>
        <v>578.57142857142856</v>
      </c>
      <c r="K9" s="1018">
        <f>'SEAP template'!K77</f>
        <v>0</v>
      </c>
      <c r="L9" s="1018">
        <f>'SEAP template'!L77</f>
        <v>0</v>
      </c>
      <c r="M9" s="1018">
        <f>'SEAP template'!M77</f>
        <v>0</v>
      </c>
      <c r="N9" s="1018">
        <f>'SEAP template'!N77</f>
        <v>0</v>
      </c>
      <c r="O9" s="1018">
        <f>'SEAP template'!O77</f>
        <v>0</v>
      </c>
      <c r="P9" s="1019">
        <f>'SEAP template'!Q77</f>
        <v>38.957142857142863</v>
      </c>
    </row>
    <row r="10" spans="1:16">
      <c r="A10" s="1020" t="s">
        <v>115</v>
      </c>
      <c r="B10" s="1022">
        <f>SUM(B4:B9)</f>
        <v>1123.7632283965099</v>
      </c>
      <c r="C10" s="1022">
        <f>SUM(C4:C9)</f>
        <v>67.5</v>
      </c>
      <c r="D10" s="1022">
        <f t="shared" ref="D10:H10" si="0">SUM(D8:D9)</f>
        <v>192.85714285714286</v>
      </c>
      <c r="E10" s="1022">
        <f t="shared" si="0"/>
        <v>0</v>
      </c>
      <c r="F10" s="1022">
        <f t="shared" si="0"/>
        <v>0</v>
      </c>
      <c r="G10" s="1022">
        <f t="shared" si="0"/>
        <v>0</v>
      </c>
      <c r="H10" s="1022">
        <f t="shared" si="0"/>
        <v>0</v>
      </c>
      <c r="I10" s="1022">
        <f>SUM(I8:I9)</f>
        <v>0</v>
      </c>
      <c r="J10" s="1022">
        <f>SUM(J8:J9)</f>
        <v>578.57142857142856</v>
      </c>
      <c r="K10" s="1022">
        <f t="shared" ref="K10:L10" si="1">SUM(K8:K9)</f>
        <v>0</v>
      </c>
      <c r="L10" s="1022">
        <f t="shared" si="1"/>
        <v>0</v>
      </c>
      <c r="M10" s="1022">
        <f>SUM(M8:M9)</f>
        <v>0</v>
      </c>
      <c r="N10" s="1022">
        <f>SUM(N8:N9)</f>
        <v>0</v>
      </c>
      <c r="O10" s="1022">
        <f>SUM(O8:O9)</f>
        <v>0</v>
      </c>
      <c r="P10" s="1022">
        <f>SUM(P8:P9)</f>
        <v>38.957142857142863</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0.21254068947644103</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0.21254068947644103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2020-06-20T16:43:43Z</dcterms:modified>
</cp:coreProperties>
</file>