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C18" i="16"/>
  <c r="C8" i="48" s="1"/>
  <c r="O4" i="48"/>
  <c r="O22" i="48" s="1"/>
  <c r="P11" i="14"/>
  <c r="D4" i="48"/>
  <c r="D22" i="48" s="1"/>
  <c r="E11" i="14"/>
  <c r="B8" i="9"/>
  <c r="B6" i="48" s="1"/>
  <c r="Q6" i="48" s="1"/>
  <c r="P4" i="48"/>
  <c r="P22" i="48" s="1"/>
  <c r="Q11" i="14"/>
  <c r="Q10" i="14"/>
  <c r="P5" i="48"/>
  <c r="C19" i="14"/>
  <c r="B10" i="48"/>
  <c r="H12" i="22"/>
  <c r="I18" i="14"/>
  <c r="H13" i="48"/>
  <c r="H31" i="48" s="1"/>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O8" i="48"/>
  <c r="O26" i="48" s="1"/>
  <c r="P13" i="14"/>
  <c r="P16" i="14" s="1"/>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33" i="48" s="1"/>
  <c r="E15" i="48"/>
  <c r="F8" i="48"/>
  <c r="G13" i="14"/>
  <c r="N8" i="48"/>
  <c r="O13" i="14"/>
  <c r="N22" i="16"/>
  <c r="O43" i="14" s="1"/>
  <c r="J22" i="16"/>
  <c r="K43" i="14" s="1"/>
  <c r="K46" i="14" s="1"/>
  <c r="K61" i="14" s="1"/>
  <c r="K63" i="14" l="1"/>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<sst xmlns="http://schemas.openxmlformats.org/spreadsheetml/2006/main" count="2513" uniqueCount="971">
  <si>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</si>
  <si>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</si>
  <si>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</si>
  <si>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</si>
  <si>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</si>
  <si>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</si>
  <si>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</si>
  <si>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</si>
  <si>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</si>
  <si>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</si>
  <si>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</si>
  <si>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</si>
  <si>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</si>
  <si>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</si>
  <si>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</si>
  <si>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</si>
  <si>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</si>
  <si>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</si>
  <si>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</si>
  <si>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</si>
  <si>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</si>
  <si>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</si>
  <si>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</si>
  <si>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</si>
  <si>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</si>
  <si>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</si>
  <si>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</si>
  <si>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</si>
  <si>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</si>
  <si>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</si>
  <si>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</si>
  <si>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</si>
  <si>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</si>
  <si>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</si>
  <si>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</si>
  <si>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</si>
  <si>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</si>
  <si>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</si>
  <si>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</si>
  <si>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</si>
  <si>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</si>
  <si>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</si>
  <si>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</si>
  <si>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</si>
  <si>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</si>
  <si>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</si>
  <si>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</si>
  <si>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</si>
  <si>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</si>
  <si>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</si>
  <si>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</si>
  <si>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</si>
  <si>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</si>
  <si>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</si>
  <si>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</si>
  <si>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</si>
  <si>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</si>
  <si>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</si>
  <si>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</si>
  <si>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</si>
  <si>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</si>
  <si>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</si>
  <si>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</si>
  <si>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</si>
  <si>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</si>
  <si>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</si>
  <si>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</si>
  <si>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</si>
  <si>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</si>
  <si>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</si>
  <si>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</si>
  <si>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</si>
  <si>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</si>
  <si>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</si>
  <si>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</si>
  <si>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</si>
  <si>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</si>
  <si>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</si>
  <si>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</si>
  <si>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</si>
  <si>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</si>
  <si>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</si>
  <si>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</si>
  <si>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</si>
  <si>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</si>
  <si>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</si>
  <si>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</si>
  <si>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</si>
  <si>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</si>
  <si>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</si>
  <si>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</si>
  <si>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</si>
  <si>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</si>
  <si>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</si>
  <si>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</si>
  <si>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</si>
  <si>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</si>
  <si>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</si>
  <si>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</si>
  <si>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</si>
  <si>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</si>
  <si>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</si>
  <si>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</si>
  <si>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</si>
  <si>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</si>
  <si>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</si>
  <si>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</si>
  <si>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</si>
  <si>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</si>
  <si>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</si>
  <si>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</si>
  <si>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</si>
  <si>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</si>
  <si>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</si>
  <si>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</si>
  <si>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</si>
  <si>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</si>
  <si>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</si>
  <si>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</si>
  <si>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</si>
  <si>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</si>
  <si>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</si>
  <si>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</si>
  <si>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</si>
  <si>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</si>
  <si>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</si>
  <si>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</si>
  <si>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</si>
  <si>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</si>
  <si>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</si>
  <si>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</si>
  <si>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</si>
  <si>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</si>
  <si>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</si>
  <si>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</si>
  <si>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</si>
  <si>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</si>
  <si>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</si>
  <si>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</si>
  <si>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</si>
  <si>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</si>
  <si>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</si>
  <si>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</si>
  <si>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</si>
  <si>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</si>
  <si>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</si>
  <si>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</si>
  <si>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</si>
  <si>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</si>
  <si>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</si>
  <si>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</si>
  <si>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</si>
  <si>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</si>
  <si>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</si>
  <si>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</si>
  <si>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</si>
  <si>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</si>
  <si>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</si>
  <si>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</si>
  <si>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</si>
  <si>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</si>
  <si>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</si>
  <si>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</si>
  <si>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</si>
  <si>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</si>
  <si>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</si>
  <si>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</si>
  <si>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</si>
  <si>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</si>
  <si>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</si>
  <si>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</si>
  <si>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</si>
  <si>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</si>
  <si>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</si>
  <si>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</si>
  <si>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</si>
  <si>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</si>
  <si>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</si>
  <si>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</si>
  <si>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</si>
  <si>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</si>
  <si>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</si>
  <si>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</si>
  <si>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</si>
  <si>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</si>
  <si>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</si>
  <si>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</si>
  <si>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</si>
  <si>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</si>
  <si>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</si>
  <si>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</si>
  <si>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</si>
  <si>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</si>
  <si>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</si>
  <si>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</si>
  <si>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</si>
  <si>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</si>
  <si>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</si>
  <si>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</si>
  <si>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</si>
  <si>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</si>
  <si>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</si>
  <si>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</si>
  <si>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</si>
  <si>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</si>
  <si>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</si>
  <si>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</si>
  <si>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</si>
  <si>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</si>
  <si>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</si>
  <si>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</si>
  <si>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</si>
  <si>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</si>
  <si>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</si>
  <si>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</si>
  <si>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</si>
  <si>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</si>
  <si>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</si>
  <si>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</si>
  <si>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</si>
  <si>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</si>
  <si>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</si>
  <si>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</si>
  <si>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</si>
  <si>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</si>
  <si>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</si>
  <si>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</si>
  <si>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</si>
  <si>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</si>
  <si>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</si>
  <si>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</si>
  <si>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</si>
  <si>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</si>
  <si>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</si>
  <si>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</si>
  <si>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</si>
  <si>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</si>
  <si>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</si>
  <si>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</si>
  <si>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</si>
  <si>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</si>
  <si>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</si>
  <si>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</si>
  <si>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</si>
  <si>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</si>
  <si>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</si>
  <si>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</si>
  <si>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</si>
  <si>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</si>
  <si>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</si>
  <si>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</si>
  <si>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</si>
  <si>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</si>
  <si>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</si>
  <si>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</si>
  <si>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</si>
  <si>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</si>
  <si>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</si>
  <si>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</si>
  <si>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</si>
  <si>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</si>
  <si>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</si>
  <si>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</si>
  <si>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</si>
  <si>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</si>
  <si>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</si>
  <si>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</si>
  <si>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</si>
  <si>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</si>
  <si>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</si>
  <si>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</si>
  <si>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</si>
  <si>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</si>
  <si>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</si>
  <si>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</si>
  <si>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</si>
  <si>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</si>
  <si>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</si>
  <si>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</si>
  <si>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</si>
  <si>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</si>
  <si>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</si>
  <si>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</si>
  <si>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</si>
  <si>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</si>
  <si>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</si>
  <si>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</si>
  <si>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</si>
  <si>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</si>
  <si>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</si>
  <si>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</si>
  <si>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</si>
  <si>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</si>
  <si>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</si>
  <si>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</si>
  <si>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</si>
  <si>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</si>
  <si>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</si>
  <si>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</si>
  <si>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</si>
  <si>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</si>
  <si>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</si>
  <si>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</si>
  <si>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</si>
  <si>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</si>
  <si>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</si>
  <si>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</si>
  <si>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</si>
  <si>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</si>
  <si>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</si>
  <si>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</si>
  <si>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</si>
  <si>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</si>
  <si>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</si>
  <si>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</si>
  <si>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</si>
  <si>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</si>
  <si>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</si>
  <si>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</si>
  <si>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</si>
  <si>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</si>
  <si>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</si>
  <si>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</si>
  <si>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</si>
  <si>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</si>
  <si>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</si>
  <si>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</si>
  <si>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</si>
  <si>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</si>
  <si>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</si>
  <si>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</si>
  <si>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</si>
  <si>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</si>
  <si>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</si>
  <si>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</si>
  <si>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</si>
  <si>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</si>
  <si>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</si>
  <si>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</si>
  <si>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</si>
  <si>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</si>
  <si>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</si>
  <si>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</si>
  <si>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</si>
  <si>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</si>
  <si>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</si>
  <si>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</si>
  <si>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</si>
  <si>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</si>
  <si>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</si>
  <si>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</si>
  <si>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</si>
  <si>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</si>
  <si>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</si>
  <si>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</si>
  <si>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</si>
  <si>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</si>
  <si>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</si>
  <si>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</si>
  <si>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</si>
  <si>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</si>
  <si>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</si>
  <si>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</si>
  <si>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</si>
  <si>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</si>
  <si>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</si>
  <si>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</si>
  <si>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</si>
  <si>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</si>
  <si>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</si>
  <si>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</si>
  <si>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</si>
  <si>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</si>
  <si>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</si>
  <si>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</si>
  <si>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</si>
  <si>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</si>
  <si>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</si>
  <si>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</si>
  <si>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</si>
  <si>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</si>
  <si>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</si>
  <si>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</si>
  <si>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</si>
  <si>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</si>
  <si>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</si>
  <si>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</si>
  <si>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</si>
  <si>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</si>
  <si>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</si>
  <si>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</si>
  <si>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</si>
  <si>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</si>
  <si>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</si>
  <si>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</si>
  <si>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</si>
  <si>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</si>
  <si>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</si>
  <si>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</si>
  <si>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</si>
  <si>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</si>
  <si>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</si>
  <si>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</si>
  <si>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</si>
  <si>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</si>
  <si>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</si>
  <si>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</si>
  <si>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</si>
  <si>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</si>
  <si>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</si>
  <si>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</si>
  <si>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</si>
  <si>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</si>
  <si>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</si>
  <si>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</si>
  <si>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</si>
  <si>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</si>
  <si>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</si>
  <si>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</si>
  <si>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</si>
  <si>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</si>
  <si>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</si>
  <si>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</si>
  <si>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</si>
  <si>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</si>
  <si>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</si>
  <si>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</si>
  <si>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</si>
  <si>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</si>
  <si>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</si>
  <si>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</si>
  <si>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</si>
  <si>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</si>
  <si>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</si>
  <si>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</si>
  <si>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</si>
  <si>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</si>
  <si>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</si>
  <si>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</si>
  <si>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</si>
  <si>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</si>
  <si>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</si>
  <si>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</si>
  <si>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</si>
  <si>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</si>
  <si>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</si>
  <si>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</si>
  <si>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</si>
  <si>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</si>
  <si>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</si>
  <si>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</si>
  <si>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</si>
  <si>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</si>
  <si>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</si>
  <si>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</si>
  <si>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</si>
  <si>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</si>
  <si>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</si>
  <si>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</si>
  <si>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</si>
  <si>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</si>
  <si>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</si>
  <si>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</si>
  <si>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</si>
  <si>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</si>
  <si>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</si>
  <si>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</si>
  <si>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</si>
  <si>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</si>
  <si>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</si>
  <si>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</si>
  <si>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</si>
  <si>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</si>
  <si>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</si>
  <si>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</si>
  <si>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</si>
  <si>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</si>
  <si>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</si>
  <si>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</si>
  <si>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</si>
  <si>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</si>
  <si>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</si>
  <si>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</si>
  <si>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</si>
  <si>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</si>
  <si>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</si>
  <si>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</si>
  <si>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</si>
  <si>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</si>
  <si>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</si>
  <si>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</si>
  <si>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</si>
  <si>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</si>
  <si>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</si>
  <si>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</si>
  <si>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</si>
  <si>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</si>
  <si>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</si>
  <si>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</si>
  <si>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</si>
  <si>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</si>
  <si>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</si>
  <si>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</si>
  <si>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</si>
  <si>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</si>
  <si>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</si>
  <si>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</si>
  <si>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</si>
  <si>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</si>
  <si>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</si>
  <si>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</si>
  <si>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</si>
  <si>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</si>
  <si>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</si>
  <si>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</si>
  <si>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</si>
  <si>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</si>
  <si>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</si>
  <si>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</si>
  <si>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</si>
  <si>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</si>
  <si>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</si>
  <si>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</si>
  <si>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</si>
  <si>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</si>
  <si>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</si>
  <si>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</si>
  <si>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</si>
  <si>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</si>
  <si>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</si>
  <si>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</si>
  <si>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</si>
  <si>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</si>
  <si>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</si>
  <si>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</si>
  <si>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</si>
  <si>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</si>
  <si>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</si>
  <si>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</si>
  <si>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</si>
  <si>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</si>
  <si>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</si>
  <si>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</si>
  <si>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</si>
  <si>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</si>
  <si>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</si>
  <si>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</si>
  <si>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</si>
  <si>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</si>
  <si>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</si>
  <si>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</si>
  <si>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</si>
  <si>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</si>
  <si>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</si>
  <si>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</si>
  <si>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</si>
  <si>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</si>
  <si>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</si>
  <si>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</si>
  <si>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</si>
  <si>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</si>
  <si>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</si>
  <si>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</si>
  <si>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</si>
  <si>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</si>
  <si>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</si>
  <si>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</si>
  <si>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</si>
  <si>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</si>
  <si>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</si>
  <si>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</si>
  <si>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</si>
  <si>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</si>
  <si>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</si>
  <si>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</si>
  <si>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</si>
  <si>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</si>
  <si>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</si>
  <si>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</si>
  <si>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</si>
  <si>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</si>
  <si>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</si>
  <si>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</si>
  <si>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</si>
  <si>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</si>
  <si>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</si>
  <si>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</si>
  <si>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</si>
  <si>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</si>
  <si>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</si>
  <si>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</si>
  <si>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</si>
  <si>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</si>
  <si>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</si>
  <si>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</si>
  <si>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</si>
  <si>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</si>
  <si>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</si>
  <si>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</si>
  <si>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</si>
  <si>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</si>
  <si>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</si>
  <si>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</si>
  <si>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</si>
  <si>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</si>
  <si>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</si>
  <si>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</si>
  <si>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</si>
  <si>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</si>
  <si>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</si>
  <si>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</si>
  <si>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</si>
  <si>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</si>
  <si>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</si>
  <si>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</si>
  <si>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</si>
  <si>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</si>
  <si>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</si>
  <si>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</si>
  <si>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</si>
  <si>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</si>
  <si>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</si>
  <si>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</si>
  <si>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</si>
  <si>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</si>
  <si>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</si>
  <si>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</si>
  <si>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</si>
  <si>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</si>
  <si>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</si>
  <si>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</si>
  <si>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</si>
  <si>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</si>
  <si>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</si>
  <si>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</si>
  <si>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</si>
  <si>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</si>
  <si>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</si>
  <si>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</si>
  <si>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</si>
  <si>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</si>
  <si>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</si>
  <si>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</si>
  <si>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</si>
  <si>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</si>
  <si>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</si>
  <si>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</si>
  <si>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</si>
  <si>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</si>
  <si>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</si>
  <si>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</si>
  <si>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</si>
  <si>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</si>
  <si>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</si>
  <si>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</si>
  <si>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</si>
  <si>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</si>
  <si>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</si>
  <si>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</si>
  <si>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</si>
  <si>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</si>
  <si>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</si>
  <si>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</si>
  <si>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</si>
  <si>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</si>
  <si>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</si>
  <si>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</si>
  <si>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</si>
  <si>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</si>
  <si>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</si>
  <si>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</si>
  <si>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</si>
  <si>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</si>
  <si>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</si>
  <si>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</si>
  <si>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</si>
  <si>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</si>
  <si>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</si>
  <si>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</si>
  <si>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</si>
  <si>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</si>
  <si>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</si>
  <si>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</si>
  <si>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</si>
  <si>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</si>
  <si>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</si>
  <si>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</si>
  <si>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</si>
  <si>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</si>
  <si>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</si>
  <si>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</si>
  <si>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</si>
  <si>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</si>
  <si>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</si>
  <si>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</si>
  <si>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</si>
  <si>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</si>
  <si>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</si>
  <si>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</si>
  <si>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</si>
  <si>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</si>
  <si>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</si>
  <si>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</si>
  <si>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</si>
  <si>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</si>
  <si>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</si>
  <si>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</si>
  <si>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</si>
  <si>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</si>
  <si>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</si>
  <si>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</si>
  <si>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</si>
  <si>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</si>
  <si>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</si>
  <si>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</si>
  <si>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</si>
  <si>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</si>
  <si>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</si>
  <si>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</si>
  <si>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</si>
  <si>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</si>
  <si>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</si>
  <si>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</si>
  <si>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</si>
  <si>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</si>
  <si>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</si>
  <si>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</si>
  <si>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</si>
  <si>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</si>
  <si>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</si>
  <si>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</si>
  <si>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</si>
  <si>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</si>
  <si>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</si>
  <si>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</si>
  <si>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</si>
  <si>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</si>
  <si>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</si>
  <si>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</si>
  <si>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</si>
  <si>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</si>
  <si>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</si>
  <si>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</si>
  <si>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</si>
  <si>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</si>
  <si>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</si>
  <si>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</si>
  <si>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</si>
  <si>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</si>
  <si>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</si>
  <si>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</si>
  <si>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</si>
  <si>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</si>
  <si>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</si>
  <si>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</si>
  <si>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</si>
  <si>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</si>
  <si>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</si>
  <si>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</si>
  <si>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</si>
  <si>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</si>
  <si>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</si>
  <si>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</si>
  <si>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</si>
  <si>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</si>
  <si>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</si>
  <si>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</si>
  <si>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</si>
  <si>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</si>
  <si>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</si>
  <si>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</si>
  <si>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</si>
  <si>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</si>
  <si>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</si>
  <si>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</si>
  <si>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</si>
  <si>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</si>
  <si>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</si>
  <si>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</si>
  <si>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</si>
  <si>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</si>
  <si>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</si>
  <si>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</si>
  <si>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</si>
  <si>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</si>
  <si>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</si>
  <si>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</si>
  <si>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</si>
  <si>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</si>
  <si>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</si>
  <si>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</si>
  <si>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</si>
  <si>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</si>
  <si>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</si>
  <si>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</si>
  <si>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</si>
  <si>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</si>
  <si>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</si>
  <si>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</si>
  <si>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</si>
  <si>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</si>
  <si>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</si>
  <si>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</si>
  <si>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</si>
  <si>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</si>
  <si>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</si>
  <si>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</si>
  <si>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</si>
  <si>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</si>
  <si>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</si>
  <si>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</si>
  <si>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</si>
  <si>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</si>
  <si>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</si>
  <si>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</si>
  <si>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</si>
  <si>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</si>
  <si>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</si>
  <si>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</si>
  <si>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</si>
  <si>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</si>
  <si>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</si>
  <si>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</si>
  <si>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</si>
  <si>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</si>
  <si>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</si>
  <si>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</si>
  <si>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</si>
  <si>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</si>
  <si>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</si>
  <si>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</si>
  <si>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</si>
  <si>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</si>
  <si>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</si>
  <si>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</si>
  <si>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</si>
  <si>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</si>
  <si>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</si>
  <si>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</si>
  <si>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</si>
  <si>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</si>
  <si>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</si>
  <si>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</si>
  <si>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</si>
  <si>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</si>
  <si>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</si>
  <si>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</si>
  <si>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</si>
  <si>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</si>
  <si>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</si>
  <si>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</si>
  <si>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</si>
  <si>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</si>
  <si>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</si>
  <si>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</si>
  <si>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</si>
  <si>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</si>
  <si>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</si>
  <si>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</si>
  <si>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</si>
  <si>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</si>
  <si>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</si>
  <si>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</si>
  <si>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</si>
  <si>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</si>
  <si>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</si>
  <si>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</si>
  <si>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</si>
  <si>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</si>
  <si>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</si>
  <si>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</si>
  <si>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</si>
  <si>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</si>
  <si>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</si>
  <si>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</si>
  <si>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</si>
  <si>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</si>
  <si>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</si>
  <si>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</si>
  <si>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</si>
  <si>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</si>
  <si>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</si>
  <si>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</si>
  <si>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</si>
  <si>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</si>
  <si>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</si>
  <si>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</si>
  <si>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</si>
  <si>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</si>
  <si>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</si>
  <si>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</si>
  <si>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</si>
  <si>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</si>
  <si>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</si>
  <si>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</si>
  <si>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</si>
  <si>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</si>
  <si>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</si>
  <si>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</si>
  <si>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</si>
  <si>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</si>
  <si>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</si>
  <si>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</si>
  <si>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</si>
  <si>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</si>
  <si>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</si>
  <si>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</si>
  <si>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</si>
  <si>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</si>
  <si>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</si>
  <si>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</si>
  <si>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</si>
  <si>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</si>
  <si>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</si>
  <si>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</si>
  <si>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</si>
  <si>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</si>
  <si>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</si>
  <si>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</si>
  <si>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</si>
  <si>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</si>
  <si>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</si>
  <si>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</si>
  <si>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</si>
  <si>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</si>
  <si>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</si>
  <si>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</si>
  <si>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</si>
  <si>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</si>
  <si>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</si>
  <si>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</si>
  <si>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</si>
  <si>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</si>
  <si>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</si>
  <si>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</si>
  <si>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</si>
  <si>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</si>
  <si>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</si>
  <si>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</si>
  <si>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</si>
  <si>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</si>
  <si>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</si>
  <si>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</si>
  <si>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</si>
  <si>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</si>
  <si>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</si>
  <si>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</si>
  <si>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</si>
  <si>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</si>
  <si>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</si>
  <si>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</si>
  <si>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</si>
  <si>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</si>
  <si>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</si>
  <si>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</si>
  <si>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</si>
  <si>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</si>
  <si>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</si>
  <si>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</si>
  <si>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</si>
  <si>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</si>
  <si>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</si>
  <si>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</si>
  <si>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</si>
  <si>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45060</t>
  </si>
  <si>
    <t>KLUISBERGEN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</si>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</sst>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45060</v>
      </c>
      <c r="B6" s="394"/>
      <c r="C6" s="395"/>
    </row>
    <row r="7" spans="1:7" s="392" customFormat="1" ht="15.75" customHeight="1">
      <c r="A7" s="396" t="str">
        <f>txtMunicipality</f>
        <v>KLUISBERGEN</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7768.4978274622727</v>
      </c>
      <c r="D10" s="684">
        <f ca="1">tertiair!C16</f>
        <v>0</v>
      </c>
      <c r="E10" s="684">
        <f ca="1">tertiair!D16</f>
        <v>4619.2039069567272</v>
      </c>
      <c r="F10" s="684">
        <f>tertiair!E16</f>
        <v>154.38433987883087</v>
      </c>
      <c r="G10" s="684">
        <f ca="1">tertiair!F16</f>
        <v>1280.9568519787463</v>
      </c>
      <c r="H10" s="684">
        <f>tertiair!G16</f>
        <v>0</v>
      </c>
      <c r="I10" s="684">
        <f>tertiair!H16</f>
        <v>0</v>
      </c>
      <c r="J10" s="684">
        <f>tertiair!I16</f>
        <v>0</v>
      </c>
      <c r="K10" s="684">
        <f>tertiair!J16</f>
        <v>0</v>
      </c>
      <c r="L10" s="684">
        <f>tertiair!K16</f>
        <v>0</v>
      </c>
      <c r="M10" s="684">
        <f ca="1">tertiair!L16</f>
        <v>0</v>
      </c>
      <c r="N10" s="684">
        <f>tertiair!M16</f>
        <v>0</v>
      </c>
      <c r="O10" s="684">
        <f ca="1">tertiair!N16</f>
        <v>194.3087831660859</v>
      </c>
      <c r="P10" s="684">
        <f>tertiair!O16</f>
        <v>0</v>
      </c>
      <c r="Q10" s="685">
        <f>tertiair!P16</f>
        <v>19.066666666666666</v>
      </c>
      <c r="R10" s="687">
        <f ca="1">SUM(C10:Q10)</f>
        <v>14036.418376109328</v>
      </c>
      <c r="S10" s="67"/>
    </row>
    <row r="11" spans="1:19" s="453" customFormat="1">
      <c r="A11" s="799" t="s">
        <v>224</v>
      </c>
      <c r="B11" s="804"/>
      <c r="C11" s="684">
        <f>huishoudens!B8</f>
        <v>13317.368572205813</v>
      </c>
      <c r="D11" s="684">
        <f>huishoudens!C8</f>
        <v>0</v>
      </c>
      <c r="E11" s="684">
        <f>huishoudens!D8</f>
        <v>13705.268103480119</v>
      </c>
      <c r="F11" s="684">
        <f>huishoudens!E8</f>
        <v>6586.5261808463001</v>
      </c>
      <c r="G11" s="684">
        <f>huishoudens!F8</f>
        <v>19121.233978055447</v>
      </c>
      <c r="H11" s="684">
        <f>huishoudens!G8</f>
        <v>0</v>
      </c>
      <c r="I11" s="684">
        <f>huishoudens!H8</f>
        <v>0</v>
      </c>
      <c r="J11" s="684">
        <f>huishoudens!I8</f>
        <v>0</v>
      </c>
      <c r="K11" s="684">
        <f>huishoudens!J8</f>
        <v>2308.8415067456799</v>
      </c>
      <c r="L11" s="684">
        <f>huishoudens!K8</f>
        <v>0</v>
      </c>
      <c r="M11" s="684">
        <f>huishoudens!L8</f>
        <v>0</v>
      </c>
      <c r="N11" s="684">
        <f>huishoudens!M8</f>
        <v>0</v>
      </c>
      <c r="O11" s="684">
        <f>huishoudens!N8</f>
        <v>7954.8465008883704</v>
      </c>
      <c r="P11" s="684">
        <f>huishoudens!O8</f>
        <v>21.88666666666667</v>
      </c>
      <c r="Q11" s="685">
        <f>huishoudens!P8</f>
        <v>76.266666666666666</v>
      </c>
      <c r="R11" s="687">
        <f>SUM(C11:Q11)</f>
        <v>63092.238175555067</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32728.187801009633</v>
      </c>
      <c r="D13" s="684">
        <f>industrie!C18</f>
        <v>0</v>
      </c>
      <c r="E13" s="684">
        <f>industrie!D18</f>
        <v>9853.6044896712501</v>
      </c>
      <c r="F13" s="684">
        <f>industrie!E18</f>
        <v>303.5043011411625</v>
      </c>
      <c r="G13" s="684">
        <f>industrie!F18</f>
        <v>6976.5852531436603</v>
      </c>
      <c r="H13" s="684">
        <f>industrie!G18</f>
        <v>0</v>
      </c>
      <c r="I13" s="684">
        <f>industrie!H18</f>
        <v>0</v>
      </c>
      <c r="J13" s="684">
        <f>industrie!I18</f>
        <v>0</v>
      </c>
      <c r="K13" s="684">
        <f>industrie!J18</f>
        <v>214.18372261482224</v>
      </c>
      <c r="L13" s="684">
        <f>industrie!K18</f>
        <v>0</v>
      </c>
      <c r="M13" s="684">
        <f>industrie!L18</f>
        <v>0</v>
      </c>
      <c r="N13" s="684">
        <f>industrie!M18</f>
        <v>0</v>
      </c>
      <c r="O13" s="684">
        <f>industrie!N18</f>
        <v>628.90557912165877</v>
      </c>
      <c r="P13" s="684">
        <f>industrie!O18</f>
        <v>0</v>
      </c>
      <c r="Q13" s="685">
        <f>industrie!P18</f>
        <v>0</v>
      </c>
      <c r="R13" s="687">
        <f>SUM(C13:Q13)</f>
        <v>50704.971146702184</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53814.054200677718</v>
      </c>
      <c r="D16" s="717">
        <f t="shared" ref="D16:R16" ca="1" si="0">SUM(D9:D15)</f>
        <v>0</v>
      </c>
      <c r="E16" s="717">
        <f t="shared" ca="1" si="0"/>
        <v>28178.076500108094</v>
      </c>
      <c r="F16" s="717">
        <f t="shared" si="0"/>
        <v>7044.414821866294</v>
      </c>
      <c r="G16" s="717">
        <f t="shared" ca="1" si="0"/>
        <v>27378.776083177854</v>
      </c>
      <c r="H16" s="717">
        <f t="shared" si="0"/>
        <v>0</v>
      </c>
      <c r="I16" s="717">
        <f t="shared" si="0"/>
        <v>0</v>
      </c>
      <c r="J16" s="717">
        <f t="shared" si="0"/>
        <v>0</v>
      </c>
      <c r="K16" s="717">
        <f t="shared" si="0"/>
        <v>2523.0252293605022</v>
      </c>
      <c r="L16" s="717">
        <f t="shared" si="0"/>
        <v>0</v>
      </c>
      <c r="M16" s="717">
        <f t="shared" ca="1" si="0"/>
        <v>0</v>
      </c>
      <c r="N16" s="717">
        <f t="shared" si="0"/>
        <v>0</v>
      </c>
      <c r="O16" s="717">
        <f t="shared" ca="1" si="0"/>
        <v>8778.0608631761152</v>
      </c>
      <c r="P16" s="717">
        <f t="shared" si="0"/>
        <v>21.88666666666667</v>
      </c>
      <c r="Q16" s="717">
        <f t="shared" si="0"/>
        <v>95.333333333333329</v>
      </c>
      <c r="R16" s="717">
        <f t="shared" ca="1" si="0"/>
        <v>127833.62769836657</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481.91581467425669</v>
      </c>
      <c r="I19" s="684">
        <f>transport!H54</f>
        <v>0</v>
      </c>
      <c r="J19" s="684">
        <f>transport!I54</f>
        <v>0</v>
      </c>
      <c r="K19" s="684">
        <f>transport!J54</f>
        <v>0</v>
      </c>
      <c r="L19" s="684">
        <f>transport!K54</f>
        <v>0</v>
      </c>
      <c r="M19" s="684">
        <f>transport!L54</f>
        <v>0</v>
      </c>
      <c r="N19" s="684">
        <f>transport!M54</f>
        <v>20.492832421426886</v>
      </c>
      <c r="O19" s="684">
        <f>transport!N54</f>
        <v>0</v>
      </c>
      <c r="P19" s="684">
        <f>transport!O54</f>
        <v>0</v>
      </c>
      <c r="Q19" s="685">
        <f>transport!P54</f>
        <v>0</v>
      </c>
      <c r="R19" s="687">
        <f>SUM(C19:Q19)</f>
        <v>502.40864709568359</v>
      </c>
      <c r="S19" s="67"/>
    </row>
    <row r="20" spans="1:19" s="453" customFormat="1">
      <c r="A20" s="799" t="s">
        <v>306</v>
      </c>
      <c r="B20" s="804"/>
      <c r="C20" s="684">
        <f>transport!B14</f>
        <v>0.24373505566180001</v>
      </c>
      <c r="D20" s="684">
        <f>transport!C14</f>
        <v>0</v>
      </c>
      <c r="E20" s="684">
        <f>transport!D14</f>
        <v>1.3425797663708221</v>
      </c>
      <c r="F20" s="684">
        <f>transport!E14</f>
        <v>135.9538958194087</v>
      </c>
      <c r="G20" s="684">
        <f>transport!F14</f>
        <v>0</v>
      </c>
      <c r="H20" s="684">
        <f>transport!G14</f>
        <v>27599.654329489618</v>
      </c>
      <c r="I20" s="684">
        <f>transport!H14</f>
        <v>4601.7955074558886</v>
      </c>
      <c r="J20" s="684">
        <f>transport!I14</f>
        <v>0</v>
      </c>
      <c r="K20" s="684">
        <f>transport!J14</f>
        <v>0</v>
      </c>
      <c r="L20" s="684">
        <f>transport!K14</f>
        <v>0</v>
      </c>
      <c r="M20" s="684">
        <f>transport!L14</f>
        <v>0</v>
      </c>
      <c r="N20" s="684">
        <f>transport!M14</f>
        <v>1400.7683123593129</v>
      </c>
      <c r="O20" s="684">
        <f>transport!N14</f>
        <v>0</v>
      </c>
      <c r="P20" s="684">
        <f>transport!O14</f>
        <v>0</v>
      </c>
      <c r="Q20" s="685">
        <f>transport!P14</f>
        <v>0</v>
      </c>
      <c r="R20" s="687">
        <f>SUM(C20:Q20)</f>
        <v>33739.75835994626</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0.24373505566180001</v>
      </c>
      <c r="D22" s="802">
        <f t="shared" ref="D22:R22" si="1">SUM(D18:D21)</f>
        <v>0</v>
      </c>
      <c r="E22" s="802">
        <f t="shared" si="1"/>
        <v>1.3425797663708221</v>
      </c>
      <c r="F22" s="802">
        <f t="shared" si="1"/>
        <v>135.9538958194087</v>
      </c>
      <c r="G22" s="802">
        <f t="shared" si="1"/>
        <v>0</v>
      </c>
      <c r="H22" s="802">
        <f t="shared" si="1"/>
        <v>28081.570144163874</v>
      </c>
      <c r="I22" s="802">
        <f t="shared" si="1"/>
        <v>4601.7955074558886</v>
      </c>
      <c r="J22" s="802">
        <f t="shared" si="1"/>
        <v>0</v>
      </c>
      <c r="K22" s="802">
        <f t="shared" si="1"/>
        <v>0</v>
      </c>
      <c r="L22" s="802">
        <f t="shared" si="1"/>
        <v>0</v>
      </c>
      <c r="M22" s="802">
        <f t="shared" si="1"/>
        <v>0</v>
      </c>
      <c r="N22" s="802">
        <f t="shared" si="1"/>
        <v>1421.2611447807396</v>
      </c>
      <c r="O22" s="802">
        <f t="shared" si="1"/>
        <v>0</v>
      </c>
      <c r="P22" s="802">
        <f t="shared" si="1"/>
        <v>0</v>
      </c>
      <c r="Q22" s="802">
        <f t="shared" si="1"/>
        <v>0</v>
      </c>
      <c r="R22" s="802">
        <f t="shared" si="1"/>
        <v>34242.167007041942</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1167.6390115915669</v>
      </c>
      <c r="D24" s="684">
        <f>+landbouw!C8</f>
        <v>0</v>
      </c>
      <c r="E24" s="684">
        <f>+landbouw!D8</f>
        <v>47.540685118697304</v>
      </c>
      <c r="F24" s="684">
        <f>+landbouw!E8</f>
        <v>12.227768512924447</v>
      </c>
      <c r="G24" s="684">
        <f>+landbouw!F8</f>
        <v>4998.3821868341402</v>
      </c>
      <c r="H24" s="684">
        <f>+landbouw!G8</f>
        <v>0</v>
      </c>
      <c r="I24" s="684">
        <f>+landbouw!H8</f>
        <v>0</v>
      </c>
      <c r="J24" s="684">
        <f>+landbouw!I8</f>
        <v>0</v>
      </c>
      <c r="K24" s="684">
        <f>+landbouw!J8</f>
        <v>104.28062946212958</v>
      </c>
      <c r="L24" s="684">
        <f>+landbouw!K8</f>
        <v>0</v>
      </c>
      <c r="M24" s="684">
        <f>+landbouw!L8</f>
        <v>0</v>
      </c>
      <c r="N24" s="684">
        <f>+landbouw!M8</f>
        <v>0</v>
      </c>
      <c r="O24" s="684">
        <f>+landbouw!N8</f>
        <v>0</v>
      </c>
      <c r="P24" s="684">
        <f>+landbouw!O8</f>
        <v>0</v>
      </c>
      <c r="Q24" s="685">
        <f>+landbouw!P8</f>
        <v>0</v>
      </c>
      <c r="R24" s="687">
        <f>SUM(C24:Q24)</f>
        <v>6330.0702815194581</v>
      </c>
      <c r="S24" s="67"/>
    </row>
    <row r="25" spans="1:19" s="453" customFormat="1" ht="15" thickBot="1">
      <c r="A25" s="821" t="s">
        <v>912</v>
      </c>
      <c r="B25" s="978"/>
      <c r="C25" s="979">
        <f>IF(Onbekend_ele_kWh="---",0,Onbekend_ele_kWh)/1000+IF(REST_rest_ele_kWh="---",0,REST_rest_ele_kWh)/1000</f>
        <v>630.95219745740098</v>
      </c>
      <c r="D25" s="979"/>
      <c r="E25" s="979">
        <f>IF(onbekend_gas_kWh="---",0,onbekend_gas_kWh)/1000+IF(REST_rest_gas_kWh="---",0,REST_rest_gas_kWh)/1000</f>
        <v>720.75929800487711</v>
      </c>
      <c r="F25" s="979"/>
      <c r="G25" s="979"/>
      <c r="H25" s="979"/>
      <c r="I25" s="979"/>
      <c r="J25" s="979"/>
      <c r="K25" s="979"/>
      <c r="L25" s="979"/>
      <c r="M25" s="979"/>
      <c r="N25" s="979"/>
      <c r="O25" s="979"/>
      <c r="P25" s="979"/>
      <c r="Q25" s="980"/>
      <c r="R25" s="687">
        <f>SUM(C25:Q25)</f>
        <v>1351.711495462278</v>
      </c>
      <c r="S25" s="67"/>
    </row>
    <row r="26" spans="1:19" s="453" customFormat="1" ht="15.75" thickBot="1">
      <c r="A26" s="690" t="s">
        <v>913</v>
      </c>
      <c r="B26" s="807"/>
      <c r="C26" s="802">
        <f>SUM(C24:C25)</f>
        <v>1798.5912090489678</v>
      </c>
      <c r="D26" s="802">
        <f t="shared" ref="D26:R26" si="2">SUM(D24:D25)</f>
        <v>0</v>
      </c>
      <c r="E26" s="802">
        <f t="shared" si="2"/>
        <v>768.29998312357441</v>
      </c>
      <c r="F26" s="802">
        <f t="shared" si="2"/>
        <v>12.227768512924447</v>
      </c>
      <c r="G26" s="802">
        <f t="shared" si="2"/>
        <v>4998.3821868341402</v>
      </c>
      <c r="H26" s="802">
        <f t="shared" si="2"/>
        <v>0</v>
      </c>
      <c r="I26" s="802">
        <f t="shared" si="2"/>
        <v>0</v>
      </c>
      <c r="J26" s="802">
        <f t="shared" si="2"/>
        <v>0</v>
      </c>
      <c r="K26" s="802">
        <f t="shared" si="2"/>
        <v>104.28062946212958</v>
      </c>
      <c r="L26" s="802">
        <f t="shared" si="2"/>
        <v>0</v>
      </c>
      <c r="M26" s="802">
        <f t="shared" si="2"/>
        <v>0</v>
      </c>
      <c r="N26" s="802">
        <f t="shared" si="2"/>
        <v>0</v>
      </c>
      <c r="O26" s="802">
        <f t="shared" si="2"/>
        <v>0</v>
      </c>
      <c r="P26" s="802">
        <f t="shared" si="2"/>
        <v>0</v>
      </c>
      <c r="Q26" s="802">
        <f t="shared" si="2"/>
        <v>0</v>
      </c>
      <c r="R26" s="802">
        <f t="shared" si="2"/>
        <v>7681.7817769817357</v>
      </c>
      <c r="S26" s="67"/>
    </row>
    <row r="27" spans="1:19" s="453" customFormat="1" ht="17.25" thickTop="1" thickBot="1">
      <c r="A27" s="691" t="s">
        <v>115</v>
      </c>
      <c r="B27" s="794"/>
      <c r="C27" s="692">
        <f ca="1">C22+C16+C26</f>
        <v>55612.889144782348</v>
      </c>
      <c r="D27" s="692">
        <f t="shared" ref="D27:R27" ca="1" si="3">D22+D16+D26</f>
        <v>0</v>
      </c>
      <c r="E27" s="692">
        <f t="shared" ca="1" si="3"/>
        <v>28947.71906299804</v>
      </c>
      <c r="F27" s="692">
        <f t="shared" si="3"/>
        <v>7192.5964861986276</v>
      </c>
      <c r="G27" s="692">
        <f t="shared" ca="1" si="3"/>
        <v>32377.158270011994</v>
      </c>
      <c r="H27" s="692">
        <f t="shared" si="3"/>
        <v>28081.570144163874</v>
      </c>
      <c r="I27" s="692">
        <f t="shared" si="3"/>
        <v>4601.7955074558886</v>
      </c>
      <c r="J27" s="692">
        <f t="shared" si="3"/>
        <v>0</v>
      </c>
      <c r="K27" s="692">
        <f t="shared" si="3"/>
        <v>2627.3058588226318</v>
      </c>
      <c r="L27" s="692">
        <f t="shared" si="3"/>
        <v>0</v>
      </c>
      <c r="M27" s="692">
        <f t="shared" ca="1" si="3"/>
        <v>0</v>
      </c>
      <c r="N27" s="692">
        <f t="shared" si="3"/>
        <v>1421.2611447807396</v>
      </c>
      <c r="O27" s="692">
        <f t="shared" ca="1" si="3"/>
        <v>8778.0608631761152</v>
      </c>
      <c r="P27" s="692">
        <f t="shared" si="3"/>
        <v>21.88666666666667</v>
      </c>
      <c r="Q27" s="692">
        <f t="shared" si="3"/>
        <v>95.333333333333329</v>
      </c>
      <c r="R27" s="692">
        <f t="shared" ca="1" si="3"/>
        <v>169757.57648239026</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1696.7489397093104</v>
      </c>
      <c r="D40" s="684">
        <f ca="1">tertiair!C20</f>
        <v>0</v>
      </c>
      <c r="E40" s="684">
        <f ca="1">tertiair!D20</f>
        <v>933.07918920525901</v>
      </c>
      <c r="F40" s="684">
        <f>tertiair!E20</f>
        <v>35.045245152494608</v>
      </c>
      <c r="G40" s="684">
        <f ca="1">tertiair!F20</f>
        <v>342.01547947832529</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3006.8888535453893</v>
      </c>
    </row>
    <row r="41" spans="1:18">
      <c r="A41" s="812" t="s">
        <v>224</v>
      </c>
      <c r="B41" s="819"/>
      <c r="C41" s="684">
        <f ca="1">huishoudens!B12</f>
        <v>2908.700176851281</v>
      </c>
      <c r="D41" s="684">
        <f ca="1">huishoudens!C12</f>
        <v>0</v>
      </c>
      <c r="E41" s="684">
        <f>huishoudens!D12</f>
        <v>2768.4641569029841</v>
      </c>
      <c r="F41" s="684">
        <f>huishoudens!E12</f>
        <v>1495.1414430521102</v>
      </c>
      <c r="G41" s="684">
        <f>huishoudens!F12</f>
        <v>5105.3694721408046</v>
      </c>
      <c r="H41" s="684">
        <f>huishoudens!G12</f>
        <v>0</v>
      </c>
      <c r="I41" s="684">
        <f>huishoudens!H12</f>
        <v>0</v>
      </c>
      <c r="J41" s="684">
        <f>huishoudens!I12</f>
        <v>0</v>
      </c>
      <c r="K41" s="684">
        <f>huishoudens!J12</f>
        <v>817.32989338797063</v>
      </c>
      <c r="L41" s="684">
        <f>huishoudens!K12</f>
        <v>0</v>
      </c>
      <c r="M41" s="684">
        <f>huishoudens!L12</f>
        <v>0</v>
      </c>
      <c r="N41" s="684">
        <f>huishoudens!M12</f>
        <v>0</v>
      </c>
      <c r="O41" s="684">
        <f>huishoudens!N12</f>
        <v>0</v>
      </c>
      <c r="P41" s="684">
        <f>huishoudens!O12</f>
        <v>0</v>
      </c>
      <c r="Q41" s="759">
        <f>huishoudens!P12</f>
        <v>0</v>
      </c>
      <c r="R41" s="840">
        <f t="shared" ca="1" si="4"/>
        <v>13095.005142335151</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7148.2954856036449</v>
      </c>
      <c r="D43" s="684">
        <f ca="1">industrie!C22</f>
        <v>0</v>
      </c>
      <c r="E43" s="684">
        <f>industrie!D22</f>
        <v>1990.4281069135927</v>
      </c>
      <c r="F43" s="684">
        <f>industrie!E22</f>
        <v>68.895476359043883</v>
      </c>
      <c r="G43" s="684">
        <f>industrie!F22</f>
        <v>1862.7482625893574</v>
      </c>
      <c r="H43" s="684">
        <f>industrie!G22</f>
        <v>0</v>
      </c>
      <c r="I43" s="684">
        <f>industrie!H22</f>
        <v>0</v>
      </c>
      <c r="J43" s="684">
        <f>industrie!I22</f>
        <v>0</v>
      </c>
      <c r="K43" s="684">
        <f>industrie!J22</f>
        <v>75.821037805647066</v>
      </c>
      <c r="L43" s="684">
        <f>industrie!K22</f>
        <v>0</v>
      </c>
      <c r="M43" s="684">
        <f>industrie!L22</f>
        <v>0</v>
      </c>
      <c r="N43" s="684">
        <f>industrie!M22</f>
        <v>0</v>
      </c>
      <c r="O43" s="684">
        <f>industrie!N22</f>
        <v>0</v>
      </c>
      <c r="P43" s="684">
        <f>industrie!O22</f>
        <v>0</v>
      </c>
      <c r="Q43" s="759">
        <f>industrie!P22</f>
        <v>0</v>
      </c>
      <c r="R43" s="839">
        <f t="shared" ca="1" si="4"/>
        <v>11146.188369271285</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11753.744602164235</v>
      </c>
      <c r="D46" s="717">
        <f t="shared" ref="D46:Q46" ca="1" si="5">SUM(D39:D45)</f>
        <v>0</v>
      </c>
      <c r="E46" s="717">
        <f t="shared" ca="1" si="5"/>
        <v>5691.9714530218353</v>
      </c>
      <c r="F46" s="717">
        <f t="shared" si="5"/>
        <v>1599.0821645636486</v>
      </c>
      <c r="G46" s="717">
        <f t="shared" ca="1" si="5"/>
        <v>7310.1332142084875</v>
      </c>
      <c r="H46" s="717">
        <f t="shared" si="5"/>
        <v>0</v>
      </c>
      <c r="I46" s="717">
        <f t="shared" si="5"/>
        <v>0</v>
      </c>
      <c r="J46" s="717">
        <f t="shared" si="5"/>
        <v>0</v>
      </c>
      <c r="K46" s="717">
        <f t="shared" si="5"/>
        <v>893.15093119361768</v>
      </c>
      <c r="L46" s="717">
        <f t="shared" si="5"/>
        <v>0</v>
      </c>
      <c r="M46" s="717">
        <f t="shared" ca="1" si="5"/>
        <v>0</v>
      </c>
      <c r="N46" s="717">
        <f t="shared" si="5"/>
        <v>0</v>
      </c>
      <c r="O46" s="717">
        <f t="shared" ca="1" si="5"/>
        <v>0</v>
      </c>
      <c r="P46" s="717">
        <f t="shared" si="5"/>
        <v>0</v>
      </c>
      <c r="Q46" s="717">
        <f t="shared" si="5"/>
        <v>0</v>
      </c>
      <c r="R46" s="717">
        <f ca="1">SUM(R39:R45)</f>
        <v>27248.082365151826</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128.67152251802653</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128.67152251802653</v>
      </c>
    </row>
    <row r="50" spans="1:18">
      <c r="A50" s="815" t="s">
        <v>306</v>
      </c>
      <c r="B50" s="825"/>
      <c r="C50" s="985">
        <f ca="1">transport!B18</f>
        <v>5.3235156454854188E-2</v>
      </c>
      <c r="D50" s="985">
        <f>transport!C18</f>
        <v>0</v>
      </c>
      <c r="E50" s="985">
        <f>transport!D18</f>
        <v>0.27120111280690606</v>
      </c>
      <c r="F50" s="985">
        <f>transport!E18</f>
        <v>30.861534351005776</v>
      </c>
      <c r="G50" s="985">
        <f>transport!F18</f>
        <v>0</v>
      </c>
      <c r="H50" s="985">
        <f>transport!G18</f>
        <v>7369.1077059737281</v>
      </c>
      <c r="I50" s="985">
        <f>transport!H18</f>
        <v>1145.8470813565164</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8546.1407579505121</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5.3235156454854188E-2</v>
      </c>
      <c r="D52" s="717">
        <f t="shared" ref="D52:Q52" ca="1" si="6">SUM(D48:D51)</f>
        <v>0</v>
      </c>
      <c r="E52" s="717">
        <f t="shared" si="6"/>
        <v>0.27120111280690606</v>
      </c>
      <c r="F52" s="717">
        <f t="shared" si="6"/>
        <v>30.861534351005776</v>
      </c>
      <c r="G52" s="717">
        <f t="shared" si="6"/>
        <v>0</v>
      </c>
      <c r="H52" s="717">
        <f t="shared" si="6"/>
        <v>7497.779228491755</v>
      </c>
      <c r="I52" s="717">
        <f t="shared" si="6"/>
        <v>1145.8470813565164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8674.812280468539</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255.02874543873199</v>
      </c>
      <c r="D54" s="985">
        <f ca="1">+landbouw!C12</f>
        <v>0</v>
      </c>
      <c r="E54" s="985">
        <f>+landbouw!D12</f>
        <v>9.6032183939768565</v>
      </c>
      <c r="F54" s="985">
        <f>+landbouw!E12</f>
        <v>2.7757034524338495</v>
      </c>
      <c r="G54" s="985">
        <f>+landbouw!F12</f>
        <v>1334.5680438847155</v>
      </c>
      <c r="H54" s="985">
        <f>+landbouw!G12</f>
        <v>0</v>
      </c>
      <c r="I54" s="985">
        <f>+landbouw!H12</f>
        <v>0</v>
      </c>
      <c r="J54" s="985">
        <f>+landbouw!I12</f>
        <v>0</v>
      </c>
      <c r="K54" s="985">
        <f>+landbouw!J12</f>
        <v>36.915342829593868</v>
      </c>
      <c r="L54" s="985">
        <f>+landbouw!K12</f>
        <v>0</v>
      </c>
      <c r="M54" s="985">
        <f>+landbouw!L12</f>
        <v>0</v>
      </c>
      <c r="N54" s="985">
        <f>+landbouw!M12</f>
        <v>0</v>
      </c>
      <c r="O54" s="985">
        <f>+landbouw!N12</f>
        <v>0</v>
      </c>
      <c r="P54" s="985">
        <f>+landbouw!O12</f>
        <v>0</v>
      </c>
      <c r="Q54" s="986">
        <f>+landbouw!P12</f>
        <v>0</v>
      </c>
      <c r="R54" s="716">
        <f ca="1">SUM(C54:Q54)</f>
        <v>1638.891053999452</v>
      </c>
    </row>
    <row r="55" spans="1:18" ht="15" thickBot="1">
      <c r="A55" s="815" t="s">
        <v>912</v>
      </c>
      <c r="B55" s="825"/>
      <c r="C55" s="985">
        <f ca="1">C25*'EF ele_warmte'!B12</f>
        <v>137.80881398441812</v>
      </c>
      <c r="D55" s="985"/>
      <c r="E55" s="985">
        <f>E25*EF_CO2_aardgas</f>
        <v>145.59337819698519</v>
      </c>
      <c r="F55" s="985"/>
      <c r="G55" s="985"/>
      <c r="H55" s="985"/>
      <c r="I55" s="985"/>
      <c r="J55" s="985"/>
      <c r="K55" s="985"/>
      <c r="L55" s="985"/>
      <c r="M55" s="985"/>
      <c r="N55" s="985"/>
      <c r="O55" s="985"/>
      <c r="P55" s="985"/>
      <c r="Q55" s="986"/>
      <c r="R55" s="716">
        <f ca="1">SUM(C55:Q55)</f>
        <v>283.40219218140328</v>
      </c>
    </row>
    <row r="56" spans="1:18" ht="15.75" thickBot="1">
      <c r="A56" s="813" t="s">
        <v>913</v>
      </c>
      <c r="B56" s="826"/>
      <c r="C56" s="717">
        <f ca="1">SUM(C54:C55)</f>
        <v>392.83755942315008</v>
      </c>
      <c r="D56" s="717">
        <f t="shared" ref="D56:Q56" ca="1" si="7">SUM(D54:D55)</f>
        <v>0</v>
      </c>
      <c r="E56" s="717">
        <f t="shared" si="7"/>
        <v>155.19659659096203</v>
      </c>
      <c r="F56" s="717">
        <f t="shared" si="7"/>
        <v>2.7757034524338495</v>
      </c>
      <c r="G56" s="717">
        <f t="shared" si="7"/>
        <v>1334.5680438847155</v>
      </c>
      <c r="H56" s="717">
        <f t="shared" si="7"/>
        <v>0</v>
      </c>
      <c r="I56" s="717">
        <f t="shared" si="7"/>
        <v>0</v>
      </c>
      <c r="J56" s="717">
        <f t="shared" si="7"/>
        <v>0</v>
      </c>
      <c r="K56" s="717">
        <f t="shared" si="7"/>
        <v>36.915342829593868</v>
      </c>
      <c r="L56" s="717">
        <f t="shared" si="7"/>
        <v>0</v>
      </c>
      <c r="M56" s="717">
        <f t="shared" si="7"/>
        <v>0</v>
      </c>
      <c r="N56" s="717">
        <f t="shared" si="7"/>
        <v>0</v>
      </c>
      <c r="O56" s="717">
        <f t="shared" si="7"/>
        <v>0</v>
      </c>
      <c r="P56" s="717">
        <f t="shared" si="7"/>
        <v>0</v>
      </c>
      <c r="Q56" s="718">
        <f t="shared" si="7"/>
        <v>0</v>
      </c>
      <c r="R56" s="719">
        <f ca="1">SUM(R54:R55)</f>
        <v>1922.2932461808552</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12146.635396743839</v>
      </c>
      <c r="D61" s="725">
        <f t="shared" ref="D61:Q61" ca="1" si="8">D46+D52+D56</f>
        <v>0</v>
      </c>
      <c r="E61" s="725">
        <f t="shared" ca="1" si="8"/>
        <v>5847.4392507256043</v>
      </c>
      <c r="F61" s="725">
        <f t="shared" si="8"/>
        <v>1632.7194023670882</v>
      </c>
      <c r="G61" s="725">
        <f t="shared" ca="1" si="8"/>
        <v>8644.7012580932023</v>
      </c>
      <c r="H61" s="725">
        <f t="shared" si="8"/>
        <v>7497.779228491755</v>
      </c>
      <c r="I61" s="725">
        <f t="shared" si="8"/>
        <v>1145.8470813565164</v>
      </c>
      <c r="J61" s="725">
        <f t="shared" si="8"/>
        <v>0</v>
      </c>
      <c r="K61" s="725">
        <f t="shared" si="8"/>
        <v>930.06627402321158</v>
      </c>
      <c r="L61" s="725">
        <f t="shared" si="8"/>
        <v>0</v>
      </c>
      <c r="M61" s="725">
        <f t="shared" ca="1" si="8"/>
        <v>0</v>
      </c>
      <c r="N61" s="725">
        <f t="shared" si="8"/>
        <v>0</v>
      </c>
      <c r="O61" s="725">
        <f t="shared" ca="1" si="8"/>
        <v>0</v>
      </c>
      <c r="P61" s="725">
        <f t="shared" si="8"/>
        <v>0</v>
      </c>
      <c r="Q61" s="725">
        <f t="shared" si="8"/>
        <v>0</v>
      </c>
      <c r="R61" s="725">
        <f ca="1">R46+R52+R56</f>
        <v>37845.187891801215</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0.21841403285345135</v>
      </c>
      <c r="D63" s="769">
        <f t="shared" ca="1" si="9"/>
        <v>0</v>
      </c>
      <c r="E63" s="987">
        <f t="shared" ca="1" si="9"/>
        <v>0.20200000000000001</v>
      </c>
      <c r="F63" s="769">
        <f t="shared" si="9"/>
        <v>0.22699999999999995</v>
      </c>
      <c r="G63" s="769">
        <f t="shared" ca="1" si="9"/>
        <v>0.26700000000000002</v>
      </c>
      <c r="H63" s="769">
        <f t="shared" si="9"/>
        <v>0.26700000000000002</v>
      </c>
      <c r="I63" s="769">
        <f t="shared" si="9"/>
        <v>0.24900000000000003</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650.7380282943825</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650.7380282943825</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13317.368572205813</v>
      </c>
      <c r="C4" s="457">
        <f>huishoudens!C8</f>
        <v>0</v>
      </c>
      <c r="D4" s="457">
        <f>huishoudens!D8</f>
        <v>13705.268103480119</v>
      </c>
      <c r="E4" s="457">
        <f>huishoudens!E8</f>
        <v>6586.5261808463001</v>
      </c>
      <c r="F4" s="457">
        <f>huishoudens!F8</f>
        <v>19121.233978055447</v>
      </c>
      <c r="G4" s="457">
        <f>huishoudens!G8</f>
        <v>0</v>
      </c>
      <c r="H4" s="457">
        <f>huishoudens!H8</f>
        <v>0</v>
      </c>
      <c r="I4" s="457">
        <f>huishoudens!I8</f>
        <v>0</v>
      </c>
      <c r="J4" s="457">
        <f>huishoudens!J8</f>
        <v>2308.8415067456799</v>
      </c>
      <c r="K4" s="457">
        <f>huishoudens!K8</f>
        <v>0</v>
      </c>
      <c r="L4" s="457">
        <f>huishoudens!L8</f>
        <v>0</v>
      </c>
      <c r="M4" s="457">
        <f>huishoudens!M8</f>
        <v>0</v>
      </c>
      <c r="N4" s="457">
        <f>huishoudens!N8</f>
        <v>7954.8465008883704</v>
      </c>
      <c r="O4" s="457">
        <f>huishoudens!O8</f>
        <v>21.88666666666667</v>
      </c>
      <c r="P4" s="458">
        <f>huishoudens!P8</f>
        <v>76.266666666666666</v>
      </c>
      <c r="Q4" s="459">
        <f>SUM(B4:P4)</f>
        <v>63092.238175555067</v>
      </c>
    </row>
    <row r="5" spans="1:17">
      <c r="A5" s="456" t="s">
        <v>155</v>
      </c>
      <c r="B5" s="457">
        <f ca="1">tertiair!B16</f>
        <v>7059.4338274622723</v>
      </c>
      <c r="C5" s="457">
        <f ca="1">tertiair!C16</f>
        <v>0</v>
      </c>
      <c r="D5" s="457">
        <f ca="1">tertiair!D16</f>
        <v>4619.2039069567272</v>
      </c>
      <c r="E5" s="457">
        <f>tertiair!E16</f>
        <v>154.38433987883087</v>
      </c>
      <c r="F5" s="457">
        <f ca="1">tertiair!F16</f>
        <v>1280.9568519787463</v>
      </c>
      <c r="G5" s="457">
        <f>tertiair!G16</f>
        <v>0</v>
      </c>
      <c r="H5" s="457">
        <f>tertiair!H16</f>
        <v>0</v>
      </c>
      <c r="I5" s="457">
        <f>tertiair!I16</f>
        <v>0</v>
      </c>
      <c r="J5" s="457">
        <f>tertiair!J16</f>
        <v>0</v>
      </c>
      <c r="K5" s="457">
        <f>tertiair!K16</f>
        <v>0</v>
      </c>
      <c r="L5" s="457">
        <f ca="1">tertiair!L16</f>
        <v>0</v>
      </c>
      <c r="M5" s="457">
        <f>tertiair!M16</f>
        <v>0</v>
      </c>
      <c r="N5" s="457">
        <f ca="1">tertiair!N16</f>
        <v>194.3087831660859</v>
      </c>
      <c r="O5" s="457">
        <f>tertiair!O16</f>
        <v>0</v>
      </c>
      <c r="P5" s="458">
        <f>tertiair!P16</f>
        <v>19.066666666666666</v>
      </c>
      <c r="Q5" s="456">
        <f t="shared" ref="Q5:Q14" ca="1" si="0">SUM(B5:P5)</f>
        <v>13327.35437610933</v>
      </c>
    </row>
    <row r="6" spans="1:17">
      <c r="A6" s="456" t="s">
        <v>193</v>
      </c>
      <c r="B6" s="457">
        <f>'openbare verlichting'!B8</f>
        <v>709.06399999999996</v>
      </c>
      <c r="C6" s="457"/>
      <c r="D6" s="457"/>
      <c r="E6" s="457"/>
      <c r="F6" s="457"/>
      <c r="G6" s="457"/>
      <c r="H6" s="457"/>
      <c r="I6" s="457"/>
      <c r="J6" s="457"/>
      <c r="K6" s="457"/>
      <c r="L6" s="457"/>
      <c r="M6" s="457"/>
      <c r="N6" s="457"/>
      <c r="O6" s="457"/>
      <c r="P6" s="458"/>
      <c r="Q6" s="456">
        <f t="shared" si="0"/>
        <v>709.06399999999996</v>
      </c>
    </row>
    <row r="7" spans="1:17">
      <c r="A7" s="456" t="s">
        <v>111</v>
      </c>
      <c r="B7" s="457">
        <f>landbouw!B8</f>
        <v>1167.6390115915669</v>
      </c>
      <c r="C7" s="457">
        <f>landbouw!C8</f>
        <v>0</v>
      </c>
      <c r="D7" s="457">
        <f>landbouw!D8</f>
        <v>47.540685118697304</v>
      </c>
      <c r="E7" s="457">
        <f>landbouw!E8</f>
        <v>12.227768512924447</v>
      </c>
      <c r="F7" s="457">
        <f>landbouw!F8</f>
        <v>4998.3821868341402</v>
      </c>
      <c r="G7" s="457">
        <f>landbouw!G8</f>
        <v>0</v>
      </c>
      <c r="H7" s="457">
        <f>landbouw!H8</f>
        <v>0</v>
      </c>
      <c r="I7" s="457">
        <f>landbouw!I8</f>
        <v>0</v>
      </c>
      <c r="J7" s="457">
        <f>landbouw!J8</f>
        <v>104.28062946212958</v>
      </c>
      <c r="K7" s="457">
        <f>landbouw!K8</f>
        <v>0</v>
      </c>
      <c r="L7" s="457">
        <f>landbouw!L8</f>
        <v>0</v>
      </c>
      <c r="M7" s="457">
        <f>landbouw!M8</f>
        <v>0</v>
      </c>
      <c r="N7" s="457">
        <f>landbouw!N8</f>
        <v>0</v>
      </c>
      <c r="O7" s="457">
        <f>landbouw!O8</f>
        <v>0</v>
      </c>
      <c r="P7" s="458">
        <f>landbouw!P8</f>
        <v>0</v>
      </c>
      <c r="Q7" s="456">
        <f t="shared" si="0"/>
        <v>6330.0702815194581</v>
      </c>
    </row>
    <row r="8" spans="1:17">
      <c r="A8" s="456" t="s">
        <v>654</v>
      </c>
      <c r="B8" s="457">
        <f>industrie!B18</f>
        <v>32728.187801009633</v>
      </c>
      <c r="C8" s="457">
        <f>industrie!C18</f>
        <v>0</v>
      </c>
      <c r="D8" s="457">
        <f>industrie!D18</f>
        <v>9853.6044896712501</v>
      </c>
      <c r="E8" s="457">
        <f>industrie!E18</f>
        <v>303.5043011411625</v>
      </c>
      <c r="F8" s="457">
        <f>industrie!F18</f>
        <v>6976.5852531436603</v>
      </c>
      <c r="G8" s="457">
        <f>industrie!G18</f>
        <v>0</v>
      </c>
      <c r="H8" s="457">
        <f>industrie!H18</f>
        <v>0</v>
      </c>
      <c r="I8" s="457">
        <f>industrie!I18</f>
        <v>0</v>
      </c>
      <c r="J8" s="457">
        <f>industrie!J18</f>
        <v>214.18372261482224</v>
      </c>
      <c r="K8" s="457">
        <f>industrie!K18</f>
        <v>0</v>
      </c>
      <c r="L8" s="457">
        <f>industrie!L18</f>
        <v>0</v>
      </c>
      <c r="M8" s="457">
        <f>industrie!M18</f>
        <v>0</v>
      </c>
      <c r="N8" s="457">
        <f>industrie!N18</f>
        <v>628.90557912165877</v>
      </c>
      <c r="O8" s="457">
        <f>industrie!O18</f>
        <v>0</v>
      </c>
      <c r="P8" s="458">
        <f>industrie!P18</f>
        <v>0</v>
      </c>
      <c r="Q8" s="456">
        <f t="shared" si="0"/>
        <v>50704.971146702184</v>
      </c>
    </row>
    <row r="9" spans="1:17" s="462" customFormat="1">
      <c r="A9" s="460" t="s">
        <v>572</v>
      </c>
      <c r="B9" s="461">
        <f>transport!B14</f>
        <v>0.24373505566180001</v>
      </c>
      <c r="C9" s="461">
        <f>transport!C14</f>
        <v>0</v>
      </c>
      <c r="D9" s="461">
        <f>transport!D14</f>
        <v>1.3425797663708221</v>
      </c>
      <c r="E9" s="461">
        <f>transport!E14</f>
        <v>135.9538958194087</v>
      </c>
      <c r="F9" s="461">
        <f>transport!F14</f>
        <v>0</v>
      </c>
      <c r="G9" s="461">
        <f>transport!G14</f>
        <v>27599.654329489618</v>
      </c>
      <c r="H9" s="461">
        <f>transport!H14</f>
        <v>4601.7955074558886</v>
      </c>
      <c r="I9" s="461">
        <f>transport!I14</f>
        <v>0</v>
      </c>
      <c r="J9" s="461">
        <f>transport!J14</f>
        <v>0</v>
      </c>
      <c r="K9" s="461">
        <f>transport!K14</f>
        <v>0</v>
      </c>
      <c r="L9" s="461">
        <f>transport!L14</f>
        <v>0</v>
      </c>
      <c r="M9" s="461">
        <f>transport!M14</f>
        <v>1400.7683123593129</v>
      </c>
      <c r="N9" s="461">
        <f>transport!N14</f>
        <v>0</v>
      </c>
      <c r="O9" s="461">
        <f>transport!O14</f>
        <v>0</v>
      </c>
      <c r="P9" s="461">
        <f>transport!P14</f>
        <v>0</v>
      </c>
      <c r="Q9" s="460">
        <f>SUM(B9:P9)</f>
        <v>33739.75835994626</v>
      </c>
    </row>
    <row r="10" spans="1:17">
      <c r="A10" s="456" t="s">
        <v>562</v>
      </c>
      <c r="B10" s="457">
        <f>transport!B54</f>
        <v>0</v>
      </c>
      <c r="C10" s="457">
        <f>transport!C54</f>
        <v>0</v>
      </c>
      <c r="D10" s="457">
        <f>transport!D54</f>
        <v>0</v>
      </c>
      <c r="E10" s="457">
        <f>transport!E54</f>
        <v>0</v>
      </c>
      <c r="F10" s="457">
        <f>transport!F54</f>
        <v>0</v>
      </c>
      <c r="G10" s="457">
        <f>transport!G54</f>
        <v>481.91581467425669</v>
      </c>
      <c r="H10" s="457">
        <f>transport!H54</f>
        <v>0</v>
      </c>
      <c r="I10" s="457">
        <f>transport!I54</f>
        <v>0</v>
      </c>
      <c r="J10" s="457">
        <f>transport!J54</f>
        <v>0</v>
      </c>
      <c r="K10" s="457">
        <f>transport!K54</f>
        <v>0</v>
      </c>
      <c r="L10" s="457">
        <f>transport!L54</f>
        <v>0</v>
      </c>
      <c r="M10" s="457">
        <f>transport!M54</f>
        <v>20.492832421426886</v>
      </c>
      <c r="N10" s="457">
        <f>transport!N54</f>
        <v>0</v>
      </c>
      <c r="O10" s="457">
        <f>transport!O54</f>
        <v>0</v>
      </c>
      <c r="P10" s="458">
        <f>transport!P54</f>
        <v>0</v>
      </c>
      <c r="Q10" s="456">
        <f t="shared" si="0"/>
        <v>502.40864709568359</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630.95219745740098</v>
      </c>
      <c r="C14" s="464"/>
      <c r="D14" s="464">
        <f>'SEAP template'!E25</f>
        <v>720.75929800487711</v>
      </c>
      <c r="E14" s="464"/>
      <c r="F14" s="464"/>
      <c r="G14" s="464"/>
      <c r="H14" s="464"/>
      <c r="I14" s="464"/>
      <c r="J14" s="464"/>
      <c r="K14" s="464"/>
      <c r="L14" s="464"/>
      <c r="M14" s="464"/>
      <c r="N14" s="464"/>
      <c r="O14" s="464"/>
      <c r="P14" s="465"/>
      <c r="Q14" s="456">
        <f t="shared" si="0"/>
        <v>1351.711495462278</v>
      </c>
    </row>
    <row r="15" spans="1:17" s="469" customFormat="1">
      <c r="A15" s="466" t="s">
        <v>566</v>
      </c>
      <c r="B15" s="467">
        <f ca="1">SUM(B4:B14)</f>
        <v>55612.889144782348</v>
      </c>
      <c r="C15" s="467">
        <f t="shared" ref="C15:Q15" ca="1" si="1">SUM(C4:C14)</f>
        <v>0</v>
      </c>
      <c r="D15" s="467">
        <f t="shared" ca="1" si="1"/>
        <v>28947.71906299804</v>
      </c>
      <c r="E15" s="467">
        <f t="shared" si="1"/>
        <v>7192.5964861986276</v>
      </c>
      <c r="F15" s="467">
        <f t="shared" ca="1" si="1"/>
        <v>32377.158270011994</v>
      </c>
      <c r="G15" s="467">
        <f t="shared" si="1"/>
        <v>28081.570144163874</v>
      </c>
      <c r="H15" s="467">
        <f t="shared" si="1"/>
        <v>4601.7955074558886</v>
      </c>
      <c r="I15" s="467">
        <f t="shared" si="1"/>
        <v>0</v>
      </c>
      <c r="J15" s="467">
        <f t="shared" si="1"/>
        <v>2627.3058588226318</v>
      </c>
      <c r="K15" s="467">
        <f t="shared" si="1"/>
        <v>0</v>
      </c>
      <c r="L15" s="467">
        <f t="shared" ca="1" si="1"/>
        <v>0</v>
      </c>
      <c r="M15" s="467">
        <f t="shared" si="1"/>
        <v>1421.2611447807396</v>
      </c>
      <c r="N15" s="467">
        <f t="shared" ca="1" si="1"/>
        <v>8778.0608631761152</v>
      </c>
      <c r="O15" s="467">
        <f t="shared" si="1"/>
        <v>21.88666666666667</v>
      </c>
      <c r="P15" s="467">
        <f t="shared" si="1"/>
        <v>95.333333333333329</v>
      </c>
      <c r="Q15" s="467">
        <f t="shared" ca="1" si="1"/>
        <v>169757.57648239026</v>
      </c>
    </row>
    <row r="17" spans="1:17">
      <c r="A17" s="470" t="s">
        <v>567</v>
      </c>
      <c r="B17" s="774">
        <f ca="1">huishoudens!B10</f>
        <v>0.21841403285345137</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2908.700176851281</v>
      </c>
      <c r="C22" s="457">
        <f t="shared" ref="C22:C32" ca="1" si="3">C4*$C$17</f>
        <v>0</v>
      </c>
      <c r="D22" s="457">
        <f t="shared" ref="D22:D32" si="4">D4*$D$17</f>
        <v>2768.4641569029841</v>
      </c>
      <c r="E22" s="457">
        <f t="shared" ref="E22:E32" si="5">E4*$E$17</f>
        <v>1495.1414430521102</v>
      </c>
      <c r="F22" s="457">
        <f t="shared" ref="F22:F32" si="6">F4*$F$17</f>
        <v>5105.3694721408046</v>
      </c>
      <c r="G22" s="457">
        <f t="shared" ref="G22:G32" si="7">G4*$G$17</f>
        <v>0</v>
      </c>
      <c r="H22" s="457">
        <f t="shared" ref="H22:H32" si="8">H4*$H$17</f>
        <v>0</v>
      </c>
      <c r="I22" s="457">
        <f t="shared" ref="I22:I32" si="9">I4*$I$17</f>
        <v>0</v>
      </c>
      <c r="J22" s="457">
        <f t="shared" ref="J22:J32" si="10">J4*$J$17</f>
        <v>817.32989338797063</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13095.005142335151</v>
      </c>
    </row>
    <row r="23" spans="1:17">
      <c r="A23" s="456" t="s">
        <v>155</v>
      </c>
      <c r="B23" s="457">
        <f t="shared" ca="1" si="2"/>
        <v>1541.8794119181107</v>
      </c>
      <c r="C23" s="457">
        <f t="shared" ca="1" si="3"/>
        <v>0</v>
      </c>
      <c r="D23" s="457">
        <f t="shared" ca="1" si="4"/>
        <v>933.07918920525901</v>
      </c>
      <c r="E23" s="457">
        <f t="shared" si="5"/>
        <v>35.045245152494608</v>
      </c>
      <c r="F23" s="457">
        <f t="shared" ca="1" si="6"/>
        <v>342.01547947832529</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2852.0193257541896</v>
      </c>
    </row>
    <row r="24" spans="1:17">
      <c r="A24" s="456" t="s">
        <v>193</v>
      </c>
      <c r="B24" s="457">
        <f t="shared" ca="1" si="2"/>
        <v>154.86952779119963</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154.86952779119963</v>
      </c>
    </row>
    <row r="25" spans="1:17">
      <c r="A25" s="456" t="s">
        <v>111</v>
      </c>
      <c r="B25" s="457">
        <f t="shared" ca="1" si="2"/>
        <v>255.02874543873199</v>
      </c>
      <c r="C25" s="457">
        <f t="shared" ca="1" si="3"/>
        <v>0</v>
      </c>
      <c r="D25" s="457">
        <f t="shared" si="4"/>
        <v>9.6032183939768565</v>
      </c>
      <c r="E25" s="457">
        <f t="shared" si="5"/>
        <v>2.7757034524338495</v>
      </c>
      <c r="F25" s="457">
        <f t="shared" si="6"/>
        <v>1334.5680438847155</v>
      </c>
      <c r="G25" s="457">
        <f t="shared" si="7"/>
        <v>0</v>
      </c>
      <c r="H25" s="457">
        <f t="shared" si="8"/>
        <v>0</v>
      </c>
      <c r="I25" s="457">
        <f t="shared" si="9"/>
        <v>0</v>
      </c>
      <c r="J25" s="457">
        <f t="shared" si="10"/>
        <v>36.915342829593868</v>
      </c>
      <c r="K25" s="457">
        <f t="shared" si="11"/>
        <v>0</v>
      </c>
      <c r="L25" s="457">
        <f t="shared" si="12"/>
        <v>0</v>
      </c>
      <c r="M25" s="457">
        <f t="shared" si="13"/>
        <v>0</v>
      </c>
      <c r="N25" s="457">
        <f t="shared" si="14"/>
        <v>0</v>
      </c>
      <c r="O25" s="457">
        <f t="shared" si="15"/>
        <v>0</v>
      </c>
      <c r="P25" s="458">
        <f t="shared" si="16"/>
        <v>0</v>
      </c>
      <c r="Q25" s="456">
        <f t="shared" ca="1" si="17"/>
        <v>1638.891053999452</v>
      </c>
    </row>
    <row r="26" spans="1:17">
      <c r="A26" s="456" t="s">
        <v>654</v>
      </c>
      <c r="B26" s="457">
        <f t="shared" ca="1" si="2"/>
        <v>7148.2954856036449</v>
      </c>
      <c r="C26" s="457">
        <f t="shared" ca="1" si="3"/>
        <v>0</v>
      </c>
      <c r="D26" s="457">
        <f t="shared" si="4"/>
        <v>1990.4281069135927</v>
      </c>
      <c r="E26" s="457">
        <f t="shared" si="5"/>
        <v>68.895476359043883</v>
      </c>
      <c r="F26" s="457">
        <f t="shared" si="6"/>
        <v>1862.7482625893574</v>
      </c>
      <c r="G26" s="457">
        <f t="shared" si="7"/>
        <v>0</v>
      </c>
      <c r="H26" s="457">
        <f t="shared" si="8"/>
        <v>0</v>
      </c>
      <c r="I26" s="457">
        <f t="shared" si="9"/>
        <v>0</v>
      </c>
      <c r="J26" s="457">
        <f t="shared" si="10"/>
        <v>75.821037805647066</v>
      </c>
      <c r="K26" s="457">
        <f t="shared" si="11"/>
        <v>0</v>
      </c>
      <c r="L26" s="457">
        <f t="shared" si="12"/>
        <v>0</v>
      </c>
      <c r="M26" s="457">
        <f t="shared" si="13"/>
        <v>0</v>
      </c>
      <c r="N26" s="457">
        <f t="shared" si="14"/>
        <v>0</v>
      </c>
      <c r="O26" s="457">
        <f t="shared" si="15"/>
        <v>0</v>
      </c>
      <c r="P26" s="458">
        <f t="shared" si="16"/>
        <v>0</v>
      </c>
      <c r="Q26" s="456">
        <f t="shared" ca="1" si="17"/>
        <v>11146.188369271285</v>
      </c>
    </row>
    <row r="27" spans="1:17" s="462" customFormat="1">
      <c r="A27" s="460" t="s">
        <v>572</v>
      </c>
      <c r="B27" s="768">
        <f t="shared" ca="1" si="2"/>
        <v>5.3235156454854188E-2</v>
      </c>
      <c r="C27" s="461">
        <f t="shared" ca="1" si="3"/>
        <v>0</v>
      </c>
      <c r="D27" s="461">
        <f t="shared" si="4"/>
        <v>0.27120111280690606</v>
      </c>
      <c r="E27" s="461">
        <f t="shared" si="5"/>
        <v>30.861534351005776</v>
      </c>
      <c r="F27" s="461">
        <f t="shared" si="6"/>
        <v>0</v>
      </c>
      <c r="G27" s="461">
        <f t="shared" si="7"/>
        <v>7369.1077059737281</v>
      </c>
      <c r="H27" s="461">
        <f t="shared" si="8"/>
        <v>1145.8470813565164</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8546.1407579505121</v>
      </c>
    </row>
    <row r="28" spans="1:17">
      <c r="A28" s="456" t="s">
        <v>562</v>
      </c>
      <c r="B28" s="457">
        <f t="shared" ca="1" si="2"/>
        <v>0</v>
      </c>
      <c r="C28" s="457">
        <f t="shared" ca="1" si="3"/>
        <v>0</v>
      </c>
      <c r="D28" s="457">
        <f t="shared" si="4"/>
        <v>0</v>
      </c>
      <c r="E28" s="457">
        <f t="shared" si="5"/>
        <v>0</v>
      </c>
      <c r="F28" s="457">
        <f t="shared" si="6"/>
        <v>0</v>
      </c>
      <c r="G28" s="457">
        <f t="shared" si="7"/>
        <v>128.67152251802653</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128.67152251802653</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137.80881398441812</v>
      </c>
      <c r="C32" s="457">
        <f t="shared" ca="1" si="3"/>
        <v>0</v>
      </c>
      <c r="D32" s="457">
        <f t="shared" si="4"/>
        <v>145.59337819698519</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283.40219218140328</v>
      </c>
    </row>
    <row r="33" spans="1:17" s="469" customFormat="1">
      <c r="A33" s="466" t="s">
        <v>566</v>
      </c>
      <c r="B33" s="467">
        <f ca="1">SUM(B22:B32)</f>
        <v>12146.635396743841</v>
      </c>
      <c r="C33" s="467">
        <f t="shared" ref="C33:Q33" ca="1" si="19">SUM(C22:C32)</f>
        <v>0</v>
      </c>
      <c r="D33" s="467">
        <f t="shared" ca="1" si="19"/>
        <v>5847.4392507256043</v>
      </c>
      <c r="E33" s="467">
        <f t="shared" si="19"/>
        <v>1632.7194023670882</v>
      </c>
      <c r="F33" s="467">
        <f t="shared" ca="1" si="19"/>
        <v>8644.7012580932042</v>
      </c>
      <c r="G33" s="467">
        <f t="shared" si="19"/>
        <v>7497.779228491755</v>
      </c>
      <c r="H33" s="467">
        <f t="shared" si="19"/>
        <v>1145.8470813565164</v>
      </c>
      <c r="I33" s="467">
        <f t="shared" si="19"/>
        <v>0</v>
      </c>
      <c r="J33" s="467">
        <f t="shared" si="19"/>
        <v>930.06627402321158</v>
      </c>
      <c r="K33" s="467">
        <f t="shared" si="19"/>
        <v>0</v>
      </c>
      <c r="L33" s="467">
        <f t="shared" ca="1" si="19"/>
        <v>0</v>
      </c>
      <c r="M33" s="467">
        <f t="shared" si="19"/>
        <v>0</v>
      </c>
      <c r="N33" s="467">
        <f t="shared" ca="1" si="19"/>
        <v>0</v>
      </c>
      <c r="O33" s="467">
        <f t="shared" si="19"/>
        <v>0</v>
      </c>
      <c r="P33" s="467">
        <f t="shared" si="19"/>
        <v>0</v>
      </c>
      <c r="Q33" s="467">
        <f t="shared" ca="1" si="19"/>
        <v>37845.187891801215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650.7380282943825</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650.7380282943825</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0.21841403285345137</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0.21841403285345137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0.21841403285345137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0.21841403285345137</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2614</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1791</v>
      </c>
      <c r="C14" s="331"/>
      <c r="D14" s="331"/>
      <c r="E14" s="331"/>
      <c r="F14" s="331"/>
    </row>
    <row r="15" spans="1:6">
      <c r="A15" s="1290" t="s">
        <v>183</v>
      </c>
      <c r="B15" s="1291">
        <v>15</v>
      </c>
      <c r="C15" s="331"/>
      <c r="D15" s="331"/>
      <c r="E15" s="331"/>
      <c r="F15" s="331"/>
    </row>
    <row r="16" spans="1:6">
      <c r="A16" s="1290" t="s">
        <v>6</v>
      </c>
      <c r="B16" s="1291">
        <v>460</v>
      </c>
      <c r="C16" s="331"/>
      <c r="D16" s="331"/>
      <c r="E16" s="331"/>
      <c r="F16" s="331"/>
    </row>
    <row r="17" spans="1:6">
      <c r="A17" s="1290" t="s">
        <v>7</v>
      </c>
      <c r="B17" s="1291">
        <v>462</v>
      </c>
      <c r="C17" s="331"/>
      <c r="D17" s="331"/>
      <c r="E17" s="331"/>
      <c r="F17" s="331"/>
    </row>
    <row r="18" spans="1:6">
      <c r="A18" s="1290" t="s">
        <v>8</v>
      </c>
      <c r="B18" s="1291">
        <v>587</v>
      </c>
      <c r="C18" s="331"/>
      <c r="D18" s="331"/>
      <c r="E18" s="331"/>
      <c r="F18" s="331"/>
    </row>
    <row r="19" spans="1:6">
      <c r="A19" s="1290" t="s">
        <v>9</v>
      </c>
      <c r="B19" s="1291">
        <v>575</v>
      </c>
      <c r="C19" s="331"/>
      <c r="D19" s="331"/>
      <c r="E19" s="331"/>
      <c r="F19" s="331"/>
    </row>
    <row r="20" spans="1:6">
      <c r="A20" s="1290" t="s">
        <v>10</v>
      </c>
      <c r="B20" s="1291">
        <v>464</v>
      </c>
      <c r="C20" s="331"/>
      <c r="D20" s="331"/>
      <c r="E20" s="331"/>
      <c r="F20" s="331"/>
    </row>
    <row r="21" spans="1:6">
      <c r="A21" s="1290" t="s">
        <v>11</v>
      </c>
      <c r="B21" s="1291">
        <v>2361</v>
      </c>
      <c r="C21" s="331"/>
      <c r="D21" s="331"/>
      <c r="E21" s="331"/>
      <c r="F21" s="331"/>
    </row>
    <row r="22" spans="1:6">
      <c r="A22" s="1290" t="s">
        <v>12</v>
      </c>
      <c r="B22" s="1291">
        <v>6613</v>
      </c>
      <c r="C22" s="331"/>
      <c r="D22" s="331"/>
      <c r="E22" s="331"/>
      <c r="F22" s="331"/>
    </row>
    <row r="23" spans="1:6">
      <c r="A23" s="1290" t="s">
        <v>13</v>
      </c>
      <c r="B23" s="1291">
        <v>162</v>
      </c>
      <c r="C23" s="331"/>
      <c r="D23" s="331"/>
      <c r="E23" s="331"/>
      <c r="F23" s="331"/>
    </row>
    <row r="24" spans="1:6">
      <c r="A24" s="1290" t="s">
        <v>14</v>
      </c>
      <c r="B24" s="1291">
        <v>5</v>
      </c>
      <c r="C24" s="331"/>
      <c r="D24" s="331"/>
      <c r="E24" s="331"/>
      <c r="F24" s="331"/>
    </row>
    <row r="25" spans="1:6">
      <c r="A25" s="1290" t="s">
        <v>15</v>
      </c>
      <c r="B25" s="1291">
        <v>682</v>
      </c>
      <c r="C25" s="331"/>
      <c r="D25" s="331"/>
      <c r="E25" s="331"/>
      <c r="F25" s="331"/>
    </row>
    <row r="26" spans="1:6">
      <c r="A26" s="1290" t="s">
        <v>16</v>
      </c>
      <c r="B26" s="1291">
        <v>362</v>
      </c>
      <c r="C26" s="331"/>
      <c r="D26" s="331"/>
      <c r="E26" s="331"/>
      <c r="F26" s="331"/>
    </row>
    <row r="27" spans="1:6">
      <c r="A27" s="1290" t="s">
        <v>17</v>
      </c>
      <c r="B27" s="1291">
        <v>6</v>
      </c>
      <c r="C27" s="331"/>
      <c r="D27" s="331"/>
      <c r="E27" s="331"/>
      <c r="F27" s="331"/>
    </row>
    <row r="28" spans="1:6" s="43" customFormat="1">
      <c r="A28" s="1292" t="s">
        <v>18</v>
      </c>
      <c r="B28" s="1293">
        <v>34372</v>
      </c>
      <c r="C28" s="337"/>
      <c r="D28" s="337"/>
      <c r="E28" s="337"/>
      <c r="F28" s="337"/>
    </row>
    <row r="29" spans="1:6">
      <c r="A29" s="1292" t="s">
        <v>966</v>
      </c>
      <c r="B29" s="1293">
        <v>25</v>
      </c>
      <c r="C29" s="337"/>
      <c r="D29" s="337"/>
      <c r="E29" s="337"/>
      <c r="F29" s="337"/>
    </row>
    <row r="30" spans="1:6">
      <c r="A30" s="1285" t="s">
        <v>967</v>
      </c>
      <c r="B30" s="1294">
        <v>6</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1</v>
      </c>
      <c r="D38" s="1291">
        <v>0</v>
      </c>
      <c r="E38" s="1291">
        <v>3</v>
      </c>
      <c r="F38" s="1291">
        <v>16876.901553646399</v>
      </c>
    </row>
    <row r="39" spans="1:6">
      <c r="A39" s="1290" t="s">
        <v>29</v>
      </c>
      <c r="B39" s="1290" t="s">
        <v>30</v>
      </c>
      <c r="C39" s="1291">
        <v>964</v>
      </c>
      <c r="D39" s="1291">
        <v>15194310.536009001</v>
      </c>
      <c r="E39" s="1291">
        <v>2528</v>
      </c>
      <c r="F39" s="1291">
        <v>12843925.839133499</v>
      </c>
    </row>
    <row r="40" spans="1:6">
      <c r="A40" s="1290" t="s">
        <v>29</v>
      </c>
      <c r="B40" s="1290" t="s">
        <v>28</v>
      </c>
      <c r="C40" s="1291">
        <v>0</v>
      </c>
      <c r="D40" s="1291">
        <v>0</v>
      </c>
      <c r="E40" s="1291">
        <v>1</v>
      </c>
      <c r="F40" s="1291">
        <v>3110.8297371775998</v>
      </c>
    </row>
    <row r="41" spans="1:6">
      <c r="A41" s="1290" t="s">
        <v>31</v>
      </c>
      <c r="B41" s="1290" t="s">
        <v>32</v>
      </c>
      <c r="C41" s="1291">
        <v>0</v>
      </c>
      <c r="D41" s="1291">
        <v>0</v>
      </c>
      <c r="E41" s="1291">
        <v>46</v>
      </c>
      <c r="F41" s="1291">
        <v>755561.05910725996</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0</v>
      </c>
      <c r="F44" s="1291">
        <v>0</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6</v>
      </c>
      <c r="F47" s="1291">
        <v>103508.812903874</v>
      </c>
    </row>
    <row r="48" spans="1:6">
      <c r="A48" s="1290" t="s">
        <v>31</v>
      </c>
      <c r="B48" s="1290" t="s">
        <v>28</v>
      </c>
      <c r="C48" s="1291">
        <v>16</v>
      </c>
      <c r="D48" s="1291">
        <v>10924173.491875</v>
      </c>
      <c r="E48" s="1291">
        <v>29</v>
      </c>
      <c r="F48" s="1291">
        <v>31689204.751448601</v>
      </c>
    </row>
    <row r="49" spans="1:6">
      <c r="A49" s="1290" t="s">
        <v>31</v>
      </c>
      <c r="B49" s="1290" t="s">
        <v>39</v>
      </c>
      <c r="C49" s="1291">
        <v>0</v>
      </c>
      <c r="D49" s="1291">
        <v>0</v>
      </c>
      <c r="E49" s="1291">
        <v>0</v>
      </c>
      <c r="F49" s="1291">
        <v>0</v>
      </c>
    </row>
    <row r="50" spans="1:6">
      <c r="A50" s="1290" t="s">
        <v>31</v>
      </c>
      <c r="B50" s="1290" t="s">
        <v>40</v>
      </c>
      <c r="C50" s="1291">
        <v>0</v>
      </c>
      <c r="D50" s="1291">
        <v>0</v>
      </c>
      <c r="E50" s="1291">
        <v>8</v>
      </c>
      <c r="F50" s="1291">
        <v>179913.17754989801</v>
      </c>
    </row>
    <row r="51" spans="1:6">
      <c r="A51" s="1290" t="s">
        <v>41</v>
      </c>
      <c r="B51" s="1290" t="s">
        <v>42</v>
      </c>
      <c r="C51" s="1291">
        <v>0</v>
      </c>
      <c r="D51" s="1291">
        <v>0</v>
      </c>
      <c r="E51" s="1291">
        <v>47</v>
      </c>
      <c r="F51" s="1291">
        <v>634067.97436989599</v>
      </c>
    </row>
    <row r="52" spans="1:6">
      <c r="A52" s="1290" t="s">
        <v>41</v>
      </c>
      <c r="B52" s="1290" t="s">
        <v>28</v>
      </c>
      <c r="C52" s="1291">
        <v>3</v>
      </c>
      <c r="D52" s="1291">
        <v>52705.859333367298</v>
      </c>
      <c r="E52" s="1291">
        <v>12</v>
      </c>
      <c r="F52" s="1291">
        <v>533571.03722167097</v>
      </c>
    </row>
    <row r="53" spans="1:6">
      <c r="A53" s="1290" t="s">
        <v>43</v>
      </c>
      <c r="B53" s="1290" t="s">
        <v>44</v>
      </c>
      <c r="C53" s="1291">
        <v>40</v>
      </c>
      <c r="D53" s="1291">
        <v>720759.29800487706</v>
      </c>
      <c r="E53" s="1291">
        <v>109</v>
      </c>
      <c r="F53" s="1291">
        <v>630952.19745740097</v>
      </c>
    </row>
    <row r="54" spans="1:6">
      <c r="A54" s="1290" t="s">
        <v>45</v>
      </c>
      <c r="B54" s="1290" t="s">
        <v>46</v>
      </c>
      <c r="C54" s="1291">
        <v>0</v>
      </c>
      <c r="D54" s="1291">
        <v>0</v>
      </c>
      <c r="E54" s="1291">
        <v>1</v>
      </c>
      <c r="F54" s="1291">
        <v>709064</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5</v>
      </c>
      <c r="D57" s="1291">
        <v>74200.965028500897</v>
      </c>
      <c r="E57" s="1291">
        <v>19</v>
      </c>
      <c r="F57" s="1291">
        <v>439813.21432940598</v>
      </c>
    </row>
    <row r="58" spans="1:6">
      <c r="A58" s="1290" t="s">
        <v>48</v>
      </c>
      <c r="B58" s="1290" t="s">
        <v>50</v>
      </c>
      <c r="C58" s="1291">
        <v>0</v>
      </c>
      <c r="D58" s="1291">
        <v>0</v>
      </c>
      <c r="E58" s="1291">
        <v>3</v>
      </c>
      <c r="F58" s="1291">
        <v>12747.818917001599</v>
      </c>
    </row>
    <row r="59" spans="1:6">
      <c r="A59" s="1290" t="s">
        <v>48</v>
      </c>
      <c r="B59" s="1290" t="s">
        <v>51</v>
      </c>
      <c r="C59" s="1291">
        <v>6</v>
      </c>
      <c r="D59" s="1291">
        <v>167782.74818445399</v>
      </c>
      <c r="E59" s="1291">
        <v>45</v>
      </c>
      <c r="F59" s="1291">
        <v>1763116.0571759299</v>
      </c>
    </row>
    <row r="60" spans="1:6">
      <c r="A60" s="1290" t="s">
        <v>48</v>
      </c>
      <c r="B60" s="1290" t="s">
        <v>52</v>
      </c>
      <c r="C60" s="1291">
        <v>6</v>
      </c>
      <c r="D60" s="1291">
        <v>137440.31434319101</v>
      </c>
      <c r="E60" s="1291">
        <v>33</v>
      </c>
      <c r="F60" s="1291">
        <v>589914.55540834798</v>
      </c>
    </row>
    <row r="61" spans="1:6">
      <c r="A61" s="1290" t="s">
        <v>48</v>
      </c>
      <c r="B61" s="1290" t="s">
        <v>53</v>
      </c>
      <c r="C61" s="1291">
        <v>16</v>
      </c>
      <c r="D61" s="1291">
        <v>982113.74870588398</v>
      </c>
      <c r="E61" s="1291">
        <v>98</v>
      </c>
      <c r="F61" s="1291">
        <v>1365669.9278422301</v>
      </c>
    </row>
    <row r="62" spans="1:6">
      <c r="A62" s="1290" t="s">
        <v>48</v>
      </c>
      <c r="B62" s="1290" t="s">
        <v>54</v>
      </c>
      <c r="C62" s="1291">
        <v>0</v>
      </c>
      <c r="D62" s="1291">
        <v>0</v>
      </c>
      <c r="E62" s="1291">
        <v>4</v>
      </c>
      <c r="F62" s="1291">
        <v>18339.125017837199</v>
      </c>
    </row>
    <row r="63" spans="1:6">
      <c r="A63" s="1290" t="s">
        <v>48</v>
      </c>
      <c r="B63" s="1290" t="s">
        <v>28</v>
      </c>
      <c r="C63" s="1291">
        <v>56</v>
      </c>
      <c r="D63" s="1291">
        <v>3759530.85672769</v>
      </c>
      <c r="E63" s="1291">
        <v>94</v>
      </c>
      <c r="F63" s="1291">
        <v>2869833.1287715202</v>
      </c>
    </row>
    <row r="64" spans="1:6">
      <c r="A64" s="1290" t="s">
        <v>55</v>
      </c>
      <c r="B64" s="1290" t="s">
        <v>56</v>
      </c>
      <c r="C64" s="1291">
        <v>0</v>
      </c>
      <c r="D64" s="1291">
        <v>0</v>
      </c>
      <c r="E64" s="1291">
        <v>0</v>
      </c>
      <c r="F64" s="1291">
        <v>0</v>
      </c>
    </row>
    <row r="65" spans="1:6">
      <c r="A65" s="1290" t="s">
        <v>55</v>
      </c>
      <c r="B65" s="1290" t="s">
        <v>28</v>
      </c>
      <c r="C65" s="1291">
        <v>0</v>
      </c>
      <c r="D65" s="1291">
        <v>0</v>
      </c>
      <c r="E65" s="1291">
        <v>1</v>
      </c>
      <c r="F65" s="1291">
        <v>29676.184032820001</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4</v>
      </c>
      <c r="F68" s="1294">
        <v>31322.472437354802</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26688001</v>
      </c>
      <c r="E73" s="455"/>
      <c r="F73" s="331"/>
    </row>
    <row r="74" spans="1:6">
      <c r="A74" s="1290" t="s">
        <v>63</v>
      </c>
      <c r="B74" s="1290" t="s">
        <v>773</v>
      </c>
      <c r="C74" s="1304" t="s">
        <v>774</v>
      </c>
      <c r="D74" s="1305">
        <v>3170146.1417076318</v>
      </c>
      <c r="E74" s="455"/>
      <c r="F74" s="331"/>
    </row>
    <row r="75" spans="1:6">
      <c r="A75" s="1290" t="s">
        <v>64</v>
      </c>
      <c r="B75" s="1290" t="s">
        <v>771</v>
      </c>
      <c r="C75" s="1304" t="s">
        <v>775</v>
      </c>
      <c r="D75" s="1305">
        <v>8114575</v>
      </c>
      <c r="E75" s="455"/>
      <c r="F75" s="331"/>
    </row>
    <row r="76" spans="1:6">
      <c r="A76" s="1290" t="s">
        <v>64</v>
      </c>
      <c r="B76" s="1290" t="s">
        <v>773</v>
      </c>
      <c r="C76" s="1304" t="s">
        <v>776</v>
      </c>
      <c r="D76" s="1305">
        <v>321529.14170763188</v>
      </c>
      <c r="E76" s="455"/>
      <c r="F76" s="331"/>
    </row>
    <row r="77" spans="1:6">
      <c r="A77" s="1290" t="s">
        <v>65</v>
      </c>
      <c r="B77" s="1290" t="s">
        <v>771</v>
      </c>
      <c r="C77" s="1304" t="s">
        <v>777</v>
      </c>
      <c r="D77" s="1305">
        <v>0</v>
      </c>
      <c r="E77" s="455"/>
      <c r="F77" s="331"/>
    </row>
    <row r="78" spans="1:6">
      <c r="A78" s="1285" t="s">
        <v>65</v>
      </c>
      <c r="B78" s="1285" t="s">
        <v>773</v>
      </c>
      <c r="C78" s="1285" t="s">
        <v>778</v>
      </c>
      <c r="D78" s="1306">
        <v>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131509.71658473628</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470.33190333513545</v>
      </c>
      <c r="C91" s="331"/>
      <c r="D91" s="331"/>
      <c r="E91" s="331"/>
      <c r="F91" s="331"/>
    </row>
    <row r="92" spans="1:6">
      <c r="A92" s="1285" t="s">
        <v>68</v>
      </c>
      <c r="B92" s="1286">
        <v>180.40612495924702</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344</v>
      </c>
      <c r="C97" s="331"/>
      <c r="D97" s="331"/>
      <c r="E97" s="331"/>
      <c r="F97" s="331"/>
    </row>
    <row r="98" spans="1:6">
      <c r="A98" s="1290" t="s">
        <v>71</v>
      </c>
      <c r="B98" s="1291">
        <v>1</v>
      </c>
      <c r="C98" s="331"/>
      <c r="D98" s="331"/>
      <c r="E98" s="331"/>
      <c r="F98" s="331"/>
    </row>
    <row r="99" spans="1:6">
      <c r="A99" s="1290" t="s">
        <v>72</v>
      </c>
      <c r="B99" s="1291">
        <v>53</v>
      </c>
      <c r="C99" s="331"/>
      <c r="D99" s="331"/>
      <c r="E99" s="331"/>
      <c r="F99" s="331"/>
    </row>
    <row r="100" spans="1:6">
      <c r="A100" s="1290" t="s">
        <v>73</v>
      </c>
      <c r="B100" s="1291">
        <v>270</v>
      </c>
      <c r="C100" s="331"/>
      <c r="D100" s="331"/>
      <c r="E100" s="331"/>
      <c r="F100" s="331"/>
    </row>
    <row r="101" spans="1:6">
      <c r="A101" s="1290" t="s">
        <v>74</v>
      </c>
      <c r="B101" s="1291">
        <v>72</v>
      </c>
      <c r="C101" s="331"/>
      <c r="D101" s="331"/>
      <c r="E101" s="331"/>
      <c r="F101" s="331"/>
    </row>
    <row r="102" spans="1:6">
      <c r="A102" s="1290" t="s">
        <v>75</v>
      </c>
      <c r="B102" s="1291">
        <v>42</v>
      </c>
      <c r="C102" s="331"/>
      <c r="D102" s="331"/>
      <c r="E102" s="331"/>
      <c r="F102" s="331"/>
    </row>
    <row r="103" spans="1:6">
      <c r="A103" s="1290" t="s">
        <v>76</v>
      </c>
      <c r="B103" s="1291">
        <v>142</v>
      </c>
      <c r="C103" s="331"/>
      <c r="D103" s="331"/>
      <c r="E103" s="331"/>
      <c r="F103" s="331"/>
    </row>
    <row r="104" spans="1:6">
      <c r="A104" s="1290" t="s">
        <v>77</v>
      </c>
      <c r="B104" s="1291">
        <v>1403</v>
      </c>
      <c r="C104" s="331"/>
      <c r="D104" s="331"/>
      <c r="E104" s="331"/>
      <c r="F104" s="331"/>
    </row>
    <row r="105" spans="1:6">
      <c r="A105" s="1285" t="s">
        <v>78</v>
      </c>
      <c r="B105" s="1294">
        <v>2</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1</v>
      </c>
      <c r="C123" s="1291">
        <v>2</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12</v>
      </c>
      <c r="C129" s="331"/>
      <c r="D129" s="331"/>
      <c r="E129" s="331"/>
      <c r="F129" s="331"/>
    </row>
    <row r="130" spans="1:6">
      <c r="A130" s="1290" t="s">
        <v>294</v>
      </c>
      <c r="B130" s="1291">
        <v>0</v>
      </c>
      <c r="C130" s="331"/>
      <c r="D130" s="331"/>
      <c r="E130" s="331"/>
      <c r="F130" s="331"/>
    </row>
    <row r="131" spans="1:6">
      <c r="A131" s="1290" t="s">
        <v>295</v>
      </c>
      <c r="B131" s="1291">
        <v>1</v>
      </c>
      <c r="C131" s="331"/>
      <c r="D131" s="331"/>
      <c r="E131" s="331"/>
      <c r="F131" s="331"/>
    </row>
    <row r="132" spans="1:6">
      <c r="A132" s="1285" t="s">
        <v>296</v>
      </c>
      <c r="B132" s="1286">
        <v>3</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55612.889144782348</v>
      </c>
      <c r="C3" s="43" t="s">
        <v>169</v>
      </c>
      <c r="D3" s="43"/>
      <c r="E3" s="156"/>
      <c r="F3" s="43"/>
      <c r="G3" s="43"/>
      <c r="H3" s="43"/>
      <c r="I3" s="43"/>
      <c r="J3" s="43"/>
      <c r="K3" s="96"/>
    </row>
    <row r="4" spans="1:11">
      <c r="A4" s="362" t="s">
        <v>170</v>
      </c>
      <c r="B4" s="49">
        <f>IF(ISERROR('SEAP template'!B78+'SEAP template'!C78),0,'SEAP template'!B78+'SEAP template'!C78)</f>
        <v>650.7380282943825</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0.21841403285345137</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709.06399999999996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709.06399999999996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0.21841403285345137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154.86952779119963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12847.036668870676</v>
      </c>
      <c r="C5" s="17">
        <f>IF(ISERROR('Eigen informatie GS &amp; warmtenet'!B57),0,'Eigen informatie GS &amp; warmtenet'!B57)</f>
        <v>0</v>
      </c>
      <c r="D5" s="30">
        <f>(SUM(HH_hh_gas_kWh,HH_rest_gas_kWh)/1000)*0.902</f>
        <v>13705.268103480119</v>
      </c>
      <c r="E5" s="17">
        <f>B46*B57</f>
        <v>6586.5261808463001</v>
      </c>
      <c r="F5" s="17">
        <f>B51*B62</f>
        <v>19121.233978055447</v>
      </c>
      <c r="G5" s="18"/>
      <c r="H5" s="17"/>
      <c r="I5" s="17"/>
      <c r="J5" s="17">
        <f>B50*B61+C50*C61</f>
        <v>2308.8415067456799</v>
      </c>
      <c r="K5" s="17"/>
      <c r="L5" s="17"/>
      <c r="M5" s="17"/>
      <c r="N5" s="17">
        <f>B48*B59+C48*C59</f>
        <v>7954.8465008883704</v>
      </c>
      <c r="O5" s="17">
        <f>B69*B70*B71</f>
        <v>21.88666666666667</v>
      </c>
      <c r="P5" s="17">
        <f>B77*B78*B79/1000-B77*B78*B79/1000/B80</f>
        <v>76.266666666666666</v>
      </c>
    </row>
    <row r="6" spans="1:16">
      <c r="A6" s="16" t="s">
        <v>631</v>
      </c>
      <c r="B6" s="776">
        <f>kWh_PV_kleiner_dan_10kW</f>
        <v>470.33190333513545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13317.368572205813</v>
      </c>
      <c r="C8" s="21">
        <f>C5</f>
        <v>0</v>
      </c>
      <c r="D8" s="21">
        <f>D5</f>
        <v>13705.268103480119</v>
      </c>
      <c r="E8" s="21">
        <f>E5</f>
        <v>6586.5261808463001</v>
      </c>
      <c r="F8" s="21">
        <f>F5</f>
        <v>19121.233978055447</v>
      </c>
      <c r="G8" s="21"/>
      <c r="H8" s="21"/>
      <c r="I8" s="21"/>
      <c r="J8" s="21">
        <f>J5</f>
        <v>2308.8415067456799</v>
      </c>
      <c r="K8" s="21"/>
      <c r="L8" s="21">
        <f>L5</f>
        <v>0</v>
      </c>
      <c r="M8" s="21">
        <f>M5</f>
        <v>0</v>
      </c>
      <c r="N8" s="21">
        <f>N5</f>
        <v>7954.8465008883704</v>
      </c>
      <c r="O8" s="21">
        <f>O5</f>
        <v>21.88666666666667</v>
      </c>
      <c r="P8" s="21">
        <f>P5</f>
        <v>76.266666666666666</v>
      </c>
    </row>
    <row r="9" spans="1:16">
      <c r="B9" s="19"/>
      <c r="C9" s="19"/>
      <c r="D9" s="260"/>
      <c r="E9" s="19"/>
      <c r="F9" s="19"/>
      <c r="G9" s="19"/>
      <c r="H9" s="19"/>
      <c r="I9" s="19"/>
      <c r="J9" s="19"/>
      <c r="K9" s="19"/>
      <c r="L9" s="19"/>
      <c r="M9" s="19"/>
      <c r="N9" s="19"/>
      <c r="O9" s="19"/>
      <c r="P9" s="19"/>
    </row>
    <row r="10" spans="1:16">
      <c r="A10" s="24" t="s">
        <v>213</v>
      </c>
      <c r="B10" s="25">
        <f ca="1">'EF ele_warmte'!B12</f>
        <v>0.21841403285345137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2908.700176851281</v>
      </c>
      <c r="C12" s="23">
        <f ca="1">C10*C8</f>
        <v>0</v>
      </c>
      <c r="D12" s="23">
        <f>D8*D10</f>
        <v>2768.4641569029841</v>
      </c>
      <c r="E12" s="23">
        <f>E10*E8</f>
        <v>1495.1414430521102</v>
      </c>
      <c r="F12" s="23">
        <f>F10*F8</f>
        <v>5105.3694721408046</v>
      </c>
      <c r="G12" s="23"/>
      <c r="H12" s="23"/>
      <c r="I12" s="23"/>
      <c r="J12" s="23">
        <f>J10*J8</f>
        <v>817.32989338797063</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344</v>
      </c>
      <c r="C18" s="167" t="s">
        <v>110</v>
      </c>
      <c r="D18" s="229"/>
      <c r="E18" s="15"/>
    </row>
    <row r="19" spans="1:7">
      <c r="A19" s="172" t="s">
        <v>71</v>
      </c>
      <c r="B19" s="37">
        <f>aantalw2001_ander</f>
        <v>1</v>
      </c>
      <c r="C19" s="167" t="s">
        <v>110</v>
      </c>
      <c r="D19" s="230"/>
      <c r="E19" s="15"/>
    </row>
    <row r="20" spans="1:7">
      <c r="A20" s="172" t="s">
        <v>72</v>
      </c>
      <c r="B20" s="37">
        <f>aantalw2001_propaan</f>
        <v>53</v>
      </c>
      <c r="C20" s="168">
        <f>IF(ISERROR(B20/SUM($B$20,$B$21,$B$22)*100),0,B20/SUM($B$20,$B$21,$B$22)*100)</f>
        <v>13.41772151898734</v>
      </c>
      <c r="D20" s="230"/>
      <c r="E20" s="15"/>
    </row>
    <row r="21" spans="1:7">
      <c r="A21" s="172" t="s">
        <v>73</v>
      </c>
      <c r="B21" s="37">
        <f>aantalw2001_elektriciteit</f>
        <v>270</v>
      </c>
      <c r="C21" s="168">
        <f>IF(ISERROR(B21/SUM($B$20,$B$21,$B$22)*100),0,B21/SUM($B$20,$B$21,$B$22)*100)</f>
        <v>68.35443037974683</v>
      </c>
      <c r="D21" s="230"/>
      <c r="E21" s="15"/>
    </row>
    <row r="22" spans="1:7">
      <c r="A22" s="172" t="s">
        <v>74</v>
      </c>
      <c r="B22" s="37">
        <f>aantalw2001_hout</f>
        <v>72</v>
      </c>
      <c r="C22" s="168">
        <f>IF(ISERROR(B22/SUM($B$20,$B$21,$B$22)*100),0,B22/SUM($B$20,$B$21,$B$22)*100)</f>
        <v>18.227848101265824</v>
      </c>
      <c r="D22" s="230"/>
      <c r="E22" s="15"/>
    </row>
    <row r="23" spans="1:7">
      <c r="A23" s="172" t="s">
        <v>75</v>
      </c>
      <c r="B23" s="37">
        <f>aantalw2001_niet_gespec</f>
        <v>42</v>
      </c>
      <c r="C23" s="167" t="s">
        <v>110</v>
      </c>
      <c r="D23" s="229"/>
      <c r="E23" s="15"/>
    </row>
    <row r="24" spans="1:7">
      <c r="A24" s="172" t="s">
        <v>76</v>
      </c>
      <c r="B24" s="37">
        <f>aantalw2001_steenkool</f>
        <v>142</v>
      </c>
      <c r="C24" s="167" t="s">
        <v>110</v>
      </c>
      <c r="D24" s="230"/>
      <c r="E24" s="15"/>
    </row>
    <row r="25" spans="1:7">
      <c r="A25" s="172" t="s">
        <v>77</v>
      </c>
      <c r="B25" s="37">
        <f>aantalw2001_stookolie</f>
        <v>1403</v>
      </c>
      <c r="C25" s="167" t="s">
        <v>110</v>
      </c>
      <c r="D25" s="229"/>
      <c r="E25" s="52"/>
    </row>
    <row r="26" spans="1:7">
      <c r="A26" s="172" t="s">
        <v>78</v>
      </c>
      <c r="B26" s="37">
        <f>aantalw2001_WP</f>
        <v>2</v>
      </c>
      <c r="C26" s="167" t="s">
        <v>110</v>
      </c>
      <c r="D26" s="229"/>
      <c r="E26" s="15"/>
    </row>
    <row r="27" spans="1:7" s="15" customFormat="1">
      <c r="A27" s="172"/>
      <c r="B27" s="29"/>
      <c r="C27" s="36"/>
      <c r="D27" s="229"/>
    </row>
    <row r="28" spans="1:7" s="15" customFormat="1">
      <c r="A28" s="231" t="s">
        <v>711</v>
      </c>
      <c r="B28" s="37">
        <f>aantalHuishoudens</f>
        <v>2614</v>
      </c>
      <c r="C28" s="36"/>
      <c r="D28" s="229"/>
    </row>
    <row r="29" spans="1:7" s="15" customFormat="1">
      <c r="A29" s="231" t="s">
        <v>712</v>
      </c>
      <c r="B29" s="37">
        <f>SUM(HH_hh_gas_aantal,HH_rest_gas_aantal)</f>
        <v>964</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964</v>
      </c>
      <c r="C32" s="168">
        <f>IF(ISERROR(B32/SUM($B$32,$B$34,$B$35,$B$36,$B$38,$B$39)*100),0,B32/SUM($B$32,$B$34,$B$35,$B$36,$B$38,$B$39)*100)</f>
        <v>36.934865900383137</v>
      </c>
      <c r="D32" s="234"/>
      <c r="G32" s="15"/>
    </row>
    <row r="33" spans="1:7">
      <c r="A33" s="172" t="s">
        <v>71</v>
      </c>
      <c r="B33" s="34" t="s">
        <v>110</v>
      </c>
      <c r="C33" s="168"/>
      <c r="D33" s="234"/>
      <c r="G33" s="15"/>
    </row>
    <row r="34" spans="1:7">
      <c r="A34" s="172" t="s">
        <v>72</v>
      </c>
      <c r="B34" s="33">
        <f>IF((($B$28-$B$32-$B$39-$B$77-$B$38)*C20/100)&lt;0,0,($B$28-$B$32-$B$39-$B$77-$B$38)*C20/100)</f>
        <v>96.741772151898729</v>
      </c>
      <c r="C34" s="168">
        <f>IF(ISERROR(B34/SUM($B$32,$B$34,$B$35,$B$36,$B$38,$B$39)*100),0,B34/SUM($B$32,$B$34,$B$35,$B$36,$B$38,$B$39)*100)</f>
        <v>3.7065813085018671</v>
      </c>
      <c r="D34" s="234"/>
      <c r="G34" s="15"/>
    </row>
    <row r="35" spans="1:7">
      <c r="A35" s="172" t="s">
        <v>73</v>
      </c>
      <c r="B35" s="33">
        <f>IF((($B$28-$B$32-$B$39-$B$77-$B$38)*C21/100)&lt;0,0,($B$28-$B$32-$B$39-$B$77-$B$38)*C21/100)</f>
        <v>492.83544303797464</v>
      </c>
      <c r="C35" s="168">
        <f>IF(ISERROR(B35/SUM($B$32,$B$34,$B$35,$B$36,$B$38,$B$39)*100),0,B35/SUM($B$32,$B$34,$B$35,$B$36,$B$38,$B$39)*100)</f>
        <v>18.882584024443471</v>
      </c>
      <c r="D35" s="234"/>
      <c r="G35" s="15"/>
    </row>
    <row r="36" spans="1:7">
      <c r="A36" s="172" t="s">
        <v>74</v>
      </c>
      <c r="B36" s="33">
        <f>IF((($B$28-$B$32-$B$39-$B$77-$B$38)*C22/100)&lt;0,0,($B$28-$B$32-$B$39-$B$77-$B$38)*C22/100)</f>
        <v>131.42278481012659</v>
      </c>
      <c r="C36" s="168">
        <f>IF(ISERROR(B36/SUM($B$32,$B$34,$B$35,$B$36,$B$38,$B$39)*100),0,B36/SUM($B$32,$B$34,$B$35,$B$36,$B$38,$B$39)*100)</f>
        <v>5.0353557398515933</v>
      </c>
      <c r="D36" s="234"/>
      <c r="G36" s="15"/>
    </row>
    <row r="37" spans="1:7">
      <c r="A37" s="172" t="s">
        <v>75</v>
      </c>
      <c r="B37" s="34" t="s">
        <v>110</v>
      </c>
      <c r="C37" s="168"/>
      <c r="D37" s="174"/>
      <c r="G37" s="15"/>
    </row>
    <row r="38" spans="1:7">
      <c r="A38" s="172" t="s">
        <v>76</v>
      </c>
      <c r="B38" s="33">
        <f>IF((B24-(B29-B18)*0.1)&lt;0,0,B24-(B29-B18)*0.1)</f>
        <v>80</v>
      </c>
      <c r="C38" s="168">
        <f>IF(ISERROR(B38/SUM($B$32,$B$34,$B$35,$B$36,$B$38,$B$39)*100),0,B38/SUM($B$32,$B$34,$B$35,$B$36,$B$38,$B$39)*100)</f>
        <v>3.0651340996168579</v>
      </c>
      <c r="D38" s="235"/>
      <c r="G38" s="15"/>
    </row>
    <row r="39" spans="1:7">
      <c r="A39" s="172" t="s">
        <v>77</v>
      </c>
      <c r="B39" s="33">
        <f>IF((B25-(B29-B18))&lt;0,0,B25-(B29-B18)*0.9)</f>
        <v>845</v>
      </c>
      <c r="C39" s="168">
        <f>IF(ISERROR(B39/SUM($B$32,$B$34,$B$35,$B$36,$B$38,$B$39)*100),0,B39/SUM($B$32,$B$34,$B$35,$B$36,$B$38,$B$39)*100)</f>
        <v>32.375478927203069</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964</v>
      </c>
      <c r="C44" s="34" t="s">
        <v>110</v>
      </c>
      <c r="D44" s="175"/>
    </row>
    <row r="45" spans="1:7">
      <c r="A45" s="172" t="s">
        <v>71</v>
      </c>
      <c r="B45" s="33" t="str">
        <f t="shared" si="0"/>
        <v>-</v>
      </c>
      <c r="C45" s="34" t="s">
        <v>110</v>
      </c>
      <c r="D45" s="175"/>
    </row>
    <row r="46" spans="1:7">
      <c r="A46" s="172" t="s">
        <v>72</v>
      </c>
      <c r="B46" s="33">
        <f t="shared" si="0"/>
        <v>96.741772151898729</v>
      </c>
      <c r="C46" s="34" t="s">
        <v>110</v>
      </c>
      <c r="D46" s="175"/>
    </row>
    <row r="47" spans="1:7">
      <c r="A47" s="172" t="s">
        <v>73</v>
      </c>
      <c r="B47" s="33">
        <f t="shared" si="0"/>
        <v>492.83544303797464</v>
      </c>
      <c r="C47" s="34" t="s">
        <v>110</v>
      </c>
      <c r="D47" s="175"/>
    </row>
    <row r="48" spans="1:7">
      <c r="A48" s="172" t="s">
        <v>74</v>
      </c>
      <c r="B48" s="33">
        <f t="shared" si="0"/>
        <v>131.42278481012659</v>
      </c>
      <c r="C48" s="33">
        <f>B48*10</f>
        <v>1314.2278481012659</v>
      </c>
      <c r="D48" s="235"/>
    </row>
    <row r="49" spans="1:6">
      <c r="A49" s="172" t="s">
        <v>75</v>
      </c>
      <c r="B49" s="33" t="str">
        <f t="shared" si="0"/>
        <v>-</v>
      </c>
      <c r="C49" s="34" t="s">
        <v>110</v>
      </c>
      <c r="D49" s="235"/>
    </row>
    <row r="50" spans="1:6">
      <c r="A50" s="172" t="s">
        <v>76</v>
      </c>
      <c r="B50" s="33">
        <f t="shared" si="0"/>
        <v>80</v>
      </c>
      <c r="C50" s="33">
        <f>B50*2</f>
        <v>160</v>
      </c>
      <c r="D50" s="235"/>
    </row>
    <row r="51" spans="1:6">
      <c r="A51" s="172" t="s">
        <v>77</v>
      </c>
      <c r="B51" s="33">
        <f t="shared" si="0"/>
        <v>845</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14</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4</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7059.4338274622723</v>
      </c>
      <c r="C5" s="17">
        <f>IF(ISERROR('Eigen informatie GS &amp; warmtenet'!B58),0,'Eigen informatie GS &amp; warmtenet'!B58)</f>
        <v>0</v>
      </c>
      <c r="D5" s="30">
        <f>SUM(D6:D12)</f>
        <v>4619.2039069567272</v>
      </c>
      <c r="E5" s="17">
        <f>SUM(E6:E12)</f>
        <v>154.38433987883087</v>
      </c>
      <c r="F5" s="17">
        <f>SUM(F6:F12)</f>
        <v>1280.9568519787463</v>
      </c>
      <c r="G5" s="18"/>
      <c r="H5" s="17"/>
      <c r="I5" s="17"/>
      <c r="J5" s="17">
        <f>SUM(J6:J12)</f>
        <v>0</v>
      </c>
      <c r="K5" s="17"/>
      <c r="L5" s="17"/>
      <c r="M5" s="17"/>
      <c r="N5" s="17">
        <f>SUM(N6:N12)</f>
        <v>194.3087831660859</v>
      </c>
      <c r="O5" s="17">
        <f>B38*B39*B40</f>
        <v>0</v>
      </c>
      <c r="P5" s="17">
        <f>B46*B47*B48/1000-B46*B47*B48/1000/B49</f>
        <v>19.066666666666666</v>
      </c>
      <c r="R5" s="32"/>
    </row>
    <row r="6" spans="1:18">
      <c r="A6" s="32" t="s">
        <v>53</v>
      </c>
      <c r="B6" s="37">
        <f>B26</f>
        <v>1365.66992784223</v>
      </c>
      <c r="C6" s="33"/>
      <c r="D6" s="37">
        <f>IF(ISERROR(TER_kantoor_gas_kWh/1000),0,TER_kantoor_gas_kWh/1000)*0.902</f>
        <v>885.86660133270732</v>
      </c>
      <c r="E6" s="33">
        <f>$C$26*'E Balans VL '!I12/100/3.6*1000000</f>
        <v>47.803819673961549</v>
      </c>
      <c r="F6" s="33">
        <f>$C$26*('E Balans VL '!L12+'E Balans VL '!N12)/100/3.6*1000000</f>
        <v>207.06488170691685</v>
      </c>
      <c r="G6" s="34"/>
      <c r="H6" s="33"/>
      <c r="I6" s="33"/>
      <c r="J6" s="33">
        <f>$C$26*('E Balans VL '!D12+'E Balans VL '!E12)/100/3.6*1000000</f>
        <v>0</v>
      </c>
      <c r="K6" s="33"/>
      <c r="L6" s="33"/>
      <c r="M6" s="33"/>
      <c r="N6" s="33">
        <f>$C$26*'E Balans VL '!Y12/100/3.6*1000000</f>
        <v>10.556201099296782</v>
      </c>
      <c r="O6" s="33"/>
      <c r="P6" s="33"/>
      <c r="R6" s="32"/>
    </row>
    <row r="7" spans="1:18">
      <c r="A7" s="32" t="s">
        <v>52</v>
      </c>
      <c r="B7" s="37">
        <f t="shared" ref="B7:B12" si="0">B27</f>
        <v>589.91455540834795</v>
      </c>
      <c r="C7" s="33"/>
      <c r="D7" s="37">
        <f>IF(ISERROR(TER_horeca_gas_kWh/1000),0,TER_horeca_gas_kWh/1000)*0.902</f>
        <v>123.97116353755828</v>
      </c>
      <c r="E7" s="33">
        <f>$C$27*'E Balans VL '!I9/100/3.6*1000000</f>
        <v>33.279024878291452</v>
      </c>
      <c r="F7" s="33">
        <f>$C$27*('E Balans VL '!L9+'E Balans VL '!N9)/100/3.6*1000000</f>
        <v>102.76638018119971</v>
      </c>
      <c r="G7" s="34"/>
      <c r="H7" s="33"/>
      <c r="I7" s="33"/>
      <c r="J7" s="33">
        <f>$C$27*('E Balans VL '!D9+'E Balans VL '!E9)/100/3.6*1000000</f>
        <v>0</v>
      </c>
      <c r="K7" s="33"/>
      <c r="L7" s="33"/>
      <c r="M7" s="33"/>
      <c r="N7" s="33">
        <f>$C$27*'E Balans VL '!Y9/100/3.6*1000000</f>
        <v>0</v>
      </c>
      <c r="O7" s="33"/>
      <c r="P7" s="33"/>
      <c r="R7" s="32"/>
    </row>
    <row r="8" spans="1:18">
      <c r="A8" s="6" t="s">
        <v>51</v>
      </c>
      <c r="B8" s="37">
        <f t="shared" si="0"/>
        <v>1763.1160571759299</v>
      </c>
      <c r="C8" s="33"/>
      <c r="D8" s="37">
        <f>IF(ISERROR(TER_handel_gas_kWh/1000),0,TER_handel_gas_kWh/1000)*0.902</f>
        <v>151.3400388623775</v>
      </c>
      <c r="E8" s="33">
        <f>$C$28*'E Balans VL '!I13/100/3.6*1000000</f>
        <v>9.0516587075478032</v>
      </c>
      <c r="F8" s="33">
        <f>$C$28*('E Balans VL '!L13+'E Balans VL '!N13)/100/3.6*1000000</f>
        <v>271.84525307683515</v>
      </c>
      <c r="G8" s="34"/>
      <c r="H8" s="33"/>
      <c r="I8" s="33"/>
      <c r="J8" s="33">
        <f>$C$28*('E Balans VL '!D13+'E Balans VL '!E13)/100/3.6*1000000</f>
        <v>0</v>
      </c>
      <c r="K8" s="33"/>
      <c r="L8" s="33"/>
      <c r="M8" s="33"/>
      <c r="N8" s="33">
        <f>$C$28*'E Balans VL '!Y13/100/3.6*1000000</f>
        <v>0.82463090166956565</v>
      </c>
      <c r="O8" s="33"/>
      <c r="P8" s="33"/>
      <c r="R8" s="32"/>
    </row>
    <row r="9" spans="1:18">
      <c r="A9" s="32" t="s">
        <v>50</v>
      </c>
      <c r="B9" s="37">
        <f t="shared" si="0"/>
        <v>12.747818917001599</v>
      </c>
      <c r="C9" s="33"/>
      <c r="D9" s="37">
        <f>IF(ISERROR(TER_gezond_gas_kWh/1000),0,TER_gezond_gas_kWh/1000)*0.902</f>
        <v>0</v>
      </c>
      <c r="E9" s="33">
        <f>$C$29*'E Balans VL '!I10/100/3.6*1000000</f>
        <v>5.2838801543846122E-3</v>
      </c>
      <c r="F9" s="33">
        <f>$C$29*('E Balans VL '!L10+'E Balans VL '!N10)/100/3.6*1000000</f>
        <v>3.139604971146321</v>
      </c>
      <c r="G9" s="34"/>
      <c r="H9" s="33"/>
      <c r="I9" s="33"/>
      <c r="J9" s="33">
        <f>$C$29*('E Balans VL '!D10+'E Balans VL '!E10)/100/3.6*1000000</f>
        <v>0</v>
      </c>
      <c r="K9" s="33"/>
      <c r="L9" s="33"/>
      <c r="M9" s="33"/>
      <c r="N9" s="33">
        <f>$C$29*'E Balans VL '!Y10/100/3.6*1000000</f>
        <v>0.11017270788969305</v>
      </c>
      <c r="O9" s="33"/>
      <c r="P9" s="33"/>
      <c r="R9" s="32"/>
    </row>
    <row r="10" spans="1:18">
      <c r="A10" s="32" t="s">
        <v>49</v>
      </c>
      <c r="B10" s="37">
        <f t="shared" si="0"/>
        <v>439.81321432940598</v>
      </c>
      <c r="C10" s="33"/>
      <c r="D10" s="37">
        <f>IF(ISERROR(TER_ander_gas_kWh/1000),0,TER_ander_gas_kWh/1000)*0.902</f>
        <v>66.929270455707822</v>
      </c>
      <c r="E10" s="33">
        <f>$C$30*'E Balans VL '!I14/100/3.6*1000000</f>
        <v>2.6811122059304315</v>
      </c>
      <c r="F10" s="33">
        <f>$C$30*('E Balans VL '!L14+'E Balans VL '!N14)/100/3.6*1000000</f>
        <v>116.60050787634393</v>
      </c>
      <c r="G10" s="34"/>
      <c r="H10" s="33"/>
      <c r="I10" s="33"/>
      <c r="J10" s="33">
        <f>$C$30*('E Balans VL '!D14+'E Balans VL '!E14)/100/3.6*1000000</f>
        <v>0</v>
      </c>
      <c r="K10" s="33"/>
      <c r="L10" s="33"/>
      <c r="M10" s="33"/>
      <c r="N10" s="33">
        <f>$C$30*'E Balans VL '!Y14/100/3.6*1000000</f>
        <v>101.36744223887619</v>
      </c>
      <c r="O10" s="33"/>
      <c r="P10" s="33"/>
      <c r="R10" s="32"/>
    </row>
    <row r="11" spans="1:18">
      <c r="A11" s="32" t="s">
        <v>54</v>
      </c>
      <c r="B11" s="37">
        <f t="shared" si="0"/>
        <v>18.339125017837198</v>
      </c>
      <c r="C11" s="33"/>
      <c r="D11" s="37">
        <f>IF(ISERROR(TER_onderwijs_gas_kWh/1000),0,TER_onderwijs_gas_kWh/1000)*0.902</f>
        <v>0</v>
      </c>
      <c r="E11" s="33">
        <f>$C$31*'E Balans VL '!I11/100/3.6*1000000</f>
        <v>1.3975368191919807E-2</v>
      </c>
      <c r="F11" s="33">
        <f>$C$31*('E Balans VL '!L11+'E Balans VL '!N11)/100/3.6*1000000</f>
        <v>13.271195888774916</v>
      </c>
      <c r="G11" s="34"/>
      <c r="H11" s="33"/>
      <c r="I11" s="33"/>
      <c r="J11" s="33">
        <f>$C$31*('E Balans VL '!D11+'E Balans VL '!E11)/100/3.6*1000000</f>
        <v>0</v>
      </c>
      <c r="K11" s="33"/>
      <c r="L11" s="33"/>
      <c r="M11" s="33"/>
      <c r="N11" s="33">
        <f>$C$31*'E Balans VL '!Y11/100/3.6*1000000</f>
        <v>5.4049784398579138E-2</v>
      </c>
      <c r="O11" s="33"/>
      <c r="P11" s="33"/>
      <c r="R11" s="32"/>
    </row>
    <row r="12" spans="1:18">
      <c r="A12" s="32" t="s">
        <v>259</v>
      </c>
      <c r="B12" s="37">
        <f t="shared" si="0"/>
        <v>2869.83312877152</v>
      </c>
      <c r="C12" s="33"/>
      <c r="D12" s="37">
        <f>IF(ISERROR(TER_rest_gas_kWh/1000),0,TER_rest_gas_kWh/1000)*0.902</f>
        <v>3391.0968327683763</v>
      </c>
      <c r="E12" s="33">
        <f>$C$32*'E Balans VL '!I8/100/3.6*1000000</f>
        <v>61.549465164753357</v>
      </c>
      <c r="F12" s="33">
        <f>$C$32*('E Balans VL '!L8+'E Balans VL '!N8)/100/3.6*1000000</f>
        <v>566.26902827752929</v>
      </c>
      <c r="G12" s="34"/>
      <c r="H12" s="33"/>
      <c r="I12" s="33"/>
      <c r="J12" s="33">
        <f>$C$32*('E Balans VL '!D8+'E Balans VL '!E8)/100/3.6*1000000</f>
        <v>0</v>
      </c>
      <c r="K12" s="33"/>
      <c r="L12" s="33"/>
      <c r="M12" s="33"/>
      <c r="N12" s="33">
        <f>$C$32*'E Balans VL '!Y8/100/3.6*1000000</f>
        <v>81.396286433955083</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7059.4338274622723</v>
      </c>
      <c r="C16" s="21">
        <f ca="1">C5+C13+C14</f>
        <v>0</v>
      </c>
      <c r="D16" s="21">
        <f t="shared" ref="D16:N16" ca="1" si="1">MAX((D5+D13+D14),0)</f>
        <v>4619.2039069567272</v>
      </c>
      <c r="E16" s="21">
        <f t="shared" si="1"/>
        <v>154.38433987883087</v>
      </c>
      <c r="F16" s="21">
        <f t="shared" ca="1" si="1"/>
        <v>1280.9568519787463</v>
      </c>
      <c r="G16" s="21">
        <f t="shared" si="1"/>
        <v>0</v>
      </c>
      <c r="H16" s="21">
        <f t="shared" si="1"/>
        <v>0</v>
      </c>
      <c r="I16" s="21">
        <f t="shared" si="1"/>
        <v>0</v>
      </c>
      <c r="J16" s="21">
        <f t="shared" si="1"/>
        <v>0</v>
      </c>
      <c r="K16" s="21">
        <f t="shared" si="1"/>
        <v>0</v>
      </c>
      <c r="L16" s="21">
        <f t="shared" ca="1" si="1"/>
        <v>0</v>
      </c>
      <c r="M16" s="21">
        <f t="shared" si="1"/>
        <v>0</v>
      </c>
      <c r="N16" s="21">
        <f t="shared" ca="1" si="1"/>
        <v>194.3087831660859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0.21841403285345137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1541.8794119181107</v>
      </c>
      <c r="C20" s="23">
        <f t="shared" ref="C20:P20" ca="1" si="2">C16*C18</f>
        <v>0</v>
      </c>
      <c r="D20" s="23">
        <f t="shared" ca="1" si="2"/>
        <v>933.07918920525901</v>
      </c>
      <c r="E20" s="23">
        <f t="shared" si="2"/>
        <v>35.045245152494608</v>
      </c>
      <c r="F20" s="23">
        <f t="shared" ca="1" si="2"/>
        <v>342.01547947832529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1365.66992784223</v>
      </c>
      <c r="C26" s="39">
        <f>IF(ISERROR(B26*3.6/1000000/'E Balans VL '!Z12*100),0,B26*3.6/1000000/'E Balans VL '!Z12*100)</f>
        <v>2.8738258838340851E-2</v>
      </c>
      <c r="D26" s="238" t="s">
        <v>718</v>
      </c>
      <c r="F26" s="6"/>
    </row>
    <row r="27" spans="1:18">
      <c r="A27" s="232" t="s">
        <v>52</v>
      </c>
      <c r="B27" s="33">
        <f>IF(ISERROR(TER_horeca_ele_kWh/1000),0,TER_horeca_ele_kWh/1000)</f>
        <v>589.91455540834795</v>
      </c>
      <c r="C27" s="39">
        <f>IF(ISERROR(B27*3.6/1000000/'E Balans VL '!Z9*100),0,B27*3.6/1000000/'E Balans VL '!Z9*100)</f>
        <v>4.9946407761874957E-2</v>
      </c>
      <c r="D27" s="238" t="s">
        <v>718</v>
      </c>
      <c r="F27" s="6"/>
    </row>
    <row r="28" spans="1:18">
      <c r="A28" s="172" t="s">
        <v>51</v>
      </c>
      <c r="B28" s="33">
        <f>IF(ISERROR(TER_handel_ele_kWh/1000),0,TER_handel_ele_kWh/1000)</f>
        <v>1763.1160571759299</v>
      </c>
      <c r="C28" s="39">
        <f>IF(ISERROR(B28*3.6/1000000/'E Balans VL '!Z13*100),0,B28*3.6/1000000/'E Balans VL '!Z13*100)</f>
        <v>4.8811624240909762E-2</v>
      </c>
      <c r="D28" s="238" t="s">
        <v>718</v>
      </c>
      <c r="F28" s="6"/>
    </row>
    <row r="29" spans="1:18">
      <c r="A29" s="232" t="s">
        <v>50</v>
      </c>
      <c r="B29" s="33">
        <f>IF(ISERROR(TER_gezond_ele_kWh/1000),0,TER_gezond_ele_kWh/1000)</f>
        <v>12.747818917001599</v>
      </c>
      <c r="C29" s="39">
        <f>IF(ISERROR(B29*3.6/1000000/'E Balans VL '!Z10*100),0,B29*3.6/1000000/'E Balans VL '!Z10*100)</f>
        <v>1.6570751331603485E-3</v>
      </c>
      <c r="D29" s="238" t="s">
        <v>718</v>
      </c>
      <c r="F29" s="6"/>
    </row>
    <row r="30" spans="1:18">
      <c r="A30" s="232" t="s">
        <v>49</v>
      </c>
      <c r="B30" s="33">
        <f>IF(ISERROR(TER_ander_ele_kWh/1000),0,TER_ander_ele_kWh/1000)</f>
        <v>439.81321432940598</v>
      </c>
      <c r="C30" s="39">
        <f>IF(ISERROR(B30*3.6/1000000/'E Balans VL '!Z14*100),0,B30*3.6/1000000/'E Balans VL '!Z14*100)</f>
        <v>3.4089557505819545E-2</v>
      </c>
      <c r="D30" s="238" t="s">
        <v>718</v>
      </c>
      <c r="F30" s="6"/>
    </row>
    <row r="31" spans="1:18">
      <c r="A31" s="232" t="s">
        <v>54</v>
      </c>
      <c r="B31" s="33">
        <f>IF(ISERROR(TER_onderwijs_ele_kWh/1000),0,TER_onderwijs_ele_kWh/1000)</f>
        <v>18.339125017837198</v>
      </c>
      <c r="C31" s="39">
        <f>IF(ISERROR(B31*3.6/1000000/'E Balans VL '!Z11*100),0,B31*3.6/1000000/'E Balans VL '!Z11*100)</f>
        <v>3.5085871079895579E-3</v>
      </c>
      <c r="D31" s="238" t="s">
        <v>718</v>
      </c>
    </row>
    <row r="32" spans="1:18">
      <c r="A32" s="232" t="s">
        <v>259</v>
      </c>
      <c r="B32" s="33">
        <f>IF(ISERROR(TER_rest_ele_kWh/1000),0,TER_rest_ele_kWh/1000)</f>
        <v>2869.83312877152</v>
      </c>
      <c r="C32" s="39">
        <f>IF(ISERROR(B32*3.6/1000000/'E Balans VL '!Z8*100),0,B32*3.6/1000000/'E Balans VL '!Z8*100)</f>
        <v>2.3663977936244678E-2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1</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32728.187801009633</v>
      </c>
      <c r="C5" s="17">
        <f>IF(ISERROR('Eigen informatie GS &amp; warmtenet'!B59),0,'Eigen informatie GS &amp; warmtenet'!B59)</f>
        <v>0</v>
      </c>
      <c r="D5" s="30">
        <f>SUM(D6:D15)</f>
        <v>9853.6044896712501</v>
      </c>
      <c r="E5" s="17">
        <f>SUM(E6:E15)</f>
        <v>303.5043011411625</v>
      </c>
      <c r="F5" s="17">
        <f>SUM(F6:F15)</f>
        <v>6976.5852531436603</v>
      </c>
      <c r="G5" s="18"/>
      <c r="H5" s="17"/>
      <c r="I5" s="17"/>
      <c r="J5" s="17">
        <f>SUM(J6:J15)</f>
        <v>214.18372261482224</v>
      </c>
      <c r="K5" s="17"/>
      <c r="L5" s="17"/>
      <c r="M5" s="17"/>
      <c r="N5" s="17">
        <f>SUM(N6:N15)</f>
        <v>628.90557912165877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755.56105910726001</v>
      </c>
      <c r="C9" s="33"/>
      <c r="D9" s="37">
        <f>IF( ISERROR(IND_andere_gas_kWh/1000),0,IND_andere_gas_kWh/1000)*0.902</f>
        <v>0</v>
      </c>
      <c r="E9" s="33">
        <f>C31*'E Balans VL '!I19/100/3.6*1000000</f>
        <v>12.690573579556345</v>
      </c>
      <c r="F9" s="33">
        <f>C31*'E Balans VL '!L19/100/3.6*1000000+C31*'E Balans VL '!N19/100/3.6*1000000</f>
        <v>590.65460246533962</v>
      </c>
      <c r="G9" s="34"/>
      <c r="H9" s="33"/>
      <c r="I9" s="33"/>
      <c r="J9" s="40">
        <f>C31*'E Balans VL '!D19/100/3.6*1000000+C31*'E Balans VL '!E19/100/3.6*1000000</f>
        <v>6.8144937903180297E-2</v>
      </c>
      <c r="K9" s="33"/>
      <c r="L9" s="33"/>
      <c r="M9" s="33"/>
      <c r="N9" s="33">
        <f>C31*'E Balans VL '!Y19/100/3.6*1000000</f>
        <v>55.999196389861517</v>
      </c>
      <c r="O9" s="33"/>
      <c r="P9" s="33"/>
      <c r="R9" s="32"/>
    </row>
    <row r="10" spans="1:18">
      <c r="A10" s="6" t="s">
        <v>40</v>
      </c>
      <c r="B10" s="37">
        <f t="shared" si="0"/>
        <v>179.91317754989802</v>
      </c>
      <c r="C10" s="33"/>
      <c r="D10" s="37">
        <f>IF( ISERROR(IND_voed_gas_kWh/1000),0,IND_voed_gas_kWh/1000)*0.902</f>
        <v>0</v>
      </c>
      <c r="E10" s="33">
        <f>C32*'E Balans VL '!I20/100/3.6*1000000</f>
        <v>1.6414530690479332</v>
      </c>
      <c r="F10" s="33">
        <f>C32*'E Balans VL '!L20/100/3.6*1000000+C32*'E Balans VL '!N20/100/3.6*1000000</f>
        <v>29.025622893668046</v>
      </c>
      <c r="G10" s="34"/>
      <c r="H10" s="33"/>
      <c r="I10" s="33"/>
      <c r="J10" s="40">
        <f>C32*'E Balans VL '!D20/100/3.6*1000000+C32*'E Balans VL '!E20/100/3.6*1000000</f>
        <v>0.74100042193938964</v>
      </c>
      <c r="K10" s="33"/>
      <c r="L10" s="33"/>
      <c r="M10" s="33"/>
      <c r="N10" s="33">
        <f>C32*'E Balans VL '!Y20/100/3.6*1000000</f>
        <v>2.6319879220329025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103.508812903874</v>
      </c>
      <c r="C13" s="33"/>
      <c r="D13" s="37">
        <f>IF( ISERROR(IND_papier_gas_kWh/1000),0,IND_papier_gas_kWh/1000)*0.902</f>
        <v>0</v>
      </c>
      <c r="E13" s="33">
        <f>C35*'E Balans VL '!I23/100/3.6*1000000</f>
        <v>3.1846960391093297</v>
      </c>
      <c r="F13" s="33">
        <f>C35*'E Balans VL '!L23/100/3.6*1000000+C35*'E Balans VL '!N23/100/3.6*1000000</f>
        <v>21.978538398777673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31689.2047514486</v>
      </c>
      <c r="C15" s="33"/>
      <c r="D15" s="37">
        <f>IF( ISERROR(IND_rest_gas_kWh/1000),0,IND_rest_gas_kWh/1000)*0.902</f>
        <v>9853.6044896712501</v>
      </c>
      <c r="E15" s="33">
        <f>C37*'E Balans VL '!I15/100/3.6*1000000</f>
        <v>285.98757845344886</v>
      </c>
      <c r="F15" s="33">
        <f>C37*'E Balans VL '!L15/100/3.6*1000000+C37*'E Balans VL '!N15/100/3.6*1000000</f>
        <v>6334.9264893858754</v>
      </c>
      <c r="G15" s="34"/>
      <c r="H15" s="33"/>
      <c r="I15" s="33"/>
      <c r="J15" s="40">
        <f>C37*'E Balans VL '!D15/100/3.6*1000000+C37*'E Balans VL '!E15/100/3.6*1000000</f>
        <v>213.37457725497967</v>
      </c>
      <c r="K15" s="33"/>
      <c r="L15" s="33"/>
      <c r="M15" s="33"/>
      <c r="N15" s="33">
        <f>C37*'E Balans VL '!Y15/100/3.6*1000000</f>
        <v>570.27439480976432</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32728.187801009633</v>
      </c>
      <c r="C18" s="21">
        <f>C5+C16</f>
        <v>0</v>
      </c>
      <c r="D18" s="21">
        <f>MAX((D5+D16),0)</f>
        <v>9853.6044896712501</v>
      </c>
      <c r="E18" s="21">
        <f>MAX((E5+E16),0)</f>
        <v>303.5043011411625</v>
      </c>
      <c r="F18" s="21">
        <f>MAX((F5+F16),0)</f>
        <v>6976.5852531436603</v>
      </c>
      <c r="G18" s="21"/>
      <c r="H18" s="21"/>
      <c r="I18" s="21"/>
      <c r="J18" s="21">
        <f>MAX((J5+J16),0)</f>
        <v>214.18372261482224</v>
      </c>
      <c r="K18" s="21"/>
      <c r="L18" s="21">
        <f>MAX((L5+L16),0)</f>
        <v>0</v>
      </c>
      <c r="M18" s="21"/>
      <c r="N18" s="21">
        <f>MAX((N5+N16),0)</f>
        <v>628.90557912165877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0.21841403285345137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7148.2954856036449</v>
      </c>
      <c r="C22" s="23">
        <f ca="1">C18*C20</f>
        <v>0</v>
      </c>
      <c r="D22" s="23">
        <f>D18*D20</f>
        <v>1990.4281069135927</v>
      </c>
      <c r="E22" s="23">
        <f>E18*E20</f>
        <v>68.895476359043883</v>
      </c>
      <c r="F22" s="23">
        <f>F18*F20</f>
        <v>1862.7482625893574</v>
      </c>
      <c r="G22" s="23"/>
      <c r="H22" s="23"/>
      <c r="I22" s="23"/>
      <c r="J22" s="23">
        <f>J18*J20</f>
        <v>75.821037805647066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0</v>
      </c>
      <c r="C30" s="39">
        <f>IF(ISERROR(B30*3.6/1000000/'E Balans VL '!Z18*100),0,B30*3.6/1000000/'E Balans VL '!Z18*100)</f>
        <v>0</v>
      </c>
      <c r="D30" s="238" t="s">
        <v>718</v>
      </c>
    </row>
    <row r="31" spans="1:18">
      <c r="A31" s="6" t="s">
        <v>32</v>
      </c>
      <c r="B31" s="37">
        <f>IF( ISERROR(IND_ander_ele_kWh/1000),0,IND_ander_ele_kWh/1000)</f>
        <v>755.56105910726001</v>
      </c>
      <c r="C31" s="39">
        <f>IF(ISERROR(B31*3.6/1000000/'E Balans VL '!Z19*100),0,B31*3.6/1000000/'E Balans VL '!Z19*100)</f>
        <v>3.3491027501904316E-2</v>
      </c>
      <c r="D31" s="238" t="s">
        <v>718</v>
      </c>
    </row>
    <row r="32" spans="1:18">
      <c r="A32" s="172" t="s">
        <v>40</v>
      </c>
      <c r="B32" s="37">
        <f>IF( ISERROR(IND_voed_ele_kWh/1000),0,IND_voed_ele_kWh/1000)</f>
        <v>179.91317754989802</v>
      </c>
      <c r="C32" s="39">
        <f>IF(ISERROR(B32*3.6/1000000/'E Balans VL '!Z20*100),0,B32*3.6/1000000/'E Balans VL '!Z20*100)</f>
        <v>6.0096162342760592E-3</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103.508812903874</v>
      </c>
      <c r="C35" s="39">
        <f>IF(ISERROR(B35*3.6/1000000/'E Balans VL '!Z22*100),0,B35*3.6/1000000/'E Balans VL '!Z22*100)</f>
        <v>2.013132713012358E-2</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31689.2047514486</v>
      </c>
      <c r="C37" s="39">
        <f>IF(ISERROR(B37*3.6/1000000/'E Balans VL '!Z15*100),0,B37*3.6/1000000/'E Balans VL '!Z15*100)</f>
        <v>0.23571605722017724</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1167.6390115915669</v>
      </c>
      <c r="C5" s="17">
        <f>'Eigen informatie GS &amp; warmtenet'!B60</f>
        <v>0</v>
      </c>
      <c r="D5" s="30">
        <f>IF(ISERROR(SUM(LB_lb_gas_kWh,LB_rest_gas_kWh)/1000),0,SUM(LB_lb_gas_kWh,LB_rest_gas_kWh)/1000)*0.902</f>
        <v>47.540685118697304</v>
      </c>
      <c r="E5" s="17">
        <f>B17*'E Balans VL '!I25/3.6*1000000/100</f>
        <v>12.227768512924447</v>
      </c>
      <c r="F5" s="17">
        <f>B17*('E Balans VL '!L25/3.6*1000000+'E Balans VL '!N25/3.6*1000000)/100</f>
        <v>4998.3821868341402</v>
      </c>
      <c r="G5" s="18"/>
      <c r="H5" s="17"/>
      <c r="I5" s="17"/>
      <c r="J5" s="17">
        <f>('E Balans VL '!D25+'E Balans VL '!E25)/3.6*1000000*landbouw!B17/100</f>
        <v>104.28062946212958</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1167.6390115915669</v>
      </c>
      <c r="C8" s="21">
        <f>C5+C6</f>
        <v>0</v>
      </c>
      <c r="D8" s="21">
        <f>MAX((D5+D6),0)</f>
        <v>47.540685118697304</v>
      </c>
      <c r="E8" s="21">
        <f>MAX((E5+E6),0)</f>
        <v>12.227768512924447</v>
      </c>
      <c r="F8" s="21">
        <f>MAX((F5+F6),0)</f>
        <v>4998.3821868341402</v>
      </c>
      <c r="G8" s="21"/>
      <c r="H8" s="21"/>
      <c r="I8" s="21"/>
      <c r="J8" s="21">
        <f>MAX((J5+J6),0)</f>
        <v>104.28062946212958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0.21841403285345137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255.02874543873199</v>
      </c>
      <c r="C12" s="23">
        <f ca="1">C8*C10</f>
        <v>0</v>
      </c>
      <c r="D12" s="23">
        <f>D8*D10</f>
        <v>9.6032183939768565</v>
      </c>
      <c r="E12" s="23">
        <f>E8*E10</f>
        <v>2.7757034524338495</v>
      </c>
      <c r="F12" s="23">
        <f>F8*F10</f>
        <v>1334.5680438847155</v>
      </c>
      <c r="G12" s="23"/>
      <c r="H12" s="23"/>
      <c r="I12" s="23"/>
      <c r="J12" s="23">
        <f>J8*J10</f>
        <v>36.915342829593868</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0.17972218348214841</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195.27425783845266</v>
      </c>
      <c r="C26" s="248">
        <f>B26*'GWP N2O_CH4'!B5</f>
        <v>4100.7594146075062</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72.244542246012188</v>
      </c>
      <c r="C27" s="248">
        <f>B27*'GWP N2O_CH4'!B5</f>
        <v>1517.1353871662559</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2.7076185756913143</v>
      </c>
      <c r="C28" s="248">
        <f>B28*'GWP N2O_CH4'!B4</f>
        <v>839.3617584643074</v>
      </c>
      <c r="D28" s="50"/>
    </row>
    <row r="29" spans="1:4">
      <c r="A29" s="41" t="s">
        <v>276</v>
      </c>
      <c r="B29" s="248">
        <f>B34*'ha_N2O bodem landbouw'!B4</f>
        <v>16.113738697163623</v>
      </c>
      <c r="C29" s="248">
        <f>B29*'GWP N2O_CH4'!B4</f>
        <v>4995.2589961207232</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2.6630069526636015E-3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8.7744620038248E-7</v>
      </c>
      <c r="C5" s="443" t="s">
        <v>210</v>
      </c>
      <c r="D5" s="428">
        <f>SUM(D6:D11)</f>
        <v>4.8332871589349594E-6</v>
      </c>
      <c r="E5" s="428">
        <f>SUM(E6:E11)</f>
        <v>4.8943402494987134E-4</v>
      </c>
      <c r="F5" s="441" t="s">
        <v>210</v>
      </c>
      <c r="G5" s="428">
        <f>SUM(G6:G11)</f>
        <v>9.9358755586162625E-2</v>
      </c>
      <c r="H5" s="428">
        <f>SUM(H6:H11)</f>
        <v>1.65664638268412E-2</v>
      </c>
      <c r="I5" s="443" t="s">
        <v>210</v>
      </c>
      <c r="J5" s="443" t="s">
        <v>210</v>
      </c>
      <c r="K5" s="443" t="s">
        <v>210</v>
      </c>
      <c r="L5" s="443" t="s">
        <v>210</v>
      </c>
      <c r="M5" s="428">
        <f>SUM(M6:M11)</f>
        <v>5.0427659244935263E-3</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6.7286068345210494E-7</v>
      </c>
      <c r="C6" s="429"/>
      <c r="D6" s="429">
        <f>vkm_GW_PW*SUMIFS(TableVerdeelsleutelVkm[CNG],TableVerdeelsleutelVkm[Voertuigtype],"Lichte voertuigen")*SUMIFS(TableECFTransport[EnergieConsumptieFactor (PJ per km)],TableECFTransport[Index],CONCATENATE($A6,"_CNG_CNG"))</f>
        <v>3.1915499651714498E-6</v>
      </c>
      <c r="E6" s="431">
        <f>vkm_GW_PW*SUMIFS(TableVerdeelsleutelVkm[LPG],TableVerdeelsleutelVkm[Voertuigtype],"Lichte voertuigen")*SUMIFS(TableECFTransport[EnergieConsumptieFactor (PJ per km)],TableECFTransport[Index],CONCATENATE($A6,"_LPG_LPG"))</f>
        <v>3.3025884494389951E-4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4.4732755787065266E-2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1.1137955764318698E-2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2.4396755572122851E-3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2.9780579390264534E-2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8.2707562493843805E-7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1.2829606998271371E-3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2.04585516930375E-7</v>
      </c>
      <c r="C8" s="429"/>
      <c r="D8" s="431">
        <f>vkm_NGW_PW*SUMIFS(TableVerdeelsleutelVkm[CNG],TableVerdeelsleutelVkm[Voertuigtype],"Lichte voertuigen")*SUMIFS(TableECFTransport[EnergieConsumptieFactor (PJ per km)],TableECFTransport[Index],CONCATENATE($A8,"_CNG_CNG"))</f>
        <v>1.6417371937635096E-6</v>
      </c>
      <c r="E8" s="431">
        <f>vkm_NGW_PW*SUMIFS(TableVerdeelsleutelVkm[LPG],TableVerdeelsleutelVkm[Voertuigtype],"Lichte voertuigen")*SUMIFS(TableECFTransport[EnergieConsumptieFactor (PJ per km)],TableECFTransport[Index],CONCATENATE($A8,"_LPG_LPG"))</f>
        <v>1.591751800059718E-4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2.0664708164100369E-2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5.427541186284174E-3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1.1400216208210059E-3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4.1807122447324501E-3</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1.3980061338795855E-7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1.8010804663309843E-4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0.24373505566180001</v>
      </c>
      <c r="C14" s="21"/>
      <c r="D14" s="21">
        <f t="shared" ref="D14:M14" si="0">((D5)*10^9/3600)+D12</f>
        <v>1.3425797663708221</v>
      </c>
      <c r="E14" s="21">
        <f t="shared" si="0"/>
        <v>135.9538958194087</v>
      </c>
      <c r="F14" s="21"/>
      <c r="G14" s="21">
        <f t="shared" si="0"/>
        <v>27599.654329489618</v>
      </c>
      <c r="H14" s="21">
        <f t="shared" si="0"/>
        <v>4601.7955074558886</v>
      </c>
      <c r="I14" s="21"/>
      <c r="J14" s="21"/>
      <c r="K14" s="21"/>
      <c r="L14" s="21"/>
      <c r="M14" s="21">
        <f t="shared" si="0"/>
        <v>1400.7683123593129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0.21841403285345137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5.3235156454854188E-2</v>
      </c>
      <c r="C18" s="23"/>
      <c r="D18" s="23">
        <f t="shared" ref="D18:M18" si="1">D14*D16</f>
        <v>0.27120111280690606</v>
      </c>
      <c r="E18" s="23">
        <f t="shared" si="1"/>
        <v>30.861534351005776</v>
      </c>
      <c r="F18" s="23"/>
      <c r="G18" s="23">
        <f t="shared" si="1"/>
        <v>7369.1077059737281</v>
      </c>
      <c r="H18" s="23">
        <f t="shared" si="1"/>
        <v>1145.8470813565164</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1.7348969328273242E-3</v>
      </c>
      <c r="H50" s="320">
        <f t="shared" si="2"/>
        <v>0</v>
      </c>
      <c r="I50" s="320">
        <f t="shared" si="2"/>
        <v>0</v>
      </c>
      <c r="J50" s="320">
        <f t="shared" si="2"/>
        <v>0</v>
      </c>
      <c r="K50" s="320">
        <f t="shared" si="2"/>
        <v>0</v>
      </c>
      <c r="L50" s="320">
        <f t="shared" si="2"/>
        <v>0</v>
      </c>
      <c r="M50" s="320">
        <f t="shared" si="2"/>
        <v>7.3774196717136791E-5</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1.7348969328273242E-3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7.3774196717136791E-5</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481.91581467425669</v>
      </c>
      <c r="H54" s="21">
        <f t="shared" si="3"/>
        <v>0</v>
      </c>
      <c r="I54" s="21">
        <f t="shared" si="3"/>
        <v>0</v>
      </c>
      <c r="J54" s="21">
        <f t="shared" si="3"/>
        <v>0</v>
      </c>
      <c r="K54" s="21">
        <f t="shared" si="3"/>
        <v>0</v>
      </c>
      <c r="L54" s="21">
        <f t="shared" si="3"/>
        <v>0</v>
      </c>
      <c r="M54" s="21">
        <f t="shared" si="3"/>
        <v>20.492832421426886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0.21841403285345137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128.67152251802653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650.7380282943825</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650.7380282943825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2020-06-20T16:43:33Z</dcterms:modified>
</cp:coreProperties>
</file>