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<sst xmlns="http://schemas.openxmlformats.org/spreadsheetml/2006/main" count="2522" uniqueCount="977">
  <si>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</si>
  <si>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</si>
  <si>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</si>
  <si>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</si>
  <si>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</si>
  <si>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</si>
  <si>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</si>
  <si>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</si>
  <si>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</si>
  <si>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</si>
  <si>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</si>
  <si>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</si>
  <si>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</si>
  <si>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</si>
  <si>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</si>
  <si>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</si>
  <si>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</si>
  <si>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</si>
  <si>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</si>
  <si>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</si>
  <si>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</si>
  <si>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</si>
  <si>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</si>
  <si>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</si>
  <si>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</si>
  <si>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</si>
  <si>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</si>
  <si>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</si>
  <si>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</si>
  <si>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</si>
  <si>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</si>
  <si>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</si>
  <si>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</si>
  <si>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</si>
  <si>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</si>
  <si>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</si>
  <si>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</si>
  <si>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</si>
  <si>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</si>
  <si>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</si>
  <si>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</si>
  <si>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</si>
  <si>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</si>
  <si>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</si>
  <si>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</si>
  <si>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</si>
  <si>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</si>
  <si>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</si>
  <si>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</si>
  <si>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</si>
  <si>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</si>
  <si>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</si>
  <si>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</si>
  <si>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</si>
  <si>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</si>
  <si>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</si>
  <si>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</si>
  <si>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</si>
  <si>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</si>
  <si>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</si>
  <si>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</si>
  <si>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</si>
  <si>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</si>
  <si>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</si>
  <si>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</si>
  <si>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</si>
  <si>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</si>
  <si>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</si>
  <si>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</si>
  <si>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</si>
  <si>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</si>
  <si>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</si>
  <si>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</si>
  <si>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</si>
  <si>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</si>
  <si>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</si>
  <si>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</si>
  <si>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</si>
  <si>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</si>
  <si>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</si>
  <si>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</si>
  <si>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</si>
  <si>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</si>
  <si>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</si>
  <si>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</si>
  <si>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</si>
  <si>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</si>
  <si>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</si>
  <si>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</si>
  <si>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</si>
  <si>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</si>
  <si>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</si>
  <si>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</si>
  <si>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</si>
  <si>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</si>
  <si>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</si>
  <si>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</si>
  <si>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</si>
  <si>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</si>
  <si>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</si>
  <si>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</si>
  <si>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</si>
  <si>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</si>
  <si>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</si>
  <si>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</si>
  <si>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</si>
  <si>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</si>
  <si>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</si>
  <si>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</si>
  <si>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</si>
  <si>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</si>
  <si>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</si>
  <si>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</si>
  <si>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</si>
  <si>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</si>
  <si>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</si>
  <si>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</si>
  <si>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</si>
  <si>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</si>
  <si>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</si>
  <si>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</si>
  <si>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</si>
  <si>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</si>
  <si>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</si>
  <si>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</si>
  <si>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</si>
  <si>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</si>
  <si>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</si>
  <si>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</si>
  <si>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</si>
  <si>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</si>
  <si>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</si>
  <si>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</si>
  <si>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</si>
  <si>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</si>
  <si>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</si>
  <si>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</si>
  <si>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</si>
  <si>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</si>
  <si>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</si>
  <si>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</si>
  <si>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</si>
  <si>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</si>
  <si>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</si>
  <si>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</si>
  <si>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</si>
  <si>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</si>
  <si>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</si>
  <si>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</si>
  <si>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</si>
  <si>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</si>
  <si>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</si>
  <si>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</si>
  <si>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</si>
  <si>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</si>
  <si>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</si>
  <si>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</si>
  <si>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</si>
  <si>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</si>
  <si>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</si>
  <si>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</si>
  <si>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</si>
  <si>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</si>
  <si>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</si>
  <si>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</si>
  <si>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</si>
  <si>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</si>
  <si>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</si>
  <si>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</si>
  <si>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</si>
  <si>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</si>
  <si>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</si>
  <si>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</si>
  <si>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</si>
  <si>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</si>
  <si>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</si>
  <si>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</si>
  <si>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</si>
  <si>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</si>
  <si>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</si>
  <si>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</si>
  <si>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</si>
  <si>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</si>
  <si>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</si>
  <si>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</si>
  <si>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</si>
  <si>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</si>
  <si>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</si>
  <si>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</si>
  <si>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</si>
  <si>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</si>
  <si>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</si>
  <si>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</si>
  <si>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</si>
  <si>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</si>
  <si>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</si>
  <si>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</si>
  <si>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</si>
  <si>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</si>
  <si>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</si>
  <si>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</si>
  <si>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</si>
  <si>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</si>
  <si>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</si>
  <si>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</si>
  <si>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</si>
  <si>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</si>
  <si>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</si>
  <si>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</si>
  <si>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</si>
  <si>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</si>
  <si>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</si>
  <si>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</si>
  <si>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</si>
  <si>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</si>
  <si>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</si>
  <si>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</si>
  <si>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</si>
  <si>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</si>
  <si>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</si>
  <si>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</si>
  <si>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</si>
  <si>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</si>
  <si>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</si>
  <si>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</si>
  <si>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</si>
  <si>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</si>
  <si>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</si>
  <si>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</si>
  <si>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</si>
  <si>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</si>
  <si>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</si>
  <si>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</si>
  <si>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</si>
  <si>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</si>
  <si>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</si>
  <si>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</si>
  <si>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</si>
  <si>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</si>
  <si>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</si>
  <si>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</si>
  <si>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</si>
  <si>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</si>
  <si>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</si>
  <si>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</si>
  <si>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</si>
  <si>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</si>
  <si>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</si>
  <si>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</si>
  <si>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</si>
  <si>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</si>
  <si>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</si>
  <si>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</si>
  <si>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</si>
  <si>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</si>
  <si>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</si>
  <si>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</si>
  <si>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</si>
  <si>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</si>
  <si>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</si>
  <si>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</si>
  <si>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</si>
  <si>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</si>
  <si>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</si>
  <si>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</si>
  <si>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</si>
  <si>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</si>
  <si>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</si>
  <si>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</si>
  <si>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</si>
  <si>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</si>
  <si>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</si>
  <si>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</si>
  <si>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</si>
  <si>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</si>
  <si>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</si>
  <si>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</si>
  <si>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</si>
  <si>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</si>
  <si>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</si>
  <si>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</si>
  <si>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</si>
  <si>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</si>
  <si>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</si>
  <si>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</si>
  <si>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</si>
  <si>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</si>
  <si>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</si>
  <si>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</si>
  <si>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</si>
  <si>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</si>
  <si>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</si>
  <si>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</si>
  <si>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</si>
  <si>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</si>
  <si>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</si>
  <si>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</si>
  <si>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</si>
  <si>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</si>
  <si>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</si>
  <si>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</si>
  <si>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</si>
  <si>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</si>
  <si>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</si>
  <si>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</si>
  <si>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</si>
  <si>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</si>
  <si>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</si>
  <si>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</si>
  <si>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</si>
  <si>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</si>
  <si>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</si>
  <si>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</si>
  <si>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</si>
  <si>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</si>
  <si>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</si>
  <si>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</si>
  <si>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</si>
  <si>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</si>
  <si>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</si>
  <si>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</si>
  <si>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</si>
  <si>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</si>
  <si>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</si>
  <si>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</si>
  <si>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</si>
  <si>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</si>
  <si>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</si>
  <si>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</si>
  <si>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</si>
  <si>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</si>
  <si>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</si>
  <si>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</si>
  <si>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</si>
  <si>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</si>
  <si>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</si>
  <si>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</si>
  <si>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</si>
  <si>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</si>
  <si>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</si>
  <si>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</si>
  <si>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</si>
  <si>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</si>
  <si>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</si>
  <si>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</si>
  <si>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</si>
  <si>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</si>
  <si>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</si>
  <si>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</si>
  <si>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</si>
  <si>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</si>
  <si>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</si>
  <si>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</si>
  <si>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</si>
  <si>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</si>
  <si>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</si>
  <si>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</si>
  <si>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</si>
  <si>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</si>
  <si>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</si>
  <si>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</si>
  <si>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</si>
  <si>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</si>
  <si>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</si>
  <si>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</si>
  <si>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</si>
  <si>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</si>
  <si>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</si>
  <si>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</si>
  <si>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</si>
  <si>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</si>
  <si>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</si>
  <si>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</si>
  <si>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</si>
  <si>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</si>
  <si>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</si>
  <si>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</si>
  <si>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</si>
  <si>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</si>
  <si>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</si>
  <si>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</si>
  <si>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</si>
  <si>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</si>
  <si>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</si>
  <si>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</si>
  <si>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</si>
  <si>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</si>
  <si>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</si>
  <si>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</si>
  <si>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</si>
  <si>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</si>
  <si>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</si>
  <si>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</si>
  <si>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</si>
  <si>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</si>
  <si>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</si>
  <si>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</si>
  <si>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</si>
  <si>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</si>
  <si>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</si>
  <si>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</si>
  <si>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</si>
  <si>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</si>
  <si>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</si>
  <si>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</si>
  <si>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</si>
  <si>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</si>
  <si>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</si>
  <si>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</si>
  <si>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</si>
  <si>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</si>
  <si>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</si>
  <si>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</si>
  <si>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</si>
  <si>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</si>
  <si>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</si>
  <si>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</si>
  <si>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</si>
  <si>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</si>
  <si>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</si>
  <si>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</si>
  <si>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</si>
  <si>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</si>
  <si>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</si>
  <si>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</si>
  <si>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</si>
  <si>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</si>
  <si>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</si>
  <si>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</si>
  <si>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</si>
  <si>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</si>
  <si>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</si>
  <si>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</si>
  <si>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</si>
  <si>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</si>
  <si>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</si>
  <si>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</si>
  <si>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</si>
  <si>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</si>
  <si>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</si>
  <si>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</si>
  <si>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</si>
  <si>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</si>
  <si>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</si>
  <si>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</si>
  <si>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</si>
  <si>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</si>
  <si>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</si>
  <si>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</si>
  <si>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</si>
  <si>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</si>
  <si>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</si>
  <si>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</si>
  <si>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</si>
  <si>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</si>
  <si>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</si>
  <si>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</si>
  <si>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</si>
  <si>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</si>
  <si>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</si>
  <si>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</si>
  <si>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</si>
  <si>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</si>
  <si>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</si>
  <si>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</si>
  <si>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</si>
  <si>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</si>
  <si>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</si>
  <si>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</si>
  <si>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</si>
  <si>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</si>
  <si>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</si>
  <si>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</si>
  <si>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</si>
  <si>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</si>
  <si>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</si>
  <si>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</si>
  <si>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</si>
  <si>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</si>
  <si>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</si>
  <si>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</si>
  <si>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</si>
  <si>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</si>
  <si>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</si>
  <si>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</si>
  <si>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</si>
  <si>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</si>
  <si>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</si>
  <si>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</si>
  <si>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</si>
  <si>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</si>
  <si>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</si>
  <si>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</si>
  <si>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</si>
  <si>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</si>
  <si>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</si>
  <si>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</si>
  <si>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</si>
  <si>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</si>
  <si>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</si>
  <si>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</si>
  <si>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</si>
  <si>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</si>
  <si>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</si>
  <si>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</si>
  <si>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</si>
  <si>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</si>
  <si>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</si>
  <si>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</si>
  <si>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</si>
  <si>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</si>
  <si>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</si>
  <si>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</si>
  <si>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</si>
  <si>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</si>
  <si>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</si>
  <si>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</si>
  <si>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</si>
  <si>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</si>
  <si>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</si>
  <si>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</si>
  <si>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</si>
  <si>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</si>
  <si>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</si>
  <si>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</si>
  <si>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</si>
  <si>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</si>
  <si>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</si>
  <si>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</si>
  <si>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</si>
  <si>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</si>
  <si>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</si>
  <si>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</si>
  <si>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</si>
  <si>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</si>
  <si>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</si>
  <si>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</si>
  <si>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</si>
  <si>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</si>
  <si>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</si>
  <si>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</si>
  <si>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</si>
  <si>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</si>
  <si>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</si>
  <si>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</si>
  <si>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</si>
  <si>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</si>
  <si>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</si>
  <si>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</si>
  <si>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</si>
  <si>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</si>
  <si>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</si>
  <si>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</si>
  <si>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</si>
  <si>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</si>
  <si>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</si>
  <si>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</si>
  <si>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</si>
  <si>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</si>
  <si>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</si>
  <si>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</si>
  <si>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</si>
  <si>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</si>
  <si>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</si>
  <si>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</si>
  <si>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</si>
  <si>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</si>
  <si>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</si>
  <si>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</si>
  <si>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</si>
  <si>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</si>
  <si>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</si>
  <si>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</si>
  <si>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</si>
  <si>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</si>
  <si>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</si>
  <si>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</si>
  <si>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</si>
  <si>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</si>
  <si>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</si>
  <si>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</si>
  <si>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</si>
  <si>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</si>
  <si>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</si>
  <si>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</si>
  <si>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</si>
  <si>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</si>
  <si>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</si>
  <si>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</si>
  <si>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</si>
  <si>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</si>
  <si>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</si>
  <si>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</si>
  <si>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</si>
  <si>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</si>
  <si>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</si>
  <si>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</si>
  <si>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</si>
  <si>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</si>
  <si>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</si>
  <si>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</si>
  <si>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</si>
  <si>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</si>
  <si>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</si>
  <si>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</si>
  <si>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</si>
  <si>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</si>
  <si>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</si>
  <si>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</si>
  <si>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</si>
  <si>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</si>
  <si>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</si>
  <si>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</si>
  <si>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</si>
  <si>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</si>
  <si>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</si>
  <si>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</si>
  <si>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</si>
  <si>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</si>
  <si>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</si>
  <si>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</si>
  <si>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</si>
  <si>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</si>
  <si>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</si>
  <si>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</si>
  <si>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</si>
  <si>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</si>
  <si>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</si>
  <si>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</si>
  <si>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</si>
  <si>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</si>
  <si>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</si>
  <si>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</si>
  <si>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</si>
  <si>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</si>
  <si>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</si>
  <si>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</si>
  <si>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</si>
  <si>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</si>
  <si>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</si>
  <si>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</si>
  <si>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</si>
  <si>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</si>
  <si>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</si>
  <si>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</si>
  <si>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</si>
  <si>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</si>
  <si>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</si>
  <si>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</si>
  <si>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</si>
  <si>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</si>
  <si>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</si>
  <si>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</si>
  <si>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</si>
  <si>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</si>
  <si>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</si>
  <si>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</si>
  <si>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</si>
  <si>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</si>
  <si>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</si>
  <si>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</si>
  <si>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</si>
  <si>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</si>
  <si>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</si>
  <si>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</si>
  <si>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</si>
  <si>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</si>
  <si>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</si>
  <si>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</si>
  <si>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</si>
  <si>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</si>
  <si>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</si>
  <si>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</si>
  <si>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</si>
  <si>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</si>
  <si>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</si>
  <si>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</si>
  <si>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</si>
  <si>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</si>
  <si>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</si>
  <si>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</si>
  <si>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</si>
  <si>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</si>
  <si>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</si>
  <si>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</si>
  <si>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</si>
  <si>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</si>
  <si>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</si>
  <si>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</si>
  <si>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</si>
  <si>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</si>
  <si>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</si>
  <si>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</si>
  <si>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</si>
  <si>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</si>
  <si>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</si>
  <si>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</si>
  <si>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</si>
  <si>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</si>
  <si>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</si>
  <si>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</si>
  <si>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</si>
  <si>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</si>
  <si>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</si>
  <si>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</si>
  <si>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</si>
  <si>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</si>
  <si>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</si>
  <si>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</si>
  <si>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</si>
  <si>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</si>
  <si>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</si>
  <si>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</si>
  <si>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</si>
  <si>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</si>
  <si>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</si>
  <si>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</si>
  <si>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</si>
  <si>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</si>
  <si>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</si>
  <si>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</si>
  <si>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</si>
  <si>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</si>
  <si>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</si>
  <si>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</si>
  <si>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</si>
  <si>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</si>
  <si>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</si>
  <si>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</si>
  <si>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</si>
  <si>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</si>
  <si>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</si>
  <si>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</si>
  <si>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</si>
  <si>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</si>
  <si>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</si>
  <si>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</si>
  <si>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</si>
  <si>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</si>
  <si>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</si>
  <si>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</si>
  <si>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</si>
  <si>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</si>
  <si>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</si>
  <si>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</si>
  <si>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</si>
  <si>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</si>
  <si>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</si>
  <si>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</si>
  <si>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</si>
  <si>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</si>
  <si>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</si>
  <si>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</si>
  <si>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</si>
  <si>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</si>
  <si>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</si>
  <si>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</si>
  <si>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</si>
  <si>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</si>
  <si>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</si>
  <si>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</si>
  <si>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</si>
  <si>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</si>
  <si>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</si>
  <si>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</si>
  <si>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</si>
  <si>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</si>
  <si>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</si>
  <si>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</si>
  <si>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</si>
  <si>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</si>
  <si>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</si>
  <si>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</si>
  <si>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</si>
  <si>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</si>
  <si>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</si>
  <si>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</si>
  <si>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</si>
  <si>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</si>
  <si>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</si>
  <si>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</si>
  <si>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</si>
  <si>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</si>
  <si>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</si>
  <si>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</si>
  <si>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</si>
  <si>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</si>
  <si>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</si>
  <si>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</si>
  <si>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</si>
  <si>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</si>
  <si>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</si>
  <si>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</si>
  <si>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</si>
  <si>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</si>
  <si>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</si>
  <si>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</si>
  <si>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</si>
  <si>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</si>
  <si>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</si>
  <si>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</si>
  <si>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</si>
  <si>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</si>
  <si>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</si>
  <si>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</si>
  <si>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</si>
  <si>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</si>
  <si>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</si>
  <si>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</si>
  <si>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</si>
  <si>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</si>
  <si>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</si>
  <si>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</si>
  <si>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</si>
  <si>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</si>
  <si>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</si>
  <si>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</si>
  <si>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</si>
  <si>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</si>
  <si>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</si>
  <si>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</si>
  <si>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</si>
  <si>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</si>
  <si>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</si>
  <si>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</si>
  <si>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</si>
  <si>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</si>
  <si>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</si>
  <si>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</si>
  <si>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</si>
  <si>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</si>
  <si>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</si>
  <si>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</si>
  <si>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</si>
  <si>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</si>
  <si>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</si>
  <si>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</si>
  <si>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</si>
  <si>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</si>
  <si>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</si>
  <si>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</si>
  <si>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</si>
  <si>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</si>
  <si>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</si>
  <si>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</si>
  <si>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</si>
  <si>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</si>
  <si>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</si>
  <si>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</si>
  <si>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</si>
  <si>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</si>
  <si>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</si>
  <si>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</si>
  <si>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</si>
  <si>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</si>
  <si>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</si>
  <si>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</si>
  <si>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</si>
  <si>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</si>
  <si>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</si>
  <si>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</si>
  <si>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</si>
  <si>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</si>
  <si>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</si>
  <si>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</si>
  <si>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</si>
  <si>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</si>
  <si>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</si>
  <si>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</si>
  <si>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</si>
  <si>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</si>
  <si>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</si>
  <si>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</si>
  <si>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</si>
  <si>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</si>
  <si>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</si>
  <si>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</si>
  <si>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</si>
  <si>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</si>
  <si>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</si>
  <si>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</si>
  <si>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</si>
  <si>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</si>
  <si>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</si>
  <si>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</si>
  <si>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</si>
  <si>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</si>
  <si>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</si>
  <si>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</si>
  <si>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</si>
  <si>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</si>
  <si>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</si>
  <si>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</si>
  <si>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</si>
  <si>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</si>
  <si>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</si>
  <si>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</si>
  <si>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</si>
  <si>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</si>
  <si>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</si>
  <si>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</si>
  <si>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</si>
  <si>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</si>
  <si>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</si>
  <si>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</si>
  <si>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</si>
  <si>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</si>
  <si>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</si>
  <si>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</si>
  <si>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</si>
  <si>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</si>
  <si>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</si>
  <si>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</si>
  <si>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</si>
  <si>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</si>
  <si>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</si>
  <si>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</si>
  <si>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</si>
  <si>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</si>
  <si>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</si>
  <si>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</si>
  <si>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</si>
  <si>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</si>
  <si>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</si>
  <si>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</si>
  <si>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</si>
  <si>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</si>
  <si>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</si>
  <si>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</si>
  <si>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</si>
  <si>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</si>
  <si>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</si>
  <si>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</si>
  <si>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</si>
  <si>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</si>
  <si>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</si>
  <si>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</si>
  <si>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</si>
  <si>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</si>
  <si>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</si>
  <si>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</si>
  <si>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</si>
  <si>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</si>
  <si>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</si>
  <si>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</si>
  <si>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</si>
  <si>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</si>
  <si>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</si>
  <si>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</si>
  <si>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</si>
  <si>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</si>
  <si>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</si>
  <si>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</si>
  <si>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</si>
  <si>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</si>
  <si>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</si>
  <si>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</si>
  <si>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</si>
  <si>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</si>
  <si>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</si>
  <si>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</si>
  <si>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</si>
  <si>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</si>
  <si>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</si>
  <si>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45057</t>
  </si>
  <si>
    <t>ZINGEM</t>
  </si>
  <si>
    <t>Paarden&amp;pony's 200 - 600 kg</t>
  </si>
  <si>
    <t>Paarden&amp;pony's &lt; 200 kg</t>
  </si>
  <si>
    <t>Fluvius</t>
  </si>
  <si>
    <t xml:space="preserve">Bron: </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</si>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</sst>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45057</v>
      </c>
      <c r="B6" s="394"/>
      <c r="C6" s="395"/>
    </row>
    <row r="7" spans="1:7" s="392" customFormat="1" ht="15.75" customHeight="1">
      <c r="A7" s="396" t="str">
        <f>txtMunicipality</f>
        <v>ZINGEM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0.21504034798320032</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0.21504034798320032</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2898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1571</v>
      </c>
      <c r="C14" s="331"/>
      <c r="D14" s="331"/>
      <c r="E14" s="331"/>
      <c r="F14" s="331"/>
    </row>
    <row r="15" spans="1:6">
      <c r="A15" s="1290" t="s">
        <v>183</v>
      </c>
      <c r="B15" s="1291">
        <v>11</v>
      </c>
      <c r="C15" s="331"/>
      <c r="D15" s="331"/>
      <c r="E15" s="331"/>
      <c r="F15" s="331"/>
    </row>
    <row r="16" spans="1:6">
      <c r="A16" s="1290" t="s">
        <v>6</v>
      </c>
      <c r="B16" s="1291">
        <v>320</v>
      </c>
      <c r="C16" s="331"/>
      <c r="D16" s="331"/>
      <c r="E16" s="331"/>
      <c r="F16" s="331"/>
    </row>
    <row r="17" spans="1:6">
      <c r="A17" s="1290" t="s">
        <v>7</v>
      </c>
      <c r="B17" s="1291">
        <v>317</v>
      </c>
      <c r="C17" s="331"/>
      <c r="D17" s="331"/>
      <c r="E17" s="331"/>
      <c r="F17" s="331"/>
    </row>
    <row r="18" spans="1:6">
      <c r="A18" s="1290" t="s">
        <v>8</v>
      </c>
      <c r="B18" s="1291">
        <v>460</v>
      </c>
      <c r="C18" s="331"/>
      <c r="D18" s="331"/>
      <c r="E18" s="331"/>
      <c r="F18" s="331"/>
    </row>
    <row r="19" spans="1:6">
      <c r="A19" s="1290" t="s">
        <v>9</v>
      </c>
      <c r="B19" s="1291">
        <v>420</v>
      </c>
      <c r="C19" s="331"/>
      <c r="D19" s="331"/>
      <c r="E19" s="331"/>
      <c r="F19" s="331"/>
    </row>
    <row r="20" spans="1:6">
      <c r="A20" s="1290" t="s">
        <v>10</v>
      </c>
      <c r="B20" s="1291">
        <v>334</v>
      </c>
      <c r="C20" s="331"/>
      <c r="D20" s="331"/>
      <c r="E20" s="331"/>
      <c r="F20" s="331"/>
    </row>
    <row r="21" spans="1:6">
      <c r="A21" s="1290" t="s">
        <v>11</v>
      </c>
      <c r="B21" s="1291">
        <v>1814</v>
      </c>
      <c r="C21" s="331"/>
      <c r="D21" s="331"/>
      <c r="E21" s="331"/>
      <c r="F21" s="331"/>
    </row>
    <row r="22" spans="1:6">
      <c r="A22" s="1290" t="s">
        <v>12</v>
      </c>
      <c r="B22" s="1291">
        <v>4351</v>
      </c>
      <c r="C22" s="331"/>
      <c r="D22" s="331"/>
      <c r="E22" s="331"/>
      <c r="F22" s="331"/>
    </row>
    <row r="23" spans="1:6">
      <c r="A23" s="1290" t="s">
        <v>13</v>
      </c>
      <c r="B23" s="1291">
        <v>97</v>
      </c>
      <c r="C23" s="331"/>
      <c r="D23" s="331"/>
      <c r="E23" s="331"/>
      <c r="F23" s="331"/>
    </row>
    <row r="24" spans="1:6">
      <c r="A24" s="1290" t="s">
        <v>14</v>
      </c>
      <c r="B24" s="1291">
        <v>6</v>
      </c>
      <c r="C24" s="331"/>
      <c r="D24" s="331"/>
      <c r="E24" s="331"/>
      <c r="F24" s="331"/>
    </row>
    <row r="25" spans="1:6">
      <c r="A25" s="1290" t="s">
        <v>15</v>
      </c>
      <c r="B25" s="1291">
        <v>487</v>
      </c>
      <c r="C25" s="331"/>
      <c r="D25" s="331"/>
      <c r="E25" s="331"/>
      <c r="F25" s="331"/>
    </row>
    <row r="26" spans="1:6">
      <c r="A26" s="1290" t="s">
        <v>16</v>
      </c>
      <c r="B26" s="1291">
        <v>99</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89</v>
      </c>
      <c r="C29" s="337"/>
      <c r="D29" s="337"/>
      <c r="E29" s="337"/>
      <c r="F29" s="337"/>
    </row>
    <row r="30" spans="1:6">
      <c r="A30" s="1285" t="s">
        <v>967</v>
      </c>
      <c r="B30" s="1294">
        <v>8</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40121.640600976403</v>
      </c>
    </row>
    <row r="39" spans="1:6">
      <c r="A39" s="1290" t="s">
        <v>29</v>
      </c>
      <c r="B39" s="1290" t="s">
        <v>30</v>
      </c>
      <c r="C39" s="1291">
        <v>903</v>
      </c>
      <c r="D39" s="1291">
        <v>13415203.1848532</v>
      </c>
      <c r="E39" s="1291">
        <v>2777</v>
      </c>
      <c r="F39" s="1291">
        <v>13895975.758332999</v>
      </c>
    </row>
    <row r="40" spans="1:6">
      <c r="A40" s="1290" t="s">
        <v>29</v>
      </c>
      <c r="B40" s="1290" t="s">
        <v>28</v>
      </c>
      <c r="C40" s="1291">
        <v>0</v>
      </c>
      <c r="D40" s="1291">
        <v>0</v>
      </c>
      <c r="E40" s="1291">
        <v>0</v>
      </c>
      <c r="F40" s="1291">
        <v>0</v>
      </c>
    </row>
    <row r="41" spans="1:6">
      <c r="A41" s="1290" t="s">
        <v>31</v>
      </c>
      <c r="B41" s="1290" t="s">
        <v>32</v>
      </c>
      <c r="C41" s="1291">
        <v>5</v>
      </c>
      <c r="D41" s="1291">
        <v>90838.341045266498</v>
      </c>
      <c r="E41" s="1291">
        <v>68</v>
      </c>
      <c r="F41" s="1291">
        <v>1312520.90362004</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3</v>
      </c>
      <c r="F44" s="1291">
        <v>312960.77735139598</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20</v>
      </c>
      <c r="D48" s="1291">
        <v>5352606.6045363201</v>
      </c>
      <c r="E48" s="1291">
        <v>32</v>
      </c>
      <c r="F48" s="1291">
        <v>4363286.2846283102</v>
      </c>
    </row>
    <row r="49" spans="1:6">
      <c r="A49" s="1290" t="s">
        <v>31</v>
      </c>
      <c r="B49" s="1290" t="s">
        <v>39</v>
      </c>
      <c r="C49" s="1291">
        <v>0</v>
      </c>
      <c r="D49" s="1291">
        <v>0</v>
      </c>
      <c r="E49" s="1291">
        <v>0</v>
      </c>
      <c r="F49" s="1291">
        <v>0</v>
      </c>
    </row>
    <row r="50" spans="1:6">
      <c r="A50" s="1290" t="s">
        <v>31</v>
      </c>
      <c r="B50" s="1290" t="s">
        <v>40</v>
      </c>
      <c r="C50" s="1291">
        <v>0</v>
      </c>
      <c r="D50" s="1291">
        <v>0</v>
      </c>
      <c r="E50" s="1291">
        <v>4</v>
      </c>
      <c r="F50" s="1291">
        <v>227258.88915067801</v>
      </c>
    </row>
    <row r="51" spans="1:6">
      <c r="A51" s="1290" t="s">
        <v>41</v>
      </c>
      <c r="B51" s="1290" t="s">
        <v>42</v>
      </c>
      <c r="C51" s="1291">
        <v>0</v>
      </c>
      <c r="D51" s="1291">
        <v>0</v>
      </c>
      <c r="E51" s="1291">
        <v>43</v>
      </c>
      <c r="F51" s="1291">
        <v>676217.86003084504</v>
      </c>
    </row>
    <row r="52" spans="1:6">
      <c r="A52" s="1290" t="s">
        <v>41</v>
      </c>
      <c r="B52" s="1290" t="s">
        <v>28</v>
      </c>
      <c r="C52" s="1291">
        <v>2</v>
      </c>
      <c r="D52" s="1291">
        <v>43170.423993058903</v>
      </c>
      <c r="E52" s="1291">
        <v>4</v>
      </c>
      <c r="F52" s="1291">
        <v>47490.775569744997</v>
      </c>
    </row>
    <row r="53" spans="1:6">
      <c r="A53" s="1290" t="s">
        <v>43</v>
      </c>
      <c r="B53" s="1290" t="s">
        <v>44</v>
      </c>
      <c r="C53" s="1291">
        <v>34</v>
      </c>
      <c r="D53" s="1291">
        <v>539725.77466219</v>
      </c>
      <c r="E53" s="1291">
        <v>113</v>
      </c>
      <c r="F53" s="1291">
        <v>697207.17745789303</v>
      </c>
    </row>
    <row r="54" spans="1:6">
      <c r="A54" s="1290" t="s">
        <v>45</v>
      </c>
      <c r="B54" s="1290" t="s">
        <v>46</v>
      </c>
      <c r="C54" s="1291">
        <v>0</v>
      </c>
      <c r="D54" s="1291">
        <v>0</v>
      </c>
      <c r="E54" s="1291">
        <v>1</v>
      </c>
      <c r="F54" s="1291">
        <v>513272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4</v>
      </c>
      <c r="D57" s="1291">
        <v>107114.540691986</v>
      </c>
      <c r="E57" s="1291">
        <v>36</v>
      </c>
      <c r="F57" s="1291">
        <v>457633.20962064102</v>
      </c>
    </row>
    <row r="58" spans="1:6">
      <c r="A58" s="1290" t="s">
        <v>48</v>
      </c>
      <c r="B58" s="1290" t="s">
        <v>50</v>
      </c>
      <c r="C58" s="1291">
        <v>0</v>
      </c>
      <c r="D58" s="1291">
        <v>0</v>
      </c>
      <c r="E58" s="1291">
        <v>4</v>
      </c>
      <c r="F58" s="1291">
        <v>37935.331551875497</v>
      </c>
    </row>
    <row r="59" spans="1:6">
      <c r="A59" s="1290" t="s">
        <v>48</v>
      </c>
      <c r="B59" s="1290" t="s">
        <v>51</v>
      </c>
      <c r="C59" s="1291">
        <v>3</v>
      </c>
      <c r="D59" s="1291">
        <v>100666.09270784201</v>
      </c>
      <c r="E59" s="1291">
        <v>63</v>
      </c>
      <c r="F59" s="1291">
        <v>1768231.5716865901</v>
      </c>
    </row>
    <row r="60" spans="1:6">
      <c r="A60" s="1290" t="s">
        <v>48</v>
      </c>
      <c r="B60" s="1290" t="s">
        <v>52</v>
      </c>
      <c r="C60" s="1291">
        <v>10</v>
      </c>
      <c r="D60" s="1291">
        <v>326423.00919012498</v>
      </c>
      <c r="E60" s="1291">
        <v>25</v>
      </c>
      <c r="F60" s="1291">
        <v>833873.21440507099</v>
      </c>
    </row>
    <row r="61" spans="1:6">
      <c r="A61" s="1290" t="s">
        <v>48</v>
      </c>
      <c r="B61" s="1290" t="s">
        <v>53</v>
      </c>
      <c r="C61" s="1291">
        <v>19</v>
      </c>
      <c r="D61" s="1291">
        <v>353756.86894721602</v>
      </c>
      <c r="E61" s="1291">
        <v>92</v>
      </c>
      <c r="F61" s="1291">
        <v>1017372.87345415</v>
      </c>
    </row>
    <row r="62" spans="1:6">
      <c r="A62" s="1290" t="s">
        <v>48</v>
      </c>
      <c r="B62" s="1290" t="s">
        <v>54</v>
      </c>
      <c r="C62" s="1291">
        <v>0</v>
      </c>
      <c r="D62" s="1291">
        <v>0</v>
      </c>
      <c r="E62" s="1291">
        <v>0</v>
      </c>
      <c r="F62" s="1291">
        <v>0</v>
      </c>
    </row>
    <row r="63" spans="1:6">
      <c r="A63" s="1290" t="s">
        <v>48</v>
      </c>
      <c r="B63" s="1290" t="s">
        <v>28</v>
      </c>
      <c r="C63" s="1291">
        <v>37</v>
      </c>
      <c r="D63" s="1291">
        <v>1668382.5872244199</v>
      </c>
      <c r="E63" s="1291">
        <v>91</v>
      </c>
      <c r="F63" s="1291">
        <v>1495369.83554505</v>
      </c>
    </row>
    <row r="64" spans="1:6">
      <c r="A64" s="1290" t="s">
        <v>55</v>
      </c>
      <c r="B64" s="1290" t="s">
        <v>56</v>
      </c>
      <c r="C64" s="1291">
        <v>0</v>
      </c>
      <c r="D64" s="1291">
        <v>0</v>
      </c>
      <c r="E64" s="1291">
        <v>0</v>
      </c>
      <c r="F64" s="1291">
        <v>0</v>
      </c>
    </row>
    <row r="65" spans="1:6">
      <c r="A65" s="1290" t="s">
        <v>55</v>
      </c>
      <c r="B65" s="1290" t="s">
        <v>28</v>
      </c>
      <c r="C65" s="1291">
        <v>1</v>
      </c>
      <c r="D65" s="1291">
        <v>10788.602860954399</v>
      </c>
      <c r="E65" s="1291">
        <v>1</v>
      </c>
      <c r="F65" s="1291">
        <v>2716.1644119593002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10536.2069652624</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48219927</v>
      </c>
      <c r="E73" s="455"/>
      <c r="F73" s="331"/>
    </row>
    <row r="74" spans="1:6">
      <c r="A74" s="1290" t="s">
        <v>63</v>
      </c>
      <c r="B74" s="1290" t="s">
        <v>773</v>
      </c>
      <c r="C74" s="1304" t="s">
        <v>774</v>
      </c>
      <c r="D74" s="1305">
        <v>5202305.0441817595</v>
      </c>
      <c r="E74" s="455"/>
      <c r="F74" s="331"/>
    </row>
    <row r="75" spans="1:6">
      <c r="A75" s="1290" t="s">
        <v>64</v>
      </c>
      <c r="B75" s="1290" t="s">
        <v>771</v>
      </c>
      <c r="C75" s="1304" t="s">
        <v>775</v>
      </c>
      <c r="D75" s="1305">
        <v>8005688</v>
      </c>
      <c r="E75" s="455"/>
      <c r="F75" s="331"/>
    </row>
    <row r="76" spans="1:6">
      <c r="A76" s="1290" t="s">
        <v>64</v>
      </c>
      <c r="B76" s="1290" t="s">
        <v>773</v>
      </c>
      <c r="C76" s="1304" t="s">
        <v>776</v>
      </c>
      <c r="D76" s="1305">
        <v>223942.0441817597</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65799.911636480567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768.99646419095211</v>
      </c>
      <c r="C91" s="331"/>
      <c r="D91" s="331"/>
      <c r="E91" s="331"/>
      <c r="F91" s="331"/>
    </row>
    <row r="92" spans="1:6">
      <c r="A92" s="1285" t="s">
        <v>68</v>
      </c>
      <c r="B92" s="1286">
        <v>0</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173</v>
      </c>
      <c r="C97" s="331"/>
      <c r="D97" s="331"/>
      <c r="E97" s="331"/>
      <c r="F97" s="331"/>
    </row>
    <row r="98" spans="1:6">
      <c r="A98" s="1290" t="s">
        <v>71</v>
      </c>
      <c r="B98" s="1291">
        <v>0</v>
      </c>
      <c r="C98" s="331"/>
      <c r="D98" s="331"/>
      <c r="E98" s="331"/>
      <c r="F98" s="331"/>
    </row>
    <row r="99" spans="1:6">
      <c r="A99" s="1290" t="s">
        <v>72</v>
      </c>
      <c r="B99" s="1291">
        <v>52</v>
      </c>
      <c r="C99" s="331"/>
      <c r="D99" s="331"/>
      <c r="E99" s="331"/>
      <c r="F99" s="331"/>
    </row>
    <row r="100" spans="1:6">
      <c r="A100" s="1290" t="s">
        <v>73</v>
      </c>
      <c r="B100" s="1291">
        <v>289</v>
      </c>
      <c r="C100" s="331"/>
      <c r="D100" s="331"/>
      <c r="E100" s="331"/>
      <c r="F100" s="331"/>
    </row>
    <row r="101" spans="1:6">
      <c r="A101" s="1290" t="s">
        <v>74</v>
      </c>
      <c r="B101" s="1291">
        <v>47</v>
      </c>
      <c r="C101" s="331"/>
      <c r="D101" s="331"/>
      <c r="E101" s="331"/>
      <c r="F101" s="331"/>
    </row>
    <row r="102" spans="1:6">
      <c r="A102" s="1290" t="s">
        <v>75</v>
      </c>
      <c r="B102" s="1291">
        <v>50</v>
      </c>
      <c r="C102" s="331"/>
      <c r="D102" s="331"/>
      <c r="E102" s="331"/>
      <c r="F102" s="331"/>
    </row>
    <row r="103" spans="1:6">
      <c r="A103" s="1290" t="s">
        <v>76</v>
      </c>
      <c r="B103" s="1291">
        <v>97</v>
      </c>
      <c r="C103" s="331"/>
      <c r="D103" s="331"/>
      <c r="E103" s="331"/>
      <c r="F103" s="331"/>
    </row>
    <row r="104" spans="1:6">
      <c r="A104" s="1290" t="s">
        <v>77</v>
      </c>
      <c r="B104" s="1291">
        <v>1833</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3</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31</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28449.846694959866</v>
      </c>
      <c r="C3" s="43" t="s">
        <v>169</v>
      </c>
      <c r="D3" s="43"/>
      <c r="E3" s="156"/>
      <c r="F3" s="43"/>
      <c r="G3" s="43"/>
      <c r="H3" s="43"/>
      <c r="I3" s="43"/>
      <c r="J3" s="43"/>
      <c r="K3" s="96"/>
    </row>
    <row r="4" spans="1:11">
      <c r="A4" s="362" t="s">
        <v>170</v>
      </c>
      <c r="B4" s="49">
        <f>IF(ISERROR('SEAP template'!B78+'SEAP template'!C78),0,'SEAP template'!B78+'SEAP template'!C78)</f>
        <v>792.84646419095213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5.6678823529411773</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0.21504034798320032</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8.0969747899159685</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34.071428571428577</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513.27200000000005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513.27200000000005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0.21504034798320032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110.3741894900332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13895.975758332999</v>
      </c>
      <c r="C5" s="17">
        <f>IF(ISERROR('Eigen informatie GS &amp; warmtenet'!B57),0,'Eigen informatie GS &amp; warmtenet'!B57)</f>
        <v>0</v>
      </c>
      <c r="D5" s="30">
        <f>(SUM(HH_hh_gas_kWh,HH_rest_gas_kWh)/1000)*0.902</f>
        <v>12100.513272737588</v>
      </c>
      <c r="E5" s="17">
        <f>B46*B57</f>
        <v>7208.4367660085845</v>
      </c>
      <c r="F5" s="17">
        <f>B51*B62</f>
        <v>26611.326814429827</v>
      </c>
      <c r="G5" s="18"/>
      <c r="H5" s="17"/>
      <c r="I5" s="17"/>
      <c r="J5" s="17">
        <f>B50*B61+C50*C61</f>
        <v>692.65245202370409</v>
      </c>
      <c r="K5" s="17"/>
      <c r="L5" s="17"/>
      <c r="M5" s="17"/>
      <c r="N5" s="17">
        <f>B48*B59+C48*C59</f>
        <v>5792.3442099032063</v>
      </c>
      <c r="O5" s="17">
        <f>B69*B70*B71</f>
        <v>53.153333333333336</v>
      </c>
      <c r="P5" s="17">
        <f>B77*B78*B79/1000-B77*B78*B79/1000/B80</f>
        <v>95.333333333333343</v>
      </c>
    </row>
    <row r="6" spans="1:16">
      <c r="A6" s="16" t="s">
        <v>631</v>
      </c>
      <c r="B6" s="776">
        <f>kWh_PV_kleiner_dan_10kW</f>
        <v>768.99646419095211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14664.972222523951</v>
      </c>
      <c r="C8" s="21">
        <f>C5</f>
        <v>0</v>
      </c>
      <c r="D8" s="21">
        <f>D5</f>
        <v>12100.513272737588</v>
      </c>
      <c r="E8" s="21">
        <f>E5</f>
        <v>7208.4367660085845</v>
      </c>
      <c r="F8" s="21">
        <f>F5</f>
        <v>26611.326814429827</v>
      </c>
      <c r="G8" s="21"/>
      <c r="H8" s="21"/>
      <c r="I8" s="21"/>
      <c r="J8" s="21">
        <f>J5</f>
        <v>692.65245202370409</v>
      </c>
      <c r="K8" s="21"/>
      <c r="L8" s="21">
        <f>L5</f>
        <v>0</v>
      </c>
      <c r="M8" s="21">
        <f>M5</f>
        <v>0</v>
      </c>
      <c r="N8" s="21">
        <f>N5</f>
        <v>5792.3442099032063</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213</v>
      </c>
      <c r="B10" s="25">
        <f ca="1">'EF ele_warmte'!B12</f>
        <v>0.21504034798320032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3153.5607298955169</v>
      </c>
      <c r="C12" s="23">
        <f ca="1">C10*C8</f>
        <v>0</v>
      </c>
      <c r="D12" s="23">
        <f>D8*D10</f>
        <v>2444.303681092993</v>
      </c>
      <c r="E12" s="23">
        <f>E10*E8</f>
        <v>1636.3151458839488</v>
      </c>
      <c r="F12" s="23">
        <f>F10*F8</f>
        <v>7105.2242594527643</v>
      </c>
      <c r="G12" s="23"/>
      <c r="H12" s="23"/>
      <c r="I12" s="23"/>
      <c r="J12" s="23">
        <f>J10*J8</f>
        <v>245.19896801639123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173</v>
      </c>
      <c r="C18" s="167" t="s">
        <v>110</v>
      </c>
      <c r="D18" s="229"/>
      <c r="E18" s="15"/>
    </row>
    <row r="19" spans="1:7">
      <c r="A19" s="172" t="s">
        <v>71</v>
      </c>
      <c r="B19" s="37">
        <f>aantalw2001_ander</f>
        <v>0</v>
      </c>
      <c r="C19" s="167" t="s">
        <v>110</v>
      </c>
      <c r="D19" s="230"/>
      <c r="E19" s="15"/>
    </row>
    <row r="20" spans="1:7">
      <c r="A20" s="172" t="s">
        <v>72</v>
      </c>
      <c r="B20" s="37">
        <f>aantalw2001_propaan</f>
        <v>52</v>
      </c>
      <c r="C20" s="168">
        <f>IF(ISERROR(B20/SUM($B$20,$B$21,$B$22)*100),0,B20/SUM($B$20,$B$21,$B$22)*100)</f>
        <v>13.402061855670103</v>
      </c>
      <c r="D20" s="230"/>
      <c r="E20" s="15"/>
    </row>
    <row r="21" spans="1:7">
      <c r="A21" s="172" t="s">
        <v>73</v>
      </c>
      <c r="B21" s="37">
        <f>aantalw2001_elektriciteit</f>
        <v>289</v>
      </c>
      <c r="C21" s="168">
        <f>IF(ISERROR(B21/SUM($B$20,$B$21,$B$22)*100),0,B21/SUM($B$20,$B$21,$B$22)*100)</f>
        <v>74.484536082474222</v>
      </c>
      <c r="D21" s="230"/>
      <c r="E21" s="15"/>
    </row>
    <row r="22" spans="1:7">
      <c r="A22" s="172" t="s">
        <v>74</v>
      </c>
      <c r="B22" s="37">
        <f>aantalw2001_hout</f>
        <v>47</v>
      </c>
      <c r="C22" s="168">
        <f>IF(ISERROR(B22/SUM($B$20,$B$21,$B$22)*100),0,B22/SUM($B$20,$B$21,$B$22)*100)</f>
        <v>12.11340206185567</v>
      </c>
      <c r="D22" s="230"/>
      <c r="E22" s="15"/>
    </row>
    <row r="23" spans="1:7">
      <c r="A23" s="172" t="s">
        <v>75</v>
      </c>
      <c r="B23" s="37">
        <f>aantalw2001_niet_gespec</f>
        <v>50</v>
      </c>
      <c r="C23" s="167" t="s">
        <v>110</v>
      </c>
      <c r="D23" s="229"/>
      <c r="E23" s="15"/>
    </row>
    <row r="24" spans="1:7">
      <c r="A24" s="172" t="s">
        <v>76</v>
      </c>
      <c r="B24" s="37">
        <f>aantalw2001_steenkool</f>
        <v>97</v>
      </c>
      <c r="C24" s="167" t="s">
        <v>110</v>
      </c>
      <c r="D24" s="230"/>
      <c r="E24" s="15"/>
    </row>
    <row r="25" spans="1:7">
      <c r="A25" s="172" t="s">
        <v>77</v>
      </c>
      <c r="B25" s="37">
        <f>aantalw2001_stookolie</f>
        <v>1833</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2898</v>
      </c>
      <c r="C28" s="36"/>
      <c r="D28" s="229"/>
    </row>
    <row r="29" spans="1:7" s="15" customFormat="1">
      <c r="A29" s="231" t="s">
        <v>712</v>
      </c>
      <c r="B29" s="37">
        <f>SUM(HH_hh_gas_aantal,HH_rest_gas_aantal)</f>
        <v>903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903</v>
      </c>
      <c r="C32" s="168">
        <f>IF(ISERROR(B32/SUM($B$32,$B$34,$B$35,$B$36,$B$38,$B$39)*100),0,B32/SUM($B$32,$B$34,$B$35,$B$36,$B$38,$B$39)*100)</f>
        <v>31.213273418596611</v>
      </c>
      <c r="D32" s="234"/>
      <c r="G32" s="15"/>
    </row>
    <row r="33" spans="1:7">
      <c r="A33" s="172" t="s">
        <v>71</v>
      </c>
      <c r="B33" s="34" t="s">
        <v>110</v>
      </c>
      <c r="C33" s="168"/>
      <c r="D33" s="234"/>
      <c r="G33" s="15"/>
    </row>
    <row r="34" spans="1:7">
      <c r="A34" s="172" t="s">
        <v>72</v>
      </c>
      <c r="B34" s="33">
        <f>IF((($B$28-$B$32-$B$39-$B$77-$B$38)*C20/100)&lt;0,0,($B$28-$B$32-$B$39-$B$77-$B$38)*C20/100)</f>
        <v>105.87628865979381</v>
      </c>
      <c r="C34" s="168">
        <f>IF(ISERROR(B34/SUM($B$32,$B$34,$B$35,$B$36,$B$38,$B$39)*100),0,B34/SUM($B$32,$B$34,$B$35,$B$36,$B$38,$B$39)*100)</f>
        <v>3.6597403615552651</v>
      </c>
      <c r="D34" s="234"/>
      <c r="G34" s="15"/>
    </row>
    <row r="35" spans="1:7">
      <c r="A35" s="172" t="s">
        <v>73</v>
      </c>
      <c r="B35" s="33">
        <f>IF((($B$28-$B$32-$B$39-$B$77-$B$38)*C21/100)&lt;0,0,($B$28-$B$32-$B$39-$B$77-$B$38)*C21/100)</f>
        <v>588.42783505154637</v>
      </c>
      <c r="C35" s="168">
        <f>IF(ISERROR(B35/SUM($B$32,$B$34,$B$35,$B$36,$B$38,$B$39)*100),0,B35/SUM($B$32,$B$34,$B$35,$B$36,$B$38,$B$39)*100)</f>
        <v>20.339710855566757</v>
      </c>
      <c r="D35" s="234"/>
      <c r="G35" s="15"/>
    </row>
    <row r="36" spans="1:7">
      <c r="A36" s="172" t="s">
        <v>74</v>
      </c>
      <c r="B36" s="33">
        <f>IF((($B$28-$B$32-$B$39-$B$77-$B$38)*C22/100)&lt;0,0,($B$28-$B$32-$B$39-$B$77-$B$38)*C22/100)</f>
        <v>95.69587628865979</v>
      </c>
      <c r="C36" s="168">
        <f>IF(ISERROR(B36/SUM($B$32,$B$34,$B$35,$B$36,$B$38,$B$39)*100),0,B36/SUM($B$32,$B$34,$B$35,$B$36,$B$38,$B$39)*100)</f>
        <v>3.3078422498672584</v>
      </c>
      <c r="D36" s="234"/>
      <c r="G36" s="15"/>
    </row>
    <row r="37" spans="1:7">
      <c r="A37" s="172" t="s">
        <v>75</v>
      </c>
      <c r="B37" s="34" t="s">
        <v>110</v>
      </c>
      <c r="C37" s="168"/>
      <c r="D37" s="174"/>
      <c r="G37" s="15"/>
    </row>
    <row r="38" spans="1:7">
      <c r="A38" s="172" t="s">
        <v>76</v>
      </c>
      <c r="B38" s="33">
        <f>IF((B24-(B29-B18)*0.1)&lt;0,0,B24-(B29-B18)*0.1)</f>
        <v>24</v>
      </c>
      <c r="C38" s="168">
        <f>IF(ISERROR(B38/SUM($B$32,$B$34,$B$35,$B$36,$B$38,$B$39)*100),0,B38/SUM($B$32,$B$34,$B$35,$B$36,$B$38,$B$39)*100)</f>
        <v>0.8295886622882821</v>
      </c>
      <c r="D38" s="235"/>
      <c r="G38" s="15"/>
    </row>
    <row r="39" spans="1:7">
      <c r="A39" s="172" t="s">
        <v>77</v>
      </c>
      <c r="B39" s="33">
        <f>IF((B25-(B29-B18))&lt;0,0,B25-(B29-B18)*0.9)</f>
        <v>1176</v>
      </c>
      <c r="C39" s="168">
        <f>IF(ISERROR(B39/SUM($B$32,$B$34,$B$35,$B$36,$B$38,$B$39)*100),0,B39/SUM($B$32,$B$34,$B$35,$B$36,$B$38,$B$39)*100)</f>
        <v>40.649844452125819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903</v>
      </c>
      <c r="C44" s="34" t="s">
        <v>110</v>
      </c>
      <c r="D44" s="175"/>
    </row>
    <row r="45" spans="1:7">
      <c r="A45" s="172" t="s">
        <v>71</v>
      </c>
      <c r="B45" s="33" t="str">
        <f t="shared" si="0"/>
        <v>-</v>
      </c>
      <c r="C45" s="34" t="s">
        <v>110</v>
      </c>
      <c r="D45" s="175"/>
    </row>
    <row r="46" spans="1:7">
      <c r="A46" s="172" t="s">
        <v>72</v>
      </c>
      <c r="B46" s="33">
        <f t="shared" si="0"/>
        <v>105.87628865979381</v>
      </c>
      <c r="C46" s="34" t="s">
        <v>110</v>
      </c>
      <c r="D46" s="175"/>
    </row>
    <row r="47" spans="1:7">
      <c r="A47" s="172" t="s">
        <v>73</v>
      </c>
      <c r="B47" s="33">
        <f t="shared" si="0"/>
        <v>588.42783505154637</v>
      </c>
      <c r="C47" s="34" t="s">
        <v>110</v>
      </c>
      <c r="D47" s="175"/>
    </row>
    <row r="48" spans="1:7">
      <c r="A48" s="172" t="s">
        <v>74</v>
      </c>
      <c r="B48" s="33">
        <f t="shared" si="0"/>
        <v>95.69587628865979</v>
      </c>
      <c r="C48" s="33">
        <f>B48*10</f>
        <v>956.95876288659792</v>
      </c>
      <c r="D48" s="235"/>
    </row>
    <row r="49" spans="1:6">
      <c r="A49" s="172" t="s">
        <v>75</v>
      </c>
      <c r="B49" s="33" t="str">
        <f t="shared" si="0"/>
        <v>-</v>
      </c>
      <c r="C49" s="34" t="s">
        <v>110</v>
      </c>
      <c r="D49" s="235"/>
    </row>
    <row r="50" spans="1:6">
      <c r="A50" s="172" t="s">
        <v>76</v>
      </c>
      <c r="B50" s="33">
        <f t="shared" si="0"/>
        <v>24</v>
      </c>
      <c r="C50" s="33">
        <f>B50*2</f>
        <v>48</v>
      </c>
      <c r="D50" s="235"/>
    </row>
    <row r="51" spans="1:6">
      <c r="A51" s="172" t="s">
        <v>77</v>
      </c>
      <c r="B51" s="33">
        <f t="shared" si="0"/>
        <v>1176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5610.4160362633775</v>
      </c>
      <c r="C5" s="17">
        <f>IF(ISERROR('Eigen informatie GS &amp; warmtenet'!B58),0,'Eigen informatie GS &amp; warmtenet'!B58)</f>
        <v>0</v>
      </c>
      <c r="D5" s="30">
        <f>SUM(D6:D12)</f>
        <v>2305.8214750829534</v>
      </c>
      <c r="E5" s="17">
        <f>SUM(E6:E12)</f>
        <v>126.60825539889075</v>
      </c>
      <c r="F5" s="17">
        <f>SUM(F6:F12)</f>
        <v>997.88566410799933</v>
      </c>
      <c r="G5" s="18"/>
      <c r="H5" s="17"/>
      <c r="I5" s="17"/>
      <c r="J5" s="17">
        <f>SUM(J6:J12)</f>
        <v>0</v>
      </c>
      <c r="K5" s="17"/>
      <c r="L5" s="17"/>
      <c r="M5" s="17"/>
      <c r="N5" s="17">
        <f>SUM(N6:N12)</f>
        <v>156.90618131702354</v>
      </c>
      <c r="O5" s="17">
        <f>B38*B39*B40</f>
        <v>0</v>
      </c>
      <c r="P5" s="17">
        <f>B46*B47*B48/1000-B46*B47*B48/1000/B49</f>
        <v>0</v>
      </c>
      <c r="R5" s="32"/>
    </row>
    <row r="6" spans="1:18">
      <c r="A6" s="32" t="s">
        <v>53</v>
      </c>
      <c r="B6" s="37">
        <f>B26</f>
        <v>1017.3728734541501</v>
      </c>
      <c r="C6" s="33"/>
      <c r="D6" s="37">
        <f>IF(ISERROR(TER_kantoor_gas_kWh/1000),0,TER_kantoor_gas_kWh/1000)*0.902</f>
        <v>319.08869579038884</v>
      </c>
      <c r="E6" s="33">
        <f>$C$26*'E Balans VL '!I12/100/3.6*1000000</f>
        <v>35.612052658012999</v>
      </c>
      <c r="F6" s="33">
        <f>$C$26*('E Balans VL '!L12+'E Balans VL '!N12)/100/3.6*1000000</f>
        <v>154.2555703972026</v>
      </c>
      <c r="G6" s="34"/>
      <c r="H6" s="33"/>
      <c r="I6" s="33"/>
      <c r="J6" s="33">
        <f>$C$26*('E Balans VL '!D12+'E Balans VL '!E12)/100/3.6*1000000</f>
        <v>0</v>
      </c>
      <c r="K6" s="33"/>
      <c r="L6" s="33"/>
      <c r="M6" s="33"/>
      <c r="N6" s="33">
        <f>$C$26*'E Balans VL '!Y12/100/3.6*1000000</f>
        <v>7.8639738828547472</v>
      </c>
      <c r="O6" s="33"/>
      <c r="P6" s="33"/>
      <c r="R6" s="32"/>
    </row>
    <row r="7" spans="1:18">
      <c r="A7" s="32" t="s">
        <v>52</v>
      </c>
      <c r="B7" s="37">
        <f t="shared" ref="B7:B12" si="0">B27</f>
        <v>833.87321440507094</v>
      </c>
      <c r="C7" s="33"/>
      <c r="D7" s="37">
        <f>IF(ISERROR(TER_horeca_gas_kWh/1000),0,TER_horeca_gas_kWh/1000)*0.902</f>
        <v>294.43355428949275</v>
      </c>
      <c r="E7" s="33">
        <f>$C$27*'E Balans VL '!I9/100/3.6*1000000</f>
        <v>47.041537105857472</v>
      </c>
      <c r="F7" s="33">
        <f>$C$27*('E Balans VL '!L9+'E Balans VL '!N9)/100/3.6*1000000</f>
        <v>145.26532866298203</v>
      </c>
      <c r="G7" s="34"/>
      <c r="H7" s="33"/>
      <c r="I7" s="33"/>
      <c r="J7" s="33">
        <f>$C$27*('E Balans VL '!D9+'E Balans VL '!E9)/100/3.6*1000000</f>
        <v>0</v>
      </c>
      <c r="K7" s="33"/>
      <c r="L7" s="33"/>
      <c r="M7" s="33"/>
      <c r="N7" s="33">
        <f>$C$27*'E Balans VL '!Y9/100/3.6*1000000</f>
        <v>0</v>
      </c>
      <c r="O7" s="33"/>
      <c r="P7" s="33"/>
      <c r="R7" s="32"/>
    </row>
    <row r="8" spans="1:18">
      <c r="A8" s="6" t="s">
        <v>51</v>
      </c>
      <c r="B8" s="37">
        <f t="shared" si="0"/>
        <v>1768.2315716865901</v>
      </c>
      <c r="C8" s="33"/>
      <c r="D8" s="37">
        <f>IF(ISERROR(TER_handel_gas_kWh/1000),0,TER_handel_gas_kWh/1000)*0.902</f>
        <v>90.800815622473493</v>
      </c>
      <c r="E8" s="33">
        <f>$C$28*'E Balans VL '!I13/100/3.6*1000000</f>
        <v>9.0779212393167956</v>
      </c>
      <c r="F8" s="33">
        <f>$C$28*('E Balans VL '!L13+'E Balans VL '!N13)/100/3.6*1000000</f>
        <v>272.63398637156564</v>
      </c>
      <c r="G8" s="34"/>
      <c r="H8" s="33"/>
      <c r="I8" s="33"/>
      <c r="J8" s="33">
        <f>$C$28*('E Balans VL '!D13+'E Balans VL '!E13)/100/3.6*1000000</f>
        <v>0</v>
      </c>
      <c r="K8" s="33"/>
      <c r="L8" s="33"/>
      <c r="M8" s="33"/>
      <c r="N8" s="33">
        <f>$C$28*'E Balans VL '!Y13/100/3.6*1000000</f>
        <v>0.82702349024946109</v>
      </c>
      <c r="O8" s="33"/>
      <c r="P8" s="33"/>
      <c r="R8" s="32"/>
    </row>
    <row r="9" spans="1:18">
      <c r="A9" s="32" t="s">
        <v>50</v>
      </c>
      <c r="B9" s="37">
        <f t="shared" si="0"/>
        <v>37.9353315518755</v>
      </c>
      <c r="C9" s="33"/>
      <c r="D9" s="37">
        <f>IF(ISERROR(TER_gezond_gas_kWh/1000),0,TER_gezond_gas_kWh/1000)*0.902</f>
        <v>0</v>
      </c>
      <c r="E9" s="33">
        <f>$C$29*'E Balans VL '!I10/100/3.6*1000000</f>
        <v>1.5723924762503765E-2</v>
      </c>
      <c r="F9" s="33">
        <f>$C$29*('E Balans VL '!L10+'E Balans VL '!N10)/100/3.6*1000000</f>
        <v>9.3429280959982464</v>
      </c>
      <c r="G9" s="34"/>
      <c r="H9" s="33"/>
      <c r="I9" s="33"/>
      <c r="J9" s="33">
        <f>$C$29*('E Balans VL '!D10+'E Balans VL '!E10)/100/3.6*1000000</f>
        <v>0</v>
      </c>
      <c r="K9" s="33"/>
      <c r="L9" s="33"/>
      <c r="M9" s="33"/>
      <c r="N9" s="33">
        <f>$C$29*'E Balans VL '!Y10/100/3.6*1000000</f>
        <v>0.32785515930018222</v>
      </c>
      <c r="O9" s="33"/>
      <c r="P9" s="33"/>
      <c r="R9" s="32"/>
    </row>
    <row r="10" spans="1:18">
      <c r="A10" s="32" t="s">
        <v>49</v>
      </c>
      <c r="B10" s="37">
        <f t="shared" si="0"/>
        <v>457.63320962064103</v>
      </c>
      <c r="C10" s="33"/>
      <c r="D10" s="37">
        <f>IF(ISERROR(TER_ander_gas_kWh/1000),0,TER_ander_gas_kWh/1000)*0.902</f>
        <v>96.617315704171375</v>
      </c>
      <c r="E10" s="33">
        <f>$C$30*'E Balans VL '!I14/100/3.6*1000000</f>
        <v>2.789743336893153</v>
      </c>
      <c r="F10" s="33">
        <f>$C$30*('E Balans VL '!L14+'E Balans VL '!N14)/100/3.6*1000000</f>
        <v>121.32483273429564</v>
      </c>
      <c r="G10" s="34"/>
      <c r="H10" s="33"/>
      <c r="I10" s="33"/>
      <c r="J10" s="33">
        <f>$C$30*('E Balans VL '!D14+'E Balans VL '!E14)/100/3.6*1000000</f>
        <v>0</v>
      </c>
      <c r="K10" s="33"/>
      <c r="L10" s="33"/>
      <c r="M10" s="33"/>
      <c r="N10" s="33">
        <f>$C$30*'E Balans VL '!Y14/100/3.6*1000000</f>
        <v>105.47456609174981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1495.3698355450499</v>
      </c>
      <c r="C12" s="33"/>
      <c r="D12" s="37">
        <f>IF(ISERROR(TER_rest_gas_kWh/1000),0,TER_rest_gas_kWh/1000)*0.902</f>
        <v>1504.8810936764269</v>
      </c>
      <c r="E12" s="33">
        <f>$C$32*'E Balans VL '!I8/100/3.6*1000000</f>
        <v>32.071277134047833</v>
      </c>
      <c r="F12" s="33">
        <f>$C$32*('E Balans VL '!L8+'E Balans VL '!N8)/100/3.6*1000000</f>
        <v>295.06301784595519</v>
      </c>
      <c r="G12" s="34"/>
      <c r="H12" s="33"/>
      <c r="I12" s="33"/>
      <c r="J12" s="33">
        <f>$C$32*('E Balans VL '!D8+'E Balans VL '!E8)/100/3.6*1000000</f>
        <v>0</v>
      </c>
      <c r="K12" s="33"/>
      <c r="L12" s="33"/>
      <c r="M12" s="33"/>
      <c r="N12" s="33">
        <f>$C$32*'E Balans VL '!Y8/100/3.6*1000000</f>
        <v>42.412762692869329</v>
      </c>
      <c r="O12" s="33"/>
      <c r="P12" s="33"/>
      <c r="R12" s="32"/>
    </row>
    <row r="13" spans="1:18">
      <c r="A13" s="16" t="s">
        <v>495</v>
      </c>
      <c r="B13" s="248">
        <f ca="1">'lokale energieproductie'!N38+'lokale energieproductie'!N31</f>
        <v>23.85</v>
      </c>
      <c r="C13" s="248">
        <f ca="1">'lokale energieproductie'!O38+'lokale energieproductie'!O31</f>
        <v>34.071428571428577</v>
      </c>
      <c r="D13" s="309">
        <f ca="1">('lokale energieproductie'!P31+'lokale energieproductie'!P38)*(-1)</f>
        <v>-68.142857142857153</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5634.2660362633778</v>
      </c>
      <c r="C16" s="21">
        <f ca="1">C5+C13+C14</f>
        <v>34.071428571428577</v>
      </c>
      <c r="D16" s="21">
        <f t="shared" ref="D16:N16" ca="1" si="1">MAX((D5+D13+D14),0)</f>
        <v>2237.678617940096</v>
      </c>
      <c r="E16" s="21">
        <f t="shared" si="1"/>
        <v>126.60825539889075</v>
      </c>
      <c r="F16" s="21">
        <f t="shared" ca="1" si="1"/>
        <v>997.88566410799933</v>
      </c>
      <c r="G16" s="21">
        <f t="shared" si="1"/>
        <v>0</v>
      </c>
      <c r="H16" s="21">
        <f t="shared" si="1"/>
        <v>0</v>
      </c>
      <c r="I16" s="21">
        <f t="shared" si="1"/>
        <v>0</v>
      </c>
      <c r="J16" s="21">
        <f t="shared" si="1"/>
        <v>0</v>
      </c>
      <c r="K16" s="21">
        <f t="shared" si="1"/>
        <v>0</v>
      </c>
      <c r="L16" s="21">
        <f t="shared" ca="1" si="1"/>
        <v>0</v>
      </c>
      <c r="M16" s="21">
        <f t="shared" si="1"/>
        <v>0</v>
      </c>
      <c r="N16" s="21">
        <f t="shared" ca="1" si="1"/>
        <v>156.90618131702354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0.21504034798320032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1211.5945290680036</v>
      </c>
      <c r="C20" s="23">
        <f t="shared" ref="C20:P20" ca="1" si="2">C16*C18</f>
        <v>8.0969747899159685</v>
      </c>
      <c r="D20" s="23">
        <f t="shared" ca="1" si="2"/>
        <v>452.01108082389942</v>
      </c>
      <c r="E20" s="23">
        <f t="shared" si="2"/>
        <v>28.740073975548199</v>
      </c>
      <c r="F20" s="23">
        <f t="shared" ca="1" si="2"/>
        <v>266.43547231683584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1017.3728734541501</v>
      </c>
      <c r="C26" s="39">
        <f>IF(ISERROR(B26*3.6/1000000/'E Balans VL '!Z12*100),0,B26*3.6/1000000/'E Balans VL '!Z12*100)</f>
        <v>2.1408924935930523E-2</v>
      </c>
      <c r="D26" s="238" t="s">
        <v>718</v>
      </c>
      <c r="F26" s="6"/>
    </row>
    <row r="27" spans="1:18">
      <c r="A27" s="232" t="s">
        <v>52</v>
      </c>
      <c r="B27" s="33">
        <f>IF(ISERROR(TER_horeca_ele_kWh/1000),0,TER_horeca_ele_kWh/1000)</f>
        <v>833.87321440507094</v>
      </c>
      <c r="C27" s="39">
        <f>IF(ISERROR(B27*3.6/1000000/'E Balans VL '!Z9*100),0,B27*3.6/1000000/'E Balans VL '!Z9*100)</f>
        <v>7.0601701901644026E-2</v>
      </c>
      <c r="D27" s="238" t="s">
        <v>718</v>
      </c>
      <c r="F27" s="6"/>
    </row>
    <row r="28" spans="1:18">
      <c r="A28" s="172" t="s">
        <v>51</v>
      </c>
      <c r="B28" s="33">
        <f>IF(ISERROR(TER_handel_ele_kWh/1000),0,TER_handel_ele_kWh/1000)</f>
        <v>1768.2315716865901</v>
      </c>
      <c r="C28" s="39">
        <f>IF(ISERROR(B28*3.6/1000000/'E Balans VL '!Z13*100),0,B28*3.6/1000000/'E Balans VL '!Z13*100)</f>
        <v>4.895324655276892E-2</v>
      </c>
      <c r="D28" s="238" t="s">
        <v>718</v>
      </c>
      <c r="F28" s="6"/>
    </row>
    <row r="29" spans="1:18">
      <c r="A29" s="232" t="s">
        <v>50</v>
      </c>
      <c r="B29" s="33">
        <f>IF(ISERROR(TER_gezond_ele_kWh/1000),0,TER_gezond_ele_kWh/1000)</f>
        <v>37.9353315518755</v>
      </c>
      <c r="C29" s="39">
        <f>IF(ISERROR(B29*3.6/1000000/'E Balans VL '!Z10*100),0,B29*3.6/1000000/'E Balans VL '!Z10*100)</f>
        <v>4.9311725395603358E-3</v>
      </c>
      <c r="D29" s="238" t="s">
        <v>718</v>
      </c>
      <c r="F29" s="6"/>
    </row>
    <row r="30" spans="1:18">
      <c r="A30" s="232" t="s">
        <v>49</v>
      </c>
      <c r="B30" s="33">
        <f>IF(ISERROR(TER_ander_ele_kWh/1000),0,TER_ander_ele_kWh/1000)</f>
        <v>457.63320962064103</v>
      </c>
      <c r="C30" s="39">
        <f>IF(ISERROR(B30*3.6/1000000/'E Balans VL '!Z14*100),0,B30*3.6/1000000/'E Balans VL '!Z14*100)</f>
        <v>3.5470770562731041E-2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1495.3698355450499</v>
      </c>
      <c r="C32" s="39">
        <f>IF(ISERROR(B32*3.6/1000000/'E Balans VL '!Z8*100),0,B32*3.6/1000000/'E Balans VL '!Z8*100)</f>
        <v>1.2330472611838457E-2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6216.0268547504247</v>
      </c>
      <c r="C5" s="17">
        <f>IF(ISERROR('Eigen informatie GS &amp; warmtenet'!B59),0,'Eigen informatie GS &amp; warmtenet'!B59)</f>
        <v>0</v>
      </c>
      <c r="D5" s="30">
        <f>SUM(D6:D15)</f>
        <v>4909.9873409145912</v>
      </c>
      <c r="E5" s="17">
        <f>SUM(E6:E15)</f>
        <v>65.695545274714135</v>
      </c>
      <c r="F5" s="17">
        <f>SUM(F6:F15)</f>
        <v>1969.3352810887995</v>
      </c>
      <c r="G5" s="18"/>
      <c r="H5" s="17"/>
      <c r="I5" s="17"/>
      <c r="J5" s="17">
        <f>SUM(J6:J15)</f>
        <v>36.890977696620276</v>
      </c>
      <c r="K5" s="17"/>
      <c r="L5" s="17"/>
      <c r="M5" s="17"/>
      <c r="N5" s="17">
        <f>SUM(N6:N15)</f>
        <v>180.29755009072647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312.96077735139596</v>
      </c>
      <c r="C8" s="33"/>
      <c r="D8" s="37">
        <f>IF( ISERROR(IND_metaal_Gas_kWH/1000),0,IND_metaal_Gas_kWH/1000)*0.902</f>
        <v>0</v>
      </c>
      <c r="E8" s="33">
        <f>C30*'E Balans VL '!I18/100/3.6*1000000</f>
        <v>2.1991063307849386</v>
      </c>
      <c r="F8" s="33">
        <f>C30*'E Balans VL '!L18/100/3.6*1000000+C30*'E Balans VL '!N18/100/3.6*1000000</f>
        <v>34.361262352413043</v>
      </c>
      <c r="G8" s="34"/>
      <c r="H8" s="33"/>
      <c r="I8" s="33"/>
      <c r="J8" s="40">
        <f>C30*'E Balans VL '!D18/100/3.6*1000000+C30*'E Balans VL '!E18/100/3.6*1000000</f>
        <v>6.4570553898438883</v>
      </c>
      <c r="K8" s="33"/>
      <c r="L8" s="33"/>
      <c r="M8" s="33"/>
      <c r="N8" s="33">
        <f>C30*'E Balans VL '!Y18/100/3.6*1000000</f>
        <v>1.1729995329240408</v>
      </c>
      <c r="O8" s="33"/>
      <c r="P8" s="33"/>
      <c r="R8" s="32"/>
    </row>
    <row r="9" spans="1:18">
      <c r="A9" s="6" t="s">
        <v>32</v>
      </c>
      <c r="B9" s="37">
        <f t="shared" si="0"/>
        <v>1312.5209036200401</v>
      </c>
      <c r="C9" s="33"/>
      <c r="D9" s="37">
        <f>IF( ISERROR(IND_andere_gas_kWh/1000),0,IND_andere_gas_kWh/1000)*0.902</f>
        <v>81.936183622830384</v>
      </c>
      <c r="E9" s="33">
        <f>C31*'E Balans VL '!I19/100/3.6*1000000</f>
        <v>22.045396465742556</v>
      </c>
      <c r="F9" s="33">
        <f>C31*'E Balans VL '!L19/100/3.6*1000000+C31*'E Balans VL '!N19/100/3.6*1000000</f>
        <v>1026.054086841297</v>
      </c>
      <c r="G9" s="34"/>
      <c r="H9" s="33"/>
      <c r="I9" s="33"/>
      <c r="J9" s="40">
        <f>C31*'E Balans VL '!D19/100/3.6*1000000+C31*'E Balans VL '!E19/100/3.6*1000000</f>
        <v>0.11837779937930407</v>
      </c>
      <c r="K9" s="33"/>
      <c r="L9" s="33"/>
      <c r="M9" s="33"/>
      <c r="N9" s="33">
        <f>C31*'E Balans VL '!Y19/100/3.6*1000000</f>
        <v>97.2788565022949</v>
      </c>
      <c r="O9" s="33"/>
      <c r="P9" s="33"/>
      <c r="R9" s="32"/>
    </row>
    <row r="10" spans="1:18">
      <c r="A10" s="6" t="s">
        <v>40</v>
      </c>
      <c r="B10" s="37">
        <f t="shared" si="0"/>
        <v>227.25888915067802</v>
      </c>
      <c r="C10" s="33"/>
      <c r="D10" s="37">
        <f>IF( ISERROR(IND_voed_gas_kWh/1000),0,IND_voed_gas_kWh/1000)*0.902</f>
        <v>0</v>
      </c>
      <c r="E10" s="33">
        <f>C32*'E Balans VL '!I20/100/3.6*1000000</f>
        <v>2.0734156671839399</v>
      </c>
      <c r="F10" s="33">
        <f>C32*'E Balans VL '!L20/100/3.6*1000000+C32*'E Balans VL '!N20/100/3.6*1000000</f>
        <v>36.663967062068195</v>
      </c>
      <c r="G10" s="34"/>
      <c r="H10" s="33"/>
      <c r="I10" s="33"/>
      <c r="J10" s="40">
        <f>C32*'E Balans VL '!D20/100/3.6*1000000+C32*'E Balans VL '!E20/100/3.6*1000000</f>
        <v>0.93600110366248634</v>
      </c>
      <c r="K10" s="33"/>
      <c r="L10" s="33"/>
      <c r="M10" s="33"/>
      <c r="N10" s="33">
        <f>C32*'E Balans VL '!Y20/100/3.6*1000000</f>
        <v>3.3246183496109216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4363.2862846283106</v>
      </c>
      <c r="C15" s="33"/>
      <c r="D15" s="37">
        <f>IF( ISERROR(IND_rest_gas_kWh/1000),0,IND_rest_gas_kWh/1000)*0.902</f>
        <v>4828.0511572917612</v>
      </c>
      <c r="E15" s="33">
        <f>C37*'E Balans VL '!I15/100/3.6*1000000</f>
        <v>39.377626811002692</v>
      </c>
      <c r="F15" s="33">
        <f>C37*'E Balans VL '!L15/100/3.6*1000000+C37*'E Balans VL '!N15/100/3.6*1000000</f>
        <v>872.25596483302138</v>
      </c>
      <c r="G15" s="34"/>
      <c r="H15" s="33"/>
      <c r="I15" s="33"/>
      <c r="J15" s="40">
        <f>C37*'E Balans VL '!D15/100/3.6*1000000+C37*'E Balans VL '!E15/100/3.6*1000000</f>
        <v>29.379543403734594</v>
      </c>
      <c r="K15" s="33"/>
      <c r="L15" s="33"/>
      <c r="M15" s="33"/>
      <c r="N15" s="33">
        <f>C37*'E Balans VL '!Y15/100/3.6*1000000</f>
        <v>78.521075705896635</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6216.0268547504247</v>
      </c>
      <c r="C18" s="21">
        <f>C5+C16</f>
        <v>0</v>
      </c>
      <c r="D18" s="21">
        <f>MAX((D5+D16),0)</f>
        <v>4909.9873409145912</v>
      </c>
      <c r="E18" s="21">
        <f>MAX((E5+E16),0)</f>
        <v>65.695545274714135</v>
      </c>
      <c r="F18" s="21">
        <f>MAX((F5+F16),0)</f>
        <v>1969.3352810887995</v>
      </c>
      <c r="G18" s="21"/>
      <c r="H18" s="21"/>
      <c r="I18" s="21"/>
      <c r="J18" s="21">
        <f>MAX((J5+J16),0)</f>
        <v>36.890977696620276</v>
      </c>
      <c r="K18" s="21"/>
      <c r="L18" s="21">
        <f>MAX((L5+L16),0)</f>
        <v>0</v>
      </c>
      <c r="M18" s="21"/>
      <c r="N18" s="21">
        <f>MAX((N5+N16),0)</f>
        <v>180.29755009072647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0.21504034798320032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1336.6965779184495</v>
      </c>
      <c r="C22" s="23">
        <f ca="1">C18*C20</f>
        <v>0</v>
      </c>
      <c r="D22" s="23">
        <f>D18*D20</f>
        <v>991.81744286474748</v>
      </c>
      <c r="E22" s="23">
        <f>E18*E20</f>
        <v>14.912888777360109</v>
      </c>
      <c r="F22" s="23">
        <f>F18*F20</f>
        <v>525.81252005070951</v>
      </c>
      <c r="G22" s="23"/>
      <c r="H22" s="23"/>
      <c r="I22" s="23"/>
      <c r="J22" s="23">
        <f>J18*J20</f>
        <v>13.059406104603577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312.96077735139596</v>
      </c>
      <c r="C30" s="39">
        <f>IF(ISERROR(B30*3.6/1000000/'E Balans VL '!Z18*100),0,B30*3.6/1000000/'E Balans VL '!Z18*100)</f>
        <v>2.0833990058147747E-2</v>
      </c>
      <c r="D30" s="238" t="s">
        <v>718</v>
      </c>
    </row>
    <row r="31" spans="1:18">
      <c r="A31" s="6" t="s">
        <v>32</v>
      </c>
      <c r="B31" s="37">
        <f>IF( ISERROR(IND_ander_ele_kWh/1000),0,IND_ander_ele_kWh/1000)</f>
        <v>1312.5209036200401</v>
      </c>
      <c r="C31" s="39">
        <f>IF(ISERROR(B31*3.6/1000000/'E Balans VL '!Z19*100),0,B31*3.6/1000000/'E Balans VL '!Z19*100)</f>
        <v>5.8178850206893465E-2</v>
      </c>
      <c r="D31" s="238" t="s">
        <v>718</v>
      </c>
    </row>
    <row r="32" spans="1:18">
      <c r="A32" s="172" t="s">
        <v>40</v>
      </c>
      <c r="B32" s="37">
        <f>IF( ISERROR(IND_voed_ele_kWh/1000),0,IND_voed_ele_kWh/1000)</f>
        <v>227.25888915067802</v>
      </c>
      <c r="C32" s="39">
        <f>IF(ISERROR(B32*3.6/1000000/'E Balans VL '!Z20*100),0,B32*3.6/1000000/'E Balans VL '!Z20*100)</f>
        <v>7.5910988190105028E-3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4363.2862846283106</v>
      </c>
      <c r="C37" s="39">
        <f>IF(ISERROR(B37*3.6/1000000/'E Balans VL '!Z15*100),0,B37*3.6/1000000/'E Balans VL '!Z15*100)</f>
        <v>3.2455741556229684E-2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723.70863560059001</v>
      </c>
      <c r="C5" s="17">
        <f>'Eigen informatie GS &amp; warmtenet'!B60</f>
        <v>0</v>
      </c>
      <c r="D5" s="30">
        <f>IF(ISERROR(SUM(LB_lb_gas_kWh,LB_rest_gas_kWh)/1000),0,SUM(LB_lb_gas_kWh,LB_rest_gas_kWh)/1000)*0.902</f>
        <v>38.939722441739136</v>
      </c>
      <c r="E5" s="17">
        <f>B17*'E Balans VL '!I25/3.6*1000000/100</f>
        <v>7.5788335085397547</v>
      </c>
      <c r="F5" s="17">
        <f>B17*('E Balans VL '!L25/3.6*1000000+'E Balans VL '!N25/3.6*1000000)/100</f>
        <v>3098.022862145825</v>
      </c>
      <c r="G5" s="18"/>
      <c r="H5" s="17"/>
      <c r="I5" s="17"/>
      <c r="J5" s="17">
        <f>('E Balans VL '!D25+'E Balans VL '!E25)/3.6*1000000*landbouw!B17/100</f>
        <v>64.633667870294673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723.70863560059001</v>
      </c>
      <c r="C8" s="21">
        <f>C5+C6</f>
        <v>0</v>
      </c>
      <c r="D8" s="21">
        <f>MAX((D5+D6),0)</f>
        <v>38.939722441739136</v>
      </c>
      <c r="E8" s="21">
        <f>MAX((E5+E6),0)</f>
        <v>7.5788335085397547</v>
      </c>
      <c r="F8" s="21">
        <f>MAX((F5+F6),0)</f>
        <v>3098.022862145825</v>
      </c>
      <c r="G8" s="21"/>
      <c r="H8" s="21"/>
      <c r="I8" s="21"/>
      <c r="J8" s="21">
        <f>MAX((J5+J6),0)</f>
        <v>64.633667870294673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0.21504034798320032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155.62655683799798</v>
      </c>
      <c r="C12" s="23">
        <f ca="1">C8*C10</f>
        <v>0</v>
      </c>
      <c r="D12" s="23">
        <f>D8*D10</f>
        <v>7.8658239332313062</v>
      </c>
      <c r="E12" s="23">
        <f>E8*E10</f>
        <v>1.7203952064385244</v>
      </c>
      <c r="F12" s="23">
        <f>F8*F10</f>
        <v>827.17210419293531</v>
      </c>
      <c r="G12" s="23"/>
      <c r="H12" s="23"/>
      <c r="I12" s="23"/>
      <c r="J12" s="23">
        <f>J8*J10</f>
        <v>22.880318426084312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0.11139272917726133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138.51314373394538</v>
      </c>
      <c r="C26" s="248">
        <f>B26*'GWP N2O_CH4'!B5</f>
        <v>2908.7760184128529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49.208054169319688</v>
      </c>
      <c r="C27" s="248">
        <f>B27*'GWP N2O_CH4'!B5</f>
        <v>1033.3691375557135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1.9358011238499866</v>
      </c>
      <c r="C28" s="248">
        <f>B28*'GWP N2O_CH4'!B4</f>
        <v>600.09834839349583</v>
      </c>
      <c r="D28" s="50"/>
    </row>
    <row r="29" spans="1:4">
      <c r="A29" s="41" t="s">
        <v>276</v>
      </c>
      <c r="B29" s="248">
        <f>B34*'ha_N2O bodem landbouw'!B4</f>
        <v>14.134384976685679</v>
      </c>
      <c r="C29" s="248">
        <f>B29*'GWP N2O_CH4'!B4</f>
        <v>4381.6593427725602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2.3358927541231259E-3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1.4175661090695748E-6</v>
      </c>
      <c r="C5" s="443" t="s">
        <v>210</v>
      </c>
      <c r="D5" s="428">
        <f>SUM(D6:D11)</f>
        <v>7.3862052974535605E-6</v>
      </c>
      <c r="E5" s="428">
        <f>SUM(E6:E11)</f>
        <v>7.5375151705224096E-4</v>
      </c>
      <c r="F5" s="441" t="s">
        <v>210</v>
      </c>
      <c r="G5" s="428">
        <f>SUM(G6:G11)</f>
        <v>0.15299328872098747</v>
      </c>
      <c r="H5" s="428">
        <f>SUM(H6:H11)</f>
        <v>2.5480243300559407E-2</v>
      </c>
      <c r="I5" s="443" t="s">
        <v>210</v>
      </c>
      <c r="J5" s="443" t="s">
        <v>210</v>
      </c>
      <c r="K5" s="443" t="s">
        <v>210</v>
      </c>
      <c r="L5" s="443" t="s">
        <v>210</v>
      </c>
      <c r="M5" s="428">
        <f>SUM(M6:M11)</f>
        <v>7.7635547123521978E-3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1.2157258626163349E-6</v>
      </c>
      <c r="C6" s="429"/>
      <c r="D6" s="429">
        <f>vkm_GW_PW*SUMIFS(TableVerdeelsleutelVkm[CNG],TableVerdeelsleutelVkm[Voertuigtype],"Lichte voertuigen")*SUMIFS(TableECFTransport[EnergieConsumptieFactor (PJ per km)],TableECFTransport[Index],CONCATENATE($A6,"_CNG_CNG"))</f>
        <v>5.7664980729512048E-6</v>
      </c>
      <c r="E6" s="431">
        <f>vkm_GW_PW*SUMIFS(TableVerdeelsleutelVkm[LPG],TableVerdeelsleutelVkm[Voertuigtype],"Lichte voertuigen")*SUMIFS(TableECFTransport[EnergieConsumptieFactor (PJ per km)],TableECFTransport[Index],CONCATENATE($A6,"_LPG_LPG"))</f>
        <v>5.9671226010142738E-4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8.0823221587900673E-2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2.012407800361956E-2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4.408010074357413E-3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4.8870825335886617E-2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1.3572559444276356E-6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2.1053770463094383E-3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2.0184024645323998E-7</v>
      </c>
      <c r="C8" s="429"/>
      <c r="D8" s="431">
        <f>vkm_NGW_PW*SUMIFS(TableVerdeelsleutelVkm[CNG],TableVerdeelsleutelVkm[Voertuigtype],"Lichte voertuigen")*SUMIFS(TableECFTransport[EnergieConsumptieFactor (PJ per km)],TableECFTransport[Index],CONCATENATE($A8,"_CNG_CNG"))</f>
        <v>1.6197072245023558E-6</v>
      </c>
      <c r="E8" s="431">
        <f>vkm_NGW_PW*SUMIFS(TableVerdeelsleutelVkm[LPG],TableVerdeelsleutelVkm[Voertuigtype],"Lichte voertuigen")*SUMIFS(TableECFTransport[EnergieConsumptieFactor (PJ per km)],TableECFTransport[Index],CONCATENATE($A8,"_LPG_LPG"))</f>
        <v>1.5703925695081361E-4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2.0387414765756721E-2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5.3547106711739033E-3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1.1247240193783751E-3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2.9118270314434621E-3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9.7369821515062408E-8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1.2544357230697138E-4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0.39376836363043743</v>
      </c>
      <c r="C14" s="21"/>
      <c r="D14" s="21">
        <f t="shared" ref="D14:M14" si="0">((D5)*10^9/3600)+D12</f>
        <v>2.0517236937371002</v>
      </c>
      <c r="E14" s="21">
        <f t="shared" si="0"/>
        <v>209.37542140340028</v>
      </c>
      <c r="F14" s="21"/>
      <c r="G14" s="21">
        <f t="shared" si="0"/>
        <v>42498.135755829855</v>
      </c>
      <c r="H14" s="21">
        <f t="shared" si="0"/>
        <v>7077.8453612665016</v>
      </c>
      <c r="I14" s="21"/>
      <c r="J14" s="21"/>
      <c r="K14" s="21"/>
      <c r="L14" s="21"/>
      <c r="M14" s="21">
        <f t="shared" si="0"/>
        <v>2156.5429756533881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0.21504034798320032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8.4676085939864629E-2</v>
      </c>
      <c r="C18" s="23"/>
      <c r="D18" s="23">
        <f t="shared" ref="D18:M18" si="1">D14*D16</f>
        <v>0.41444818613489426</v>
      </c>
      <c r="E18" s="23">
        <f t="shared" si="1"/>
        <v>47.528220658571868</v>
      </c>
      <c r="F18" s="23"/>
      <c r="G18" s="23">
        <f t="shared" si="1"/>
        <v>11347.002246806573</v>
      </c>
      <c r="H18" s="23">
        <f t="shared" si="1"/>
        <v>1762.3834949553589</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8.6804281723840821E-4</v>
      </c>
      <c r="H50" s="320">
        <f t="shared" si="2"/>
        <v>0</v>
      </c>
      <c r="I50" s="320">
        <f t="shared" si="2"/>
        <v>0</v>
      </c>
      <c r="J50" s="320">
        <f t="shared" si="2"/>
        <v>0</v>
      </c>
      <c r="K50" s="320">
        <f t="shared" si="2"/>
        <v>0</v>
      </c>
      <c r="L50" s="320">
        <f t="shared" si="2"/>
        <v>0</v>
      </c>
      <c r="M50" s="320">
        <f t="shared" si="2"/>
        <v>3.6912372341036253E-5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8.6804281723840821E-4</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3.6912372341036253E-5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241.12300478844674</v>
      </c>
      <c r="H54" s="21">
        <f t="shared" si="3"/>
        <v>0</v>
      </c>
      <c r="I54" s="21">
        <f t="shared" si="3"/>
        <v>0</v>
      </c>
      <c r="J54" s="21">
        <f t="shared" si="3"/>
        <v>0</v>
      </c>
      <c r="K54" s="21">
        <f t="shared" si="3"/>
        <v>0</v>
      </c>
      <c r="L54" s="21">
        <f t="shared" si="3"/>
        <v>0</v>
      </c>
      <c r="M54" s="21">
        <f t="shared" si="3"/>
        <v>10.253436761398959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0.21504034798320032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64.379842278515284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6147.5380362633778</v>
      </c>
      <c r="D10" s="684">
        <f ca="1">tertiair!C16</f>
        <v>34.071428571428577</v>
      </c>
      <c r="E10" s="684">
        <f ca="1">tertiair!D16</f>
        <v>2237.678617940096</v>
      </c>
      <c r="F10" s="684">
        <f>tertiair!E16</f>
        <v>126.60825539889075</v>
      </c>
      <c r="G10" s="684">
        <f ca="1">tertiair!F16</f>
        <v>997.88566410799933</v>
      </c>
      <c r="H10" s="684">
        <f>tertiair!G16</f>
        <v>0</v>
      </c>
      <c r="I10" s="684">
        <f>tertiair!H16</f>
        <v>0</v>
      </c>
      <c r="J10" s="684">
        <f>tertiair!I16</f>
        <v>0</v>
      </c>
      <c r="K10" s="684">
        <f>tertiair!J16</f>
        <v>0</v>
      </c>
      <c r="L10" s="684">
        <f>tertiair!K16</f>
        <v>0</v>
      </c>
      <c r="M10" s="684">
        <f ca="1">tertiair!L16</f>
        <v>0</v>
      </c>
      <c r="N10" s="684">
        <f>tertiair!M16</f>
        <v>0</v>
      </c>
      <c r="O10" s="684">
        <f ca="1">tertiair!N16</f>
        <v>156.90618131702354</v>
      </c>
      <c r="P10" s="684">
        <f>tertiair!O16</f>
        <v>0</v>
      </c>
      <c r="Q10" s="685">
        <f>tertiair!P16</f>
        <v>0</v>
      </c>
      <c r="R10" s="687">
        <f ca="1">SUM(C10:Q10)</f>
        <v>9700.688183598817</v>
      </c>
      <c r="S10" s="67"/>
    </row>
    <row r="11" spans="1:19" s="453" customFormat="1">
      <c r="A11" s="799" t="s">
        <v>224</v>
      </c>
      <c r="B11" s="804"/>
      <c r="C11" s="684">
        <f>huishoudens!B8</f>
        <v>14664.972222523951</v>
      </c>
      <c r="D11" s="684">
        <f>huishoudens!C8</f>
        <v>0</v>
      </c>
      <c r="E11" s="684">
        <f>huishoudens!D8</f>
        <v>12100.513272737588</v>
      </c>
      <c r="F11" s="684">
        <f>huishoudens!E8</f>
        <v>7208.4367660085845</v>
      </c>
      <c r="G11" s="684">
        <f>huishoudens!F8</f>
        <v>26611.326814429827</v>
      </c>
      <c r="H11" s="684">
        <f>huishoudens!G8</f>
        <v>0</v>
      </c>
      <c r="I11" s="684">
        <f>huishoudens!H8</f>
        <v>0</v>
      </c>
      <c r="J11" s="684">
        <f>huishoudens!I8</f>
        <v>0</v>
      </c>
      <c r="K11" s="684">
        <f>huishoudens!J8</f>
        <v>692.65245202370409</v>
      </c>
      <c r="L11" s="684">
        <f>huishoudens!K8</f>
        <v>0</v>
      </c>
      <c r="M11" s="684">
        <f>huishoudens!L8</f>
        <v>0</v>
      </c>
      <c r="N11" s="684">
        <f>huishoudens!M8</f>
        <v>0</v>
      </c>
      <c r="O11" s="684">
        <f>huishoudens!N8</f>
        <v>5792.3442099032063</v>
      </c>
      <c r="P11" s="684">
        <f>huishoudens!O8</f>
        <v>53.153333333333336</v>
      </c>
      <c r="Q11" s="685">
        <f>huishoudens!P8</f>
        <v>95.333333333333343</v>
      </c>
      <c r="R11" s="687">
        <f>SUM(C11:Q11)</f>
        <v>67218.732404293536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6216.0268547504247</v>
      </c>
      <c r="D13" s="684">
        <f>industrie!C18</f>
        <v>0</v>
      </c>
      <c r="E13" s="684">
        <f>industrie!D18</f>
        <v>4909.9873409145912</v>
      </c>
      <c r="F13" s="684">
        <f>industrie!E18</f>
        <v>65.695545274714135</v>
      </c>
      <c r="G13" s="684">
        <f>industrie!F18</f>
        <v>1969.3352810887995</v>
      </c>
      <c r="H13" s="684">
        <f>industrie!G18</f>
        <v>0</v>
      </c>
      <c r="I13" s="684">
        <f>industrie!H18</f>
        <v>0</v>
      </c>
      <c r="J13" s="684">
        <f>industrie!I18</f>
        <v>0</v>
      </c>
      <c r="K13" s="684">
        <f>industrie!J18</f>
        <v>36.890977696620276</v>
      </c>
      <c r="L13" s="684">
        <f>industrie!K18</f>
        <v>0</v>
      </c>
      <c r="M13" s="684">
        <f>industrie!L18</f>
        <v>0</v>
      </c>
      <c r="N13" s="684">
        <f>industrie!M18</f>
        <v>0</v>
      </c>
      <c r="O13" s="684">
        <f>industrie!N18</f>
        <v>180.29755009072647</v>
      </c>
      <c r="P13" s="684">
        <f>industrie!O18</f>
        <v>0</v>
      </c>
      <c r="Q13" s="685">
        <f>industrie!P18</f>
        <v>0</v>
      </c>
      <c r="R13" s="687">
        <f>SUM(C13:Q13)</f>
        <v>13378.233549815875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27028.537113537754</v>
      </c>
      <c r="D16" s="717">
        <f t="shared" ref="D16:R16" ca="1" si="0">SUM(D9:D15)</f>
        <v>34.071428571428577</v>
      </c>
      <c r="E16" s="717">
        <f t="shared" ca="1" si="0"/>
        <v>19248.179231592276</v>
      </c>
      <c r="F16" s="717">
        <f t="shared" si="0"/>
        <v>7400.7405666821896</v>
      </c>
      <c r="G16" s="717">
        <f t="shared" ca="1" si="0"/>
        <v>29578.547759626625</v>
      </c>
      <c r="H16" s="717">
        <f t="shared" si="0"/>
        <v>0</v>
      </c>
      <c r="I16" s="717">
        <f t="shared" si="0"/>
        <v>0</v>
      </c>
      <c r="J16" s="717">
        <f t="shared" si="0"/>
        <v>0</v>
      </c>
      <c r="K16" s="717">
        <f t="shared" si="0"/>
        <v>729.54342972032441</v>
      </c>
      <c r="L16" s="717">
        <f t="shared" si="0"/>
        <v>0</v>
      </c>
      <c r="M16" s="717">
        <f t="shared" ca="1" si="0"/>
        <v>0</v>
      </c>
      <c r="N16" s="717">
        <f t="shared" si="0"/>
        <v>0</v>
      </c>
      <c r="O16" s="717">
        <f t="shared" ca="1" si="0"/>
        <v>6129.547941310957</v>
      </c>
      <c r="P16" s="717">
        <f t="shared" si="0"/>
        <v>53.153333333333336</v>
      </c>
      <c r="Q16" s="717">
        <f t="shared" si="0"/>
        <v>95.333333333333343</v>
      </c>
      <c r="R16" s="717">
        <f t="shared" ca="1" si="0"/>
        <v>90297.654137708232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241.12300478844674</v>
      </c>
      <c r="I19" s="684">
        <f>transport!H54</f>
        <v>0</v>
      </c>
      <c r="J19" s="684">
        <f>transport!I54</f>
        <v>0</v>
      </c>
      <c r="K19" s="684">
        <f>transport!J54</f>
        <v>0</v>
      </c>
      <c r="L19" s="684">
        <f>transport!K54</f>
        <v>0</v>
      </c>
      <c r="M19" s="684">
        <f>transport!L54</f>
        <v>0</v>
      </c>
      <c r="N19" s="684">
        <f>transport!M54</f>
        <v>10.253436761398959</v>
      </c>
      <c r="O19" s="684">
        <f>transport!N54</f>
        <v>0</v>
      </c>
      <c r="P19" s="684">
        <f>transport!O54</f>
        <v>0</v>
      </c>
      <c r="Q19" s="685">
        <f>transport!P54</f>
        <v>0</v>
      </c>
      <c r="R19" s="687">
        <f>SUM(C19:Q19)</f>
        <v>251.37644154984571</v>
      </c>
      <c r="S19" s="67"/>
    </row>
    <row r="20" spans="1:19" s="453" customFormat="1">
      <c r="A20" s="799" t="s">
        <v>306</v>
      </c>
      <c r="B20" s="804"/>
      <c r="C20" s="684">
        <f>transport!B14</f>
        <v>0.39376836363043743</v>
      </c>
      <c r="D20" s="684">
        <f>transport!C14</f>
        <v>0</v>
      </c>
      <c r="E20" s="684">
        <f>transport!D14</f>
        <v>2.0517236937371002</v>
      </c>
      <c r="F20" s="684">
        <f>transport!E14</f>
        <v>209.37542140340028</v>
      </c>
      <c r="G20" s="684">
        <f>transport!F14</f>
        <v>0</v>
      </c>
      <c r="H20" s="684">
        <f>transport!G14</f>
        <v>42498.135755829855</v>
      </c>
      <c r="I20" s="684">
        <f>transport!H14</f>
        <v>7077.8453612665016</v>
      </c>
      <c r="J20" s="684">
        <f>transport!I14</f>
        <v>0</v>
      </c>
      <c r="K20" s="684">
        <f>transport!J14</f>
        <v>0</v>
      </c>
      <c r="L20" s="684">
        <f>transport!K14</f>
        <v>0</v>
      </c>
      <c r="M20" s="684">
        <f>transport!L14</f>
        <v>0</v>
      </c>
      <c r="N20" s="684">
        <f>transport!M14</f>
        <v>2156.5429756533881</v>
      </c>
      <c r="O20" s="684">
        <f>transport!N14</f>
        <v>0</v>
      </c>
      <c r="P20" s="684">
        <f>transport!O14</f>
        <v>0</v>
      </c>
      <c r="Q20" s="685">
        <f>transport!P14</f>
        <v>0</v>
      </c>
      <c r="R20" s="687">
        <f>SUM(C20:Q20)</f>
        <v>51944.345006210511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0.39376836363043743</v>
      </c>
      <c r="D22" s="802">
        <f t="shared" ref="D22:R22" si="1">SUM(D18:D21)</f>
        <v>0</v>
      </c>
      <c r="E22" s="802">
        <f t="shared" si="1"/>
        <v>2.0517236937371002</v>
      </c>
      <c r="F22" s="802">
        <f t="shared" si="1"/>
        <v>209.37542140340028</v>
      </c>
      <c r="G22" s="802">
        <f t="shared" si="1"/>
        <v>0</v>
      </c>
      <c r="H22" s="802">
        <f t="shared" si="1"/>
        <v>42739.258760618301</v>
      </c>
      <c r="I22" s="802">
        <f t="shared" si="1"/>
        <v>7077.8453612665016</v>
      </c>
      <c r="J22" s="802">
        <f t="shared" si="1"/>
        <v>0</v>
      </c>
      <c r="K22" s="802">
        <f t="shared" si="1"/>
        <v>0</v>
      </c>
      <c r="L22" s="802">
        <f t="shared" si="1"/>
        <v>0</v>
      </c>
      <c r="M22" s="802">
        <f t="shared" si="1"/>
        <v>0</v>
      </c>
      <c r="N22" s="802">
        <f t="shared" si="1"/>
        <v>2166.796412414787</v>
      </c>
      <c r="O22" s="802">
        <f t="shared" si="1"/>
        <v>0</v>
      </c>
      <c r="P22" s="802">
        <f t="shared" si="1"/>
        <v>0</v>
      </c>
      <c r="Q22" s="802">
        <f t="shared" si="1"/>
        <v>0</v>
      </c>
      <c r="R22" s="802">
        <f t="shared" si="1"/>
        <v>52195.721447760356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723.70863560059001</v>
      </c>
      <c r="D24" s="684">
        <f>+landbouw!C8</f>
        <v>0</v>
      </c>
      <c r="E24" s="684">
        <f>+landbouw!D8</f>
        <v>38.939722441739136</v>
      </c>
      <c r="F24" s="684">
        <f>+landbouw!E8</f>
        <v>7.5788335085397547</v>
      </c>
      <c r="G24" s="684">
        <f>+landbouw!F8</f>
        <v>3098.022862145825</v>
      </c>
      <c r="H24" s="684">
        <f>+landbouw!G8</f>
        <v>0</v>
      </c>
      <c r="I24" s="684">
        <f>+landbouw!H8</f>
        <v>0</v>
      </c>
      <c r="J24" s="684">
        <f>+landbouw!I8</f>
        <v>0</v>
      </c>
      <c r="K24" s="684">
        <f>+landbouw!J8</f>
        <v>64.633667870294673</v>
      </c>
      <c r="L24" s="684">
        <f>+landbouw!K8</f>
        <v>0</v>
      </c>
      <c r="M24" s="684">
        <f>+landbouw!L8</f>
        <v>0</v>
      </c>
      <c r="N24" s="684">
        <f>+landbouw!M8</f>
        <v>0</v>
      </c>
      <c r="O24" s="684">
        <f>+landbouw!N8</f>
        <v>0</v>
      </c>
      <c r="P24" s="684">
        <f>+landbouw!O8</f>
        <v>0</v>
      </c>
      <c r="Q24" s="685">
        <f>+landbouw!P8</f>
        <v>0</v>
      </c>
      <c r="R24" s="687">
        <f>SUM(C24:Q24)</f>
        <v>3932.8837215669887</v>
      </c>
      <c r="S24" s="67"/>
    </row>
    <row r="25" spans="1:19" s="453" customFormat="1" ht="15" thickBot="1">
      <c r="A25" s="821" t="s">
        <v>912</v>
      </c>
      <c r="B25" s="978"/>
      <c r="C25" s="979">
        <f>IF(Onbekend_ele_kWh="---",0,Onbekend_ele_kWh)/1000+IF(REST_rest_ele_kWh="---",0,REST_rest_ele_kWh)/1000</f>
        <v>697.20717745789307</v>
      </c>
      <c r="D25" s="979"/>
      <c r="E25" s="979">
        <f>IF(onbekend_gas_kWh="---",0,onbekend_gas_kWh)/1000+IF(REST_rest_gas_kWh="---",0,REST_rest_gas_kWh)/1000</f>
        <v>539.72577466219002</v>
      </c>
      <c r="F25" s="979"/>
      <c r="G25" s="979"/>
      <c r="H25" s="979"/>
      <c r="I25" s="979"/>
      <c r="J25" s="979"/>
      <c r="K25" s="979"/>
      <c r="L25" s="979"/>
      <c r="M25" s="979"/>
      <c r="N25" s="979"/>
      <c r="O25" s="979"/>
      <c r="P25" s="979"/>
      <c r="Q25" s="980"/>
      <c r="R25" s="687">
        <f>SUM(C25:Q25)</f>
        <v>1236.932952120083</v>
      </c>
      <c r="S25" s="67"/>
    </row>
    <row r="26" spans="1:19" s="453" customFormat="1" ht="15.75" thickBot="1">
      <c r="A26" s="690" t="s">
        <v>913</v>
      </c>
      <c r="B26" s="807"/>
      <c r="C26" s="802">
        <f>SUM(C24:C25)</f>
        <v>1420.9158130584831</v>
      </c>
      <c r="D26" s="802">
        <f t="shared" ref="D26:R26" si="2">SUM(D24:D25)</f>
        <v>0</v>
      </c>
      <c r="E26" s="802">
        <f t="shared" si="2"/>
        <v>578.66549710392917</v>
      </c>
      <c r="F26" s="802">
        <f t="shared" si="2"/>
        <v>7.5788335085397547</v>
      </c>
      <c r="G26" s="802">
        <f t="shared" si="2"/>
        <v>3098.022862145825</v>
      </c>
      <c r="H26" s="802">
        <f t="shared" si="2"/>
        <v>0</v>
      </c>
      <c r="I26" s="802">
        <f t="shared" si="2"/>
        <v>0</v>
      </c>
      <c r="J26" s="802">
        <f t="shared" si="2"/>
        <v>0</v>
      </c>
      <c r="K26" s="802">
        <f t="shared" si="2"/>
        <v>64.633667870294673</v>
      </c>
      <c r="L26" s="802">
        <f t="shared" si="2"/>
        <v>0</v>
      </c>
      <c r="M26" s="802">
        <f t="shared" si="2"/>
        <v>0</v>
      </c>
      <c r="N26" s="802">
        <f t="shared" si="2"/>
        <v>0</v>
      </c>
      <c r="O26" s="802">
        <f t="shared" si="2"/>
        <v>0</v>
      </c>
      <c r="P26" s="802">
        <f t="shared" si="2"/>
        <v>0</v>
      </c>
      <c r="Q26" s="802">
        <f t="shared" si="2"/>
        <v>0</v>
      </c>
      <c r="R26" s="802">
        <f t="shared" si="2"/>
        <v>5169.8166736870717</v>
      </c>
      <c r="S26" s="67"/>
    </row>
    <row r="27" spans="1:19" s="453" customFormat="1" ht="17.25" thickTop="1" thickBot="1">
      <c r="A27" s="691" t="s">
        <v>115</v>
      </c>
      <c r="B27" s="794"/>
      <c r="C27" s="692">
        <f ca="1">C22+C16+C26</f>
        <v>28449.846694959866</v>
      </c>
      <c r="D27" s="692">
        <f t="shared" ref="D27:R27" ca="1" si="3">D22+D16+D26</f>
        <v>34.071428571428577</v>
      </c>
      <c r="E27" s="692">
        <f t="shared" ca="1" si="3"/>
        <v>19828.896452389941</v>
      </c>
      <c r="F27" s="692">
        <f t="shared" si="3"/>
        <v>7617.6948215941302</v>
      </c>
      <c r="G27" s="692">
        <f t="shared" ca="1" si="3"/>
        <v>32676.570621772451</v>
      </c>
      <c r="H27" s="692">
        <f t="shared" si="3"/>
        <v>42739.258760618301</v>
      </c>
      <c r="I27" s="692">
        <f t="shared" si="3"/>
        <v>7077.8453612665016</v>
      </c>
      <c r="J27" s="692">
        <f t="shared" si="3"/>
        <v>0</v>
      </c>
      <c r="K27" s="692">
        <f t="shared" si="3"/>
        <v>794.17709759061904</v>
      </c>
      <c r="L27" s="692">
        <f t="shared" si="3"/>
        <v>0</v>
      </c>
      <c r="M27" s="692">
        <f t="shared" ca="1" si="3"/>
        <v>0</v>
      </c>
      <c r="N27" s="692">
        <f t="shared" si="3"/>
        <v>2166.796412414787</v>
      </c>
      <c r="O27" s="692">
        <f t="shared" ca="1" si="3"/>
        <v>6129.547941310957</v>
      </c>
      <c r="P27" s="692">
        <f t="shared" si="3"/>
        <v>53.153333333333336</v>
      </c>
      <c r="Q27" s="692">
        <f t="shared" si="3"/>
        <v>95.333333333333343</v>
      </c>
      <c r="R27" s="692">
        <f t="shared" ca="1" si="3"/>
        <v>147663.19225915568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1321.9687185580367</v>
      </c>
      <c r="D40" s="684">
        <f ca="1">tertiair!C20</f>
        <v>8.0969747899159685</v>
      </c>
      <c r="E40" s="684">
        <f ca="1">tertiair!D20</f>
        <v>452.01108082389942</v>
      </c>
      <c r="F40" s="684">
        <f>tertiair!E20</f>
        <v>28.740073975548199</v>
      </c>
      <c r="G40" s="684">
        <f ca="1">tertiair!F20</f>
        <v>266.43547231683584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2077.2523204642362</v>
      </c>
    </row>
    <row r="41" spans="1:18">
      <c r="A41" s="812" t="s">
        <v>224</v>
      </c>
      <c r="B41" s="819"/>
      <c r="C41" s="684">
        <f ca="1">huishoudens!B12</f>
        <v>3153.5607298955169</v>
      </c>
      <c r="D41" s="684">
        <f ca="1">huishoudens!C12</f>
        <v>0</v>
      </c>
      <c r="E41" s="684">
        <f>huishoudens!D12</f>
        <v>2444.303681092993</v>
      </c>
      <c r="F41" s="684">
        <f>huishoudens!E12</f>
        <v>1636.3151458839488</v>
      </c>
      <c r="G41" s="684">
        <f>huishoudens!F12</f>
        <v>7105.2242594527643</v>
      </c>
      <c r="H41" s="684">
        <f>huishoudens!G12</f>
        <v>0</v>
      </c>
      <c r="I41" s="684">
        <f>huishoudens!H12</f>
        <v>0</v>
      </c>
      <c r="J41" s="684">
        <f>huishoudens!I12</f>
        <v>0</v>
      </c>
      <c r="K41" s="684">
        <f>huishoudens!J12</f>
        <v>245.19896801639123</v>
      </c>
      <c r="L41" s="684">
        <f>huishoudens!K12</f>
        <v>0</v>
      </c>
      <c r="M41" s="684">
        <f>huishoudens!L12</f>
        <v>0</v>
      </c>
      <c r="N41" s="684">
        <f>huishoudens!M12</f>
        <v>0</v>
      </c>
      <c r="O41" s="684">
        <f>huishoudens!N12</f>
        <v>0</v>
      </c>
      <c r="P41" s="684">
        <f>huishoudens!O12</f>
        <v>0</v>
      </c>
      <c r="Q41" s="759">
        <f>huishoudens!P12</f>
        <v>0</v>
      </c>
      <c r="R41" s="840">
        <f t="shared" ca="1" si="4"/>
        <v>14584.602784341614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1336.6965779184495</v>
      </c>
      <c r="D43" s="684">
        <f ca="1">industrie!C22</f>
        <v>0</v>
      </c>
      <c r="E43" s="684">
        <f>industrie!D22</f>
        <v>991.81744286474748</v>
      </c>
      <c r="F43" s="684">
        <f>industrie!E22</f>
        <v>14.912888777360109</v>
      </c>
      <c r="G43" s="684">
        <f>industrie!F22</f>
        <v>525.81252005070951</v>
      </c>
      <c r="H43" s="684">
        <f>industrie!G22</f>
        <v>0</v>
      </c>
      <c r="I43" s="684">
        <f>industrie!H22</f>
        <v>0</v>
      </c>
      <c r="J43" s="684">
        <f>industrie!I22</f>
        <v>0</v>
      </c>
      <c r="K43" s="684">
        <f>industrie!J22</f>
        <v>13.059406104603577</v>
      </c>
      <c r="L43" s="684">
        <f>industrie!K22</f>
        <v>0</v>
      </c>
      <c r="M43" s="684">
        <f>industrie!L22</f>
        <v>0</v>
      </c>
      <c r="N43" s="684">
        <f>industrie!M22</f>
        <v>0</v>
      </c>
      <c r="O43" s="684">
        <f>industrie!N22</f>
        <v>0</v>
      </c>
      <c r="P43" s="684">
        <f>industrie!O22</f>
        <v>0</v>
      </c>
      <c r="Q43" s="759">
        <f>industrie!P22</f>
        <v>0</v>
      </c>
      <c r="R43" s="839">
        <f t="shared" ca="1" si="4"/>
        <v>2882.2988357158697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5812.2260263720027</v>
      </c>
      <c r="D46" s="717">
        <f t="shared" ref="D46:Q46" ca="1" si="5">SUM(D39:D45)</f>
        <v>8.0969747899159685</v>
      </c>
      <c r="E46" s="717">
        <f t="shared" ca="1" si="5"/>
        <v>3888.1322047816398</v>
      </c>
      <c r="F46" s="717">
        <f t="shared" si="5"/>
        <v>1679.9681086368573</v>
      </c>
      <c r="G46" s="717">
        <f t="shared" ca="1" si="5"/>
        <v>7897.4722518203098</v>
      </c>
      <c r="H46" s="717">
        <f t="shared" si="5"/>
        <v>0</v>
      </c>
      <c r="I46" s="717">
        <f t="shared" si="5"/>
        <v>0</v>
      </c>
      <c r="J46" s="717">
        <f t="shared" si="5"/>
        <v>0</v>
      </c>
      <c r="K46" s="717">
        <f t="shared" si="5"/>
        <v>258.2583741209948</v>
      </c>
      <c r="L46" s="717">
        <f t="shared" si="5"/>
        <v>0</v>
      </c>
      <c r="M46" s="717">
        <f t="shared" ca="1" si="5"/>
        <v>0</v>
      </c>
      <c r="N46" s="717">
        <f t="shared" si="5"/>
        <v>0</v>
      </c>
      <c r="O46" s="717">
        <f t="shared" ca="1" si="5"/>
        <v>0</v>
      </c>
      <c r="P46" s="717">
        <f t="shared" si="5"/>
        <v>0</v>
      </c>
      <c r="Q46" s="717">
        <f t="shared" si="5"/>
        <v>0</v>
      </c>
      <c r="R46" s="717">
        <f ca="1">SUM(R39:R45)</f>
        <v>19544.153940521719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64.379842278515284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64.379842278515284</v>
      </c>
    </row>
    <row r="50" spans="1:18">
      <c r="A50" s="815" t="s">
        <v>306</v>
      </c>
      <c r="B50" s="825"/>
      <c r="C50" s="985">
        <f ca="1">transport!B18</f>
        <v>8.4676085939864629E-2</v>
      </c>
      <c r="D50" s="985">
        <f>transport!C18</f>
        <v>0</v>
      </c>
      <c r="E50" s="985">
        <f>transport!D18</f>
        <v>0.41444818613489426</v>
      </c>
      <c r="F50" s="985">
        <f>transport!E18</f>
        <v>47.528220658571868</v>
      </c>
      <c r="G50" s="985">
        <f>transport!F18</f>
        <v>0</v>
      </c>
      <c r="H50" s="985">
        <f>transport!G18</f>
        <v>11347.002246806573</v>
      </c>
      <c r="I50" s="985">
        <f>transport!H18</f>
        <v>1762.3834949553589</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13157.413086692577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8.4676085939864629E-2</v>
      </c>
      <c r="D52" s="717">
        <f t="shared" ref="D52:Q52" ca="1" si="6">SUM(D48:D51)</f>
        <v>0</v>
      </c>
      <c r="E52" s="717">
        <f t="shared" si="6"/>
        <v>0.41444818613489426</v>
      </c>
      <c r="F52" s="717">
        <f t="shared" si="6"/>
        <v>47.528220658571868</v>
      </c>
      <c r="G52" s="717">
        <f t="shared" si="6"/>
        <v>0</v>
      </c>
      <c r="H52" s="717">
        <f t="shared" si="6"/>
        <v>11411.382089085088</v>
      </c>
      <c r="I52" s="717">
        <f t="shared" si="6"/>
        <v>1762.3834949553589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13221.792928971092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155.62655683799798</v>
      </c>
      <c r="D54" s="985">
        <f ca="1">+landbouw!C12</f>
        <v>0</v>
      </c>
      <c r="E54" s="985">
        <f>+landbouw!D12</f>
        <v>7.8658239332313062</v>
      </c>
      <c r="F54" s="985">
        <f>+landbouw!E12</f>
        <v>1.7203952064385244</v>
      </c>
      <c r="G54" s="985">
        <f>+landbouw!F12</f>
        <v>827.17210419293531</v>
      </c>
      <c r="H54" s="985">
        <f>+landbouw!G12</f>
        <v>0</v>
      </c>
      <c r="I54" s="985">
        <f>+landbouw!H12</f>
        <v>0</v>
      </c>
      <c r="J54" s="985">
        <f>+landbouw!I12</f>
        <v>0</v>
      </c>
      <c r="K54" s="985">
        <f>+landbouw!J12</f>
        <v>22.880318426084312</v>
      </c>
      <c r="L54" s="985">
        <f>+landbouw!K12</f>
        <v>0</v>
      </c>
      <c r="M54" s="985">
        <f>+landbouw!L12</f>
        <v>0</v>
      </c>
      <c r="N54" s="985">
        <f>+landbouw!M12</f>
        <v>0</v>
      </c>
      <c r="O54" s="985">
        <f>+landbouw!N12</f>
        <v>0</v>
      </c>
      <c r="P54" s="985">
        <f>+landbouw!O12</f>
        <v>0</v>
      </c>
      <c r="Q54" s="986">
        <f>+landbouw!P12</f>
        <v>0</v>
      </c>
      <c r="R54" s="716">
        <f ca="1">SUM(C54:Q54)</f>
        <v>1015.2651985966874</v>
      </c>
    </row>
    <row r="55" spans="1:18" ht="15" thickBot="1">
      <c r="A55" s="815" t="s">
        <v>912</v>
      </c>
      <c r="B55" s="825"/>
      <c r="C55" s="985">
        <f ca="1">C25*'EF ele_warmte'!B12</f>
        <v>149.92767405693021</v>
      </c>
      <c r="D55" s="985"/>
      <c r="E55" s="985">
        <f>E25*EF_CO2_aardgas</f>
        <v>109.02460648176239</v>
      </c>
      <c r="F55" s="985"/>
      <c r="G55" s="985"/>
      <c r="H55" s="985"/>
      <c r="I55" s="985"/>
      <c r="J55" s="985"/>
      <c r="K55" s="985"/>
      <c r="L55" s="985"/>
      <c r="M55" s="985"/>
      <c r="N55" s="985"/>
      <c r="O55" s="985"/>
      <c r="P55" s="985"/>
      <c r="Q55" s="986"/>
      <c r="R55" s="716">
        <f ca="1">SUM(C55:Q55)</f>
        <v>258.95228053869261</v>
      </c>
    </row>
    <row r="56" spans="1:18" ht="15.75" thickBot="1">
      <c r="A56" s="813" t="s">
        <v>913</v>
      </c>
      <c r="B56" s="826"/>
      <c r="C56" s="717">
        <f ca="1">SUM(C54:C55)</f>
        <v>305.5542308949282</v>
      </c>
      <c r="D56" s="717">
        <f t="shared" ref="D56:Q56" ca="1" si="7">SUM(D54:D55)</f>
        <v>0</v>
      </c>
      <c r="E56" s="717">
        <f t="shared" si="7"/>
        <v>116.8904304149937</v>
      </c>
      <c r="F56" s="717">
        <f t="shared" si="7"/>
        <v>1.7203952064385244</v>
      </c>
      <c r="G56" s="717">
        <f t="shared" si="7"/>
        <v>827.17210419293531</v>
      </c>
      <c r="H56" s="717">
        <f t="shared" si="7"/>
        <v>0</v>
      </c>
      <c r="I56" s="717">
        <f t="shared" si="7"/>
        <v>0</v>
      </c>
      <c r="J56" s="717">
        <f t="shared" si="7"/>
        <v>0</v>
      </c>
      <c r="K56" s="717">
        <f t="shared" si="7"/>
        <v>22.880318426084312</v>
      </c>
      <c r="L56" s="717">
        <f t="shared" si="7"/>
        <v>0</v>
      </c>
      <c r="M56" s="717">
        <f t="shared" si="7"/>
        <v>0</v>
      </c>
      <c r="N56" s="717">
        <f t="shared" si="7"/>
        <v>0</v>
      </c>
      <c r="O56" s="717">
        <f t="shared" si="7"/>
        <v>0</v>
      </c>
      <c r="P56" s="717">
        <f t="shared" si="7"/>
        <v>0</v>
      </c>
      <c r="Q56" s="718">
        <f t="shared" si="7"/>
        <v>0</v>
      </c>
      <c r="R56" s="719">
        <f ca="1">SUM(R54:R55)</f>
        <v>1274.21747913538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6117.8649333528701</v>
      </c>
      <c r="D61" s="725">
        <f t="shared" ref="D61:Q61" ca="1" si="8">D46+D52+D56</f>
        <v>8.0969747899159685</v>
      </c>
      <c r="E61" s="725">
        <f t="shared" ca="1" si="8"/>
        <v>4005.4370833827684</v>
      </c>
      <c r="F61" s="725">
        <f t="shared" si="8"/>
        <v>1729.2167245018677</v>
      </c>
      <c r="G61" s="725">
        <f t="shared" ca="1" si="8"/>
        <v>8724.6443560132448</v>
      </c>
      <c r="H61" s="725">
        <f t="shared" si="8"/>
        <v>11411.382089085088</v>
      </c>
      <c r="I61" s="725">
        <f t="shared" si="8"/>
        <v>1762.3834949553589</v>
      </c>
      <c r="J61" s="725">
        <f t="shared" si="8"/>
        <v>0</v>
      </c>
      <c r="K61" s="725">
        <f t="shared" si="8"/>
        <v>281.13869254707913</v>
      </c>
      <c r="L61" s="725">
        <f t="shared" si="8"/>
        <v>0</v>
      </c>
      <c r="M61" s="725">
        <f t="shared" ca="1" si="8"/>
        <v>0</v>
      </c>
      <c r="N61" s="725">
        <f t="shared" si="8"/>
        <v>0</v>
      </c>
      <c r="O61" s="725">
        <f t="shared" ca="1" si="8"/>
        <v>0</v>
      </c>
      <c r="P61" s="725">
        <f t="shared" si="8"/>
        <v>0</v>
      </c>
      <c r="Q61" s="725">
        <f t="shared" si="8"/>
        <v>0</v>
      </c>
      <c r="R61" s="725">
        <f ca="1">R46+R52+R56</f>
        <v>34040.16434862819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0.21504034798320029</v>
      </c>
      <c r="D63" s="769">
        <f t="shared" ca="1" si="9"/>
        <v>0.23764705882352943</v>
      </c>
      <c r="E63" s="987">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768.99646419095211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23.85</v>
      </c>
      <c r="D76" s="997">
        <f>'lokale energieproductie'!C8</f>
        <v>28.058823529411768</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5.6678823529411773</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768.99646419095211</v>
      </c>
      <c r="C78" s="740">
        <f>SUM(C72:C77)</f>
        <v>23.85</v>
      </c>
      <c r="D78" s="741">
        <f t="shared" ref="D78:H78" si="10">SUM(D76:D77)</f>
        <v>28.058823529411768</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5.6678823529411773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34.071428571428577</v>
      </c>
      <c r="D87" s="762">
        <f>'lokale energieproductie'!C17</f>
        <v>40.084033613445385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8.0969747899159685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34.071428571428577</v>
      </c>
      <c r="D90" s="740">
        <f t="shared" ref="D90:H90" si="12">SUM(D87:D89)</f>
        <v>40.084033613445385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8.0969747899159685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768.99646419095211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23.85</v>
      </c>
      <c r="C8" s="554">
        <f>B48</f>
        <v>28.058823529411768</v>
      </c>
      <c r="D8" s="975"/>
      <c r="E8" s="975">
        <f>E48</f>
        <v>0</v>
      </c>
      <c r="F8" s="976"/>
      <c r="G8" s="555"/>
      <c r="H8" s="975">
        <f>I48</f>
        <v>0</v>
      </c>
      <c r="I8" s="975">
        <f>G48+F48</f>
        <v>0</v>
      </c>
      <c r="J8" s="975">
        <f>H48+D48+C48</f>
        <v>0</v>
      </c>
      <c r="K8" s="975"/>
      <c r="L8" s="975"/>
      <c r="M8" s="975"/>
      <c r="N8" s="556"/>
      <c r="O8" s="557">
        <f>C8*$C$12+D8*$D$12+E8*$E$12+F8*$F$12+G8*$G$12+H8*$H$12+I8*$I$12+J8*$J$12</f>
        <v>5.6678823529411773</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792.84646419095213</v>
      </c>
      <c r="C10" s="566">
        <f t="shared" ref="C10:L10" si="0">SUM(C8:C9)</f>
        <v>28.058823529411768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5.6678823529411773</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34.071428571428577</v>
      </c>
      <c r="C17" s="578">
        <f>B49</f>
        <v>40.084033613445385</v>
      </c>
      <c r="D17" s="579"/>
      <c r="E17" s="579">
        <f>E49</f>
        <v>0</v>
      </c>
      <c r="F17" s="580"/>
      <c r="G17" s="581"/>
      <c r="H17" s="578">
        <f>I49</f>
        <v>0</v>
      </c>
      <c r="I17" s="579">
        <f>G49+F49</f>
        <v>0</v>
      </c>
      <c r="J17" s="579">
        <f>H49+D49+C49</f>
        <v>0</v>
      </c>
      <c r="K17" s="579"/>
      <c r="L17" s="579"/>
      <c r="M17" s="579"/>
      <c r="N17" s="971"/>
      <c r="O17" s="582">
        <f>C17*$C$22+E17*$E$22+H17*$H$22+I17*$I$22+J17*$J$22+D17*$D$22+F17*$F$22+G17*$G$22+K17*$K$22+L17*$L$22</f>
        <v>8.0969747899159685</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34.071428571428577</v>
      </c>
      <c r="C20" s="565">
        <f>SUM(C17:C19)</f>
        <v>40.084033613445385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8.0969747899159685</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45057</v>
      </c>
      <c r="C28" s="785">
        <v>9750</v>
      </c>
      <c r="D28" s="638" t="s">
        <v>971</v>
      </c>
      <c r="E28" s="637" t="s">
        <v>972</v>
      </c>
      <c r="F28" s="637" t="s">
        <v>973</v>
      </c>
      <c r="G28" s="637" t="s">
        <v>974</v>
      </c>
      <c r="H28" s="637" t="s">
        <v>975</v>
      </c>
      <c r="I28" s="637" t="s">
        <v>972</v>
      </c>
      <c r="J28" s="784">
        <v>39036</v>
      </c>
      <c r="K28" s="784">
        <v>40299</v>
      </c>
      <c r="L28" s="637" t="s">
        <v>976</v>
      </c>
      <c r="M28" s="637">
        <v>5.3</v>
      </c>
      <c r="N28" s="637">
        <v>23.85</v>
      </c>
      <c r="O28" s="637">
        <v>34.071428571428577</v>
      </c>
      <c r="P28" s="637">
        <v>68.142857142857153</v>
      </c>
      <c r="Q28" s="637">
        <v>0</v>
      </c>
      <c r="R28" s="637">
        <v>0</v>
      </c>
      <c r="S28" s="637">
        <v>0</v>
      </c>
      <c r="T28" s="637">
        <v>0</v>
      </c>
      <c r="U28" s="637">
        <v>0</v>
      </c>
      <c r="V28" s="637">
        <v>0</v>
      </c>
      <c r="W28" s="637">
        <v>0</v>
      </c>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5.3</v>
      </c>
      <c r="N29" s="595">
        <f>SUM(N28:N28)</f>
        <v>23.85</v>
      </c>
      <c r="O29" s="595">
        <f>SUM(O28:O28)</f>
        <v>34.071428571428577</v>
      </c>
      <c r="P29" s="595">
        <f>SUM(P28:P28)</f>
        <v>68.142857142857153</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5.3</v>
      </c>
      <c r="N31" s="595">
        <f ca="1">SUMIF($Z$28:AD28,"tertiair",N28:N28)</f>
        <v>23.85</v>
      </c>
      <c r="O31" s="595">
        <f ca="1">SUMIF($Z$28:AE28,"tertiair",O28:O28)</f>
        <v>34.071428571428577</v>
      </c>
      <c r="P31" s="595">
        <f ca="1">SUMIF($Z$28:AF28,"tertiair",P28:P28)</f>
        <v>68.142857142857153</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28.058823529411768</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40.084033613445385</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14664.972222523951</v>
      </c>
      <c r="C4" s="457">
        <f>huishoudens!C8</f>
        <v>0</v>
      </c>
      <c r="D4" s="457">
        <f>huishoudens!D8</f>
        <v>12100.513272737588</v>
      </c>
      <c r="E4" s="457">
        <f>huishoudens!E8</f>
        <v>7208.4367660085845</v>
      </c>
      <c r="F4" s="457">
        <f>huishoudens!F8</f>
        <v>26611.326814429827</v>
      </c>
      <c r="G4" s="457">
        <f>huishoudens!G8</f>
        <v>0</v>
      </c>
      <c r="H4" s="457">
        <f>huishoudens!H8</f>
        <v>0</v>
      </c>
      <c r="I4" s="457">
        <f>huishoudens!I8</f>
        <v>0</v>
      </c>
      <c r="J4" s="457">
        <f>huishoudens!J8</f>
        <v>692.65245202370409</v>
      </c>
      <c r="K4" s="457">
        <f>huishoudens!K8</f>
        <v>0</v>
      </c>
      <c r="L4" s="457">
        <f>huishoudens!L8</f>
        <v>0</v>
      </c>
      <c r="M4" s="457">
        <f>huishoudens!M8</f>
        <v>0</v>
      </c>
      <c r="N4" s="457">
        <f>huishoudens!N8</f>
        <v>5792.3442099032063</v>
      </c>
      <c r="O4" s="457">
        <f>huishoudens!O8</f>
        <v>53.153333333333336</v>
      </c>
      <c r="P4" s="458">
        <f>huishoudens!P8</f>
        <v>95.333333333333343</v>
      </c>
      <c r="Q4" s="459">
        <f>SUM(B4:P4)</f>
        <v>67218.732404293536</v>
      </c>
    </row>
    <row r="5" spans="1:17">
      <c r="A5" s="456" t="s">
        <v>155</v>
      </c>
      <c r="B5" s="457">
        <f ca="1">tertiair!B16</f>
        <v>5634.2660362633778</v>
      </c>
      <c r="C5" s="457">
        <f ca="1">tertiair!C16</f>
        <v>34.071428571428577</v>
      </c>
      <c r="D5" s="457">
        <f ca="1">tertiair!D16</f>
        <v>2237.678617940096</v>
      </c>
      <c r="E5" s="457">
        <f>tertiair!E16</f>
        <v>126.60825539889075</v>
      </c>
      <c r="F5" s="457">
        <f ca="1">tertiair!F16</f>
        <v>997.88566410799933</v>
      </c>
      <c r="G5" s="457">
        <f>tertiair!G16</f>
        <v>0</v>
      </c>
      <c r="H5" s="457">
        <f>tertiair!H16</f>
        <v>0</v>
      </c>
      <c r="I5" s="457">
        <f>tertiair!I16</f>
        <v>0</v>
      </c>
      <c r="J5" s="457">
        <f>tertiair!J16</f>
        <v>0</v>
      </c>
      <c r="K5" s="457">
        <f>tertiair!K16</f>
        <v>0</v>
      </c>
      <c r="L5" s="457">
        <f ca="1">tertiair!L16</f>
        <v>0</v>
      </c>
      <c r="M5" s="457">
        <f>tertiair!M16</f>
        <v>0</v>
      </c>
      <c r="N5" s="457">
        <f ca="1">tertiair!N16</f>
        <v>156.90618131702354</v>
      </c>
      <c r="O5" s="457">
        <f>tertiair!O16</f>
        <v>0</v>
      </c>
      <c r="P5" s="458">
        <f>tertiair!P16</f>
        <v>0</v>
      </c>
      <c r="Q5" s="456">
        <f t="shared" ref="Q5:Q14" ca="1" si="0">SUM(B5:P5)</f>
        <v>9187.4161835988161</v>
      </c>
    </row>
    <row r="6" spans="1:17">
      <c r="A6" s="456" t="s">
        <v>193</v>
      </c>
      <c r="B6" s="457">
        <f>'openbare verlichting'!B8</f>
        <v>513.27200000000005</v>
      </c>
      <c r="C6" s="457"/>
      <c r="D6" s="457"/>
      <c r="E6" s="457"/>
      <c r="F6" s="457"/>
      <c r="G6" s="457"/>
      <c r="H6" s="457"/>
      <c r="I6" s="457"/>
      <c r="J6" s="457"/>
      <c r="K6" s="457"/>
      <c r="L6" s="457"/>
      <c r="M6" s="457"/>
      <c r="N6" s="457"/>
      <c r="O6" s="457"/>
      <c r="P6" s="458"/>
      <c r="Q6" s="456">
        <f t="shared" si="0"/>
        <v>513.27200000000005</v>
      </c>
    </row>
    <row r="7" spans="1:17">
      <c r="A7" s="456" t="s">
        <v>111</v>
      </c>
      <c r="B7" s="457">
        <f>landbouw!B8</f>
        <v>723.70863560059001</v>
      </c>
      <c r="C7" s="457">
        <f>landbouw!C8</f>
        <v>0</v>
      </c>
      <c r="D7" s="457">
        <f>landbouw!D8</f>
        <v>38.939722441739136</v>
      </c>
      <c r="E7" s="457">
        <f>landbouw!E8</f>
        <v>7.5788335085397547</v>
      </c>
      <c r="F7" s="457">
        <f>landbouw!F8</f>
        <v>3098.022862145825</v>
      </c>
      <c r="G7" s="457">
        <f>landbouw!G8</f>
        <v>0</v>
      </c>
      <c r="H7" s="457">
        <f>landbouw!H8</f>
        <v>0</v>
      </c>
      <c r="I7" s="457">
        <f>landbouw!I8</f>
        <v>0</v>
      </c>
      <c r="J7" s="457">
        <f>landbouw!J8</f>
        <v>64.633667870294673</v>
      </c>
      <c r="K7" s="457">
        <f>landbouw!K8</f>
        <v>0</v>
      </c>
      <c r="L7" s="457">
        <f>landbouw!L8</f>
        <v>0</v>
      </c>
      <c r="M7" s="457">
        <f>landbouw!M8</f>
        <v>0</v>
      </c>
      <c r="N7" s="457">
        <f>landbouw!N8</f>
        <v>0</v>
      </c>
      <c r="O7" s="457">
        <f>landbouw!O8</f>
        <v>0</v>
      </c>
      <c r="P7" s="458">
        <f>landbouw!P8</f>
        <v>0</v>
      </c>
      <c r="Q7" s="456">
        <f t="shared" si="0"/>
        <v>3932.8837215669887</v>
      </c>
    </row>
    <row r="8" spans="1:17">
      <c r="A8" s="456" t="s">
        <v>654</v>
      </c>
      <c r="B8" s="457">
        <f>industrie!B18</f>
        <v>6216.0268547504247</v>
      </c>
      <c r="C8" s="457">
        <f>industrie!C18</f>
        <v>0</v>
      </c>
      <c r="D8" s="457">
        <f>industrie!D18</f>
        <v>4909.9873409145912</v>
      </c>
      <c r="E8" s="457">
        <f>industrie!E18</f>
        <v>65.695545274714135</v>
      </c>
      <c r="F8" s="457">
        <f>industrie!F18</f>
        <v>1969.3352810887995</v>
      </c>
      <c r="G8" s="457">
        <f>industrie!G18</f>
        <v>0</v>
      </c>
      <c r="H8" s="457">
        <f>industrie!H18</f>
        <v>0</v>
      </c>
      <c r="I8" s="457">
        <f>industrie!I18</f>
        <v>0</v>
      </c>
      <c r="J8" s="457">
        <f>industrie!J18</f>
        <v>36.890977696620276</v>
      </c>
      <c r="K8" s="457">
        <f>industrie!K18</f>
        <v>0</v>
      </c>
      <c r="L8" s="457">
        <f>industrie!L18</f>
        <v>0</v>
      </c>
      <c r="M8" s="457">
        <f>industrie!M18</f>
        <v>0</v>
      </c>
      <c r="N8" s="457">
        <f>industrie!N18</f>
        <v>180.29755009072647</v>
      </c>
      <c r="O8" s="457">
        <f>industrie!O18</f>
        <v>0</v>
      </c>
      <c r="P8" s="458">
        <f>industrie!P18</f>
        <v>0</v>
      </c>
      <c r="Q8" s="456">
        <f t="shared" si="0"/>
        <v>13378.233549815875</v>
      </c>
    </row>
    <row r="9" spans="1:17" s="462" customFormat="1">
      <c r="A9" s="460" t="s">
        <v>572</v>
      </c>
      <c r="B9" s="461">
        <f>transport!B14</f>
        <v>0.39376836363043743</v>
      </c>
      <c r="C9" s="461">
        <f>transport!C14</f>
        <v>0</v>
      </c>
      <c r="D9" s="461">
        <f>transport!D14</f>
        <v>2.0517236937371002</v>
      </c>
      <c r="E9" s="461">
        <f>transport!E14</f>
        <v>209.37542140340028</v>
      </c>
      <c r="F9" s="461">
        <f>transport!F14</f>
        <v>0</v>
      </c>
      <c r="G9" s="461">
        <f>transport!G14</f>
        <v>42498.135755829855</v>
      </c>
      <c r="H9" s="461">
        <f>transport!H14</f>
        <v>7077.8453612665016</v>
      </c>
      <c r="I9" s="461">
        <f>transport!I14</f>
        <v>0</v>
      </c>
      <c r="J9" s="461">
        <f>transport!J14</f>
        <v>0</v>
      </c>
      <c r="K9" s="461">
        <f>transport!K14</f>
        <v>0</v>
      </c>
      <c r="L9" s="461">
        <f>transport!L14</f>
        <v>0</v>
      </c>
      <c r="M9" s="461">
        <f>transport!M14</f>
        <v>2156.5429756533881</v>
      </c>
      <c r="N9" s="461">
        <f>transport!N14</f>
        <v>0</v>
      </c>
      <c r="O9" s="461">
        <f>transport!O14</f>
        <v>0</v>
      </c>
      <c r="P9" s="461">
        <f>transport!P14</f>
        <v>0</v>
      </c>
      <c r="Q9" s="460">
        <f>SUM(B9:P9)</f>
        <v>51944.345006210511</v>
      </c>
    </row>
    <row r="10" spans="1:17">
      <c r="A10" s="456" t="s">
        <v>562</v>
      </c>
      <c r="B10" s="457">
        <f>transport!B54</f>
        <v>0</v>
      </c>
      <c r="C10" s="457">
        <f>transport!C54</f>
        <v>0</v>
      </c>
      <c r="D10" s="457">
        <f>transport!D54</f>
        <v>0</v>
      </c>
      <c r="E10" s="457">
        <f>transport!E54</f>
        <v>0</v>
      </c>
      <c r="F10" s="457">
        <f>transport!F54</f>
        <v>0</v>
      </c>
      <c r="G10" s="457">
        <f>transport!G54</f>
        <v>241.12300478844674</v>
      </c>
      <c r="H10" s="457">
        <f>transport!H54</f>
        <v>0</v>
      </c>
      <c r="I10" s="457">
        <f>transport!I54</f>
        <v>0</v>
      </c>
      <c r="J10" s="457">
        <f>transport!J54</f>
        <v>0</v>
      </c>
      <c r="K10" s="457">
        <f>transport!K54</f>
        <v>0</v>
      </c>
      <c r="L10" s="457">
        <f>transport!L54</f>
        <v>0</v>
      </c>
      <c r="M10" s="457">
        <f>transport!M54</f>
        <v>10.253436761398959</v>
      </c>
      <c r="N10" s="457">
        <f>transport!N54</f>
        <v>0</v>
      </c>
      <c r="O10" s="457">
        <f>transport!O54</f>
        <v>0</v>
      </c>
      <c r="P10" s="458">
        <f>transport!P54</f>
        <v>0</v>
      </c>
      <c r="Q10" s="456">
        <f t="shared" si="0"/>
        <v>251.37644154984571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697.20717745789307</v>
      </c>
      <c r="C14" s="464"/>
      <c r="D14" s="464">
        <f>'SEAP template'!E25</f>
        <v>539.72577466219002</v>
      </c>
      <c r="E14" s="464"/>
      <c r="F14" s="464"/>
      <c r="G14" s="464"/>
      <c r="H14" s="464"/>
      <c r="I14" s="464"/>
      <c r="J14" s="464"/>
      <c r="K14" s="464"/>
      <c r="L14" s="464"/>
      <c r="M14" s="464"/>
      <c r="N14" s="464"/>
      <c r="O14" s="464"/>
      <c r="P14" s="465"/>
      <c r="Q14" s="456">
        <f t="shared" si="0"/>
        <v>1236.932952120083</v>
      </c>
    </row>
    <row r="15" spans="1:17" s="469" customFormat="1">
      <c r="A15" s="466" t="s">
        <v>566</v>
      </c>
      <c r="B15" s="467">
        <f ca="1">SUM(B4:B14)</f>
        <v>28449.846694959866</v>
      </c>
      <c r="C15" s="467">
        <f t="shared" ref="C15:Q15" ca="1" si="1">SUM(C4:C14)</f>
        <v>34.071428571428577</v>
      </c>
      <c r="D15" s="467">
        <f t="shared" ca="1" si="1"/>
        <v>19828.896452389941</v>
      </c>
      <c r="E15" s="467">
        <f t="shared" si="1"/>
        <v>7617.6948215941302</v>
      </c>
      <c r="F15" s="467">
        <f t="shared" ca="1" si="1"/>
        <v>32676.570621772451</v>
      </c>
      <c r="G15" s="467">
        <f t="shared" si="1"/>
        <v>42739.258760618301</v>
      </c>
      <c r="H15" s="467">
        <f t="shared" si="1"/>
        <v>7077.8453612665016</v>
      </c>
      <c r="I15" s="467">
        <f t="shared" si="1"/>
        <v>0</v>
      </c>
      <c r="J15" s="467">
        <f t="shared" si="1"/>
        <v>794.17709759061904</v>
      </c>
      <c r="K15" s="467">
        <f t="shared" si="1"/>
        <v>0</v>
      </c>
      <c r="L15" s="467">
        <f t="shared" ca="1" si="1"/>
        <v>0</v>
      </c>
      <c r="M15" s="467">
        <f t="shared" si="1"/>
        <v>2166.796412414787</v>
      </c>
      <c r="N15" s="467">
        <f t="shared" ca="1" si="1"/>
        <v>6129.547941310957</v>
      </c>
      <c r="O15" s="467">
        <f t="shared" si="1"/>
        <v>53.153333333333336</v>
      </c>
      <c r="P15" s="467">
        <f t="shared" si="1"/>
        <v>95.333333333333343</v>
      </c>
      <c r="Q15" s="467">
        <f t="shared" ca="1" si="1"/>
        <v>147663.19225915568</v>
      </c>
    </row>
    <row r="17" spans="1:17">
      <c r="A17" s="470" t="s">
        <v>567</v>
      </c>
      <c r="B17" s="774">
        <f ca="1">huishoudens!B10</f>
        <v>0.21504034798320032</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3153.5607298955169</v>
      </c>
      <c r="C22" s="457">
        <f t="shared" ref="C22:C32" ca="1" si="3">C4*$C$17</f>
        <v>0</v>
      </c>
      <c r="D22" s="457">
        <f t="shared" ref="D22:D32" si="4">D4*$D$17</f>
        <v>2444.303681092993</v>
      </c>
      <c r="E22" s="457">
        <f t="shared" ref="E22:E32" si="5">E4*$E$17</f>
        <v>1636.3151458839488</v>
      </c>
      <c r="F22" s="457">
        <f t="shared" ref="F22:F32" si="6">F4*$F$17</f>
        <v>7105.2242594527643</v>
      </c>
      <c r="G22" s="457">
        <f t="shared" ref="G22:G32" si="7">G4*$G$17</f>
        <v>0</v>
      </c>
      <c r="H22" s="457">
        <f t="shared" ref="H22:H32" si="8">H4*$H$17</f>
        <v>0</v>
      </c>
      <c r="I22" s="457">
        <f t="shared" ref="I22:I32" si="9">I4*$I$17</f>
        <v>0</v>
      </c>
      <c r="J22" s="457">
        <f t="shared" ref="J22:J32" si="10">J4*$J$17</f>
        <v>245.19896801639123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14584.602784341614</v>
      </c>
    </row>
    <row r="23" spans="1:17">
      <c r="A23" s="456" t="s">
        <v>155</v>
      </c>
      <c r="B23" s="457">
        <f t="shared" ca="1" si="2"/>
        <v>1211.5945290680036</v>
      </c>
      <c r="C23" s="457">
        <f t="shared" ca="1" si="3"/>
        <v>8.0969747899159685</v>
      </c>
      <c r="D23" s="457">
        <f t="shared" ca="1" si="4"/>
        <v>452.01108082389942</v>
      </c>
      <c r="E23" s="457">
        <f t="shared" si="5"/>
        <v>28.740073975548199</v>
      </c>
      <c r="F23" s="457">
        <f t="shared" ca="1" si="6"/>
        <v>266.43547231683584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1966.878130974203</v>
      </c>
    </row>
    <row r="24" spans="1:17">
      <c r="A24" s="456" t="s">
        <v>193</v>
      </c>
      <c r="B24" s="457">
        <f t="shared" ca="1" si="2"/>
        <v>110.3741894900332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110.3741894900332</v>
      </c>
    </row>
    <row r="25" spans="1:17">
      <c r="A25" s="456" t="s">
        <v>111</v>
      </c>
      <c r="B25" s="457">
        <f t="shared" ca="1" si="2"/>
        <v>155.62655683799798</v>
      </c>
      <c r="C25" s="457">
        <f t="shared" ca="1" si="3"/>
        <v>0</v>
      </c>
      <c r="D25" s="457">
        <f t="shared" si="4"/>
        <v>7.8658239332313062</v>
      </c>
      <c r="E25" s="457">
        <f t="shared" si="5"/>
        <v>1.7203952064385244</v>
      </c>
      <c r="F25" s="457">
        <f t="shared" si="6"/>
        <v>827.17210419293531</v>
      </c>
      <c r="G25" s="457">
        <f t="shared" si="7"/>
        <v>0</v>
      </c>
      <c r="H25" s="457">
        <f t="shared" si="8"/>
        <v>0</v>
      </c>
      <c r="I25" s="457">
        <f t="shared" si="9"/>
        <v>0</v>
      </c>
      <c r="J25" s="457">
        <f t="shared" si="10"/>
        <v>22.880318426084312</v>
      </c>
      <c r="K25" s="457">
        <f t="shared" si="11"/>
        <v>0</v>
      </c>
      <c r="L25" s="457">
        <f t="shared" si="12"/>
        <v>0</v>
      </c>
      <c r="M25" s="457">
        <f t="shared" si="13"/>
        <v>0</v>
      </c>
      <c r="N25" s="457">
        <f t="shared" si="14"/>
        <v>0</v>
      </c>
      <c r="O25" s="457">
        <f t="shared" si="15"/>
        <v>0</v>
      </c>
      <c r="P25" s="458">
        <f t="shared" si="16"/>
        <v>0</v>
      </c>
      <c r="Q25" s="456">
        <f t="shared" ca="1" si="17"/>
        <v>1015.2651985966874</v>
      </c>
    </row>
    <row r="26" spans="1:17">
      <c r="A26" s="456" t="s">
        <v>654</v>
      </c>
      <c r="B26" s="457">
        <f t="shared" ca="1" si="2"/>
        <v>1336.6965779184495</v>
      </c>
      <c r="C26" s="457">
        <f t="shared" ca="1" si="3"/>
        <v>0</v>
      </c>
      <c r="D26" s="457">
        <f t="shared" si="4"/>
        <v>991.81744286474748</v>
      </c>
      <c r="E26" s="457">
        <f t="shared" si="5"/>
        <v>14.912888777360109</v>
      </c>
      <c r="F26" s="457">
        <f t="shared" si="6"/>
        <v>525.81252005070951</v>
      </c>
      <c r="G26" s="457">
        <f t="shared" si="7"/>
        <v>0</v>
      </c>
      <c r="H26" s="457">
        <f t="shared" si="8"/>
        <v>0</v>
      </c>
      <c r="I26" s="457">
        <f t="shared" si="9"/>
        <v>0</v>
      </c>
      <c r="J26" s="457">
        <f t="shared" si="10"/>
        <v>13.059406104603577</v>
      </c>
      <c r="K26" s="457">
        <f t="shared" si="11"/>
        <v>0</v>
      </c>
      <c r="L26" s="457">
        <f t="shared" si="12"/>
        <v>0</v>
      </c>
      <c r="M26" s="457">
        <f t="shared" si="13"/>
        <v>0</v>
      </c>
      <c r="N26" s="457">
        <f t="shared" si="14"/>
        <v>0</v>
      </c>
      <c r="O26" s="457">
        <f t="shared" si="15"/>
        <v>0</v>
      </c>
      <c r="P26" s="458">
        <f t="shared" si="16"/>
        <v>0</v>
      </c>
      <c r="Q26" s="456">
        <f t="shared" ca="1" si="17"/>
        <v>2882.2988357158697</v>
      </c>
    </row>
    <row r="27" spans="1:17" s="462" customFormat="1">
      <c r="A27" s="460" t="s">
        <v>572</v>
      </c>
      <c r="B27" s="768">
        <f t="shared" ca="1" si="2"/>
        <v>8.4676085939864629E-2</v>
      </c>
      <c r="C27" s="461">
        <f t="shared" ca="1" si="3"/>
        <v>0</v>
      </c>
      <c r="D27" s="461">
        <f t="shared" si="4"/>
        <v>0.41444818613489426</v>
      </c>
      <c r="E27" s="461">
        <f t="shared" si="5"/>
        <v>47.528220658571868</v>
      </c>
      <c r="F27" s="461">
        <f t="shared" si="6"/>
        <v>0</v>
      </c>
      <c r="G27" s="461">
        <f t="shared" si="7"/>
        <v>11347.002246806573</v>
      </c>
      <c r="H27" s="461">
        <f t="shared" si="8"/>
        <v>1762.3834949553589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13157.413086692577</v>
      </c>
    </row>
    <row r="28" spans="1:17">
      <c r="A28" s="456" t="s">
        <v>562</v>
      </c>
      <c r="B28" s="457">
        <f t="shared" ca="1" si="2"/>
        <v>0</v>
      </c>
      <c r="C28" s="457">
        <f t="shared" ca="1" si="3"/>
        <v>0</v>
      </c>
      <c r="D28" s="457">
        <f t="shared" si="4"/>
        <v>0</v>
      </c>
      <c r="E28" s="457">
        <f t="shared" si="5"/>
        <v>0</v>
      </c>
      <c r="F28" s="457">
        <f t="shared" si="6"/>
        <v>0</v>
      </c>
      <c r="G28" s="457">
        <f t="shared" si="7"/>
        <v>64.379842278515284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64.379842278515284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149.92767405693021</v>
      </c>
      <c r="C32" s="457">
        <f t="shared" ca="1" si="3"/>
        <v>0</v>
      </c>
      <c r="D32" s="457">
        <f t="shared" si="4"/>
        <v>109.02460648176239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258.95228053869261</v>
      </c>
    </row>
    <row r="33" spans="1:17" s="469" customFormat="1">
      <c r="A33" s="466" t="s">
        <v>566</v>
      </c>
      <c r="B33" s="467">
        <f ca="1">SUM(B22:B32)</f>
        <v>6117.8649333528701</v>
      </c>
      <c r="C33" s="467">
        <f t="shared" ref="C33:Q33" ca="1" si="19">SUM(C22:C32)</f>
        <v>8.0969747899159685</v>
      </c>
      <c r="D33" s="467">
        <f t="shared" ca="1" si="19"/>
        <v>4005.4370833827684</v>
      </c>
      <c r="E33" s="467">
        <f t="shared" si="19"/>
        <v>1729.2167245018677</v>
      </c>
      <c r="F33" s="467">
        <f t="shared" ca="1" si="19"/>
        <v>8724.6443560132448</v>
      </c>
      <c r="G33" s="467">
        <f t="shared" si="19"/>
        <v>11411.382089085088</v>
      </c>
      <c r="H33" s="467">
        <f t="shared" si="19"/>
        <v>1762.3834949553589</v>
      </c>
      <c r="I33" s="467">
        <f t="shared" si="19"/>
        <v>0</v>
      </c>
      <c r="J33" s="467">
        <f t="shared" si="19"/>
        <v>281.13869254707913</v>
      </c>
      <c r="K33" s="467">
        <f t="shared" si="19"/>
        <v>0</v>
      </c>
      <c r="L33" s="467">
        <f t="shared" ca="1" si="19"/>
        <v>0</v>
      </c>
      <c r="M33" s="467">
        <f t="shared" si="19"/>
        <v>0</v>
      </c>
      <c r="N33" s="467">
        <f t="shared" ca="1" si="19"/>
        <v>0</v>
      </c>
      <c r="O33" s="467">
        <f t="shared" si="19"/>
        <v>0</v>
      </c>
      <c r="P33" s="467">
        <f t="shared" si="19"/>
        <v>0</v>
      </c>
      <c r="Q33" s="467">
        <f t="shared" ca="1" si="19"/>
        <v>34040.164348628197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768.99646419095211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23.85</v>
      </c>
      <c r="D8" s="1018">
        <f>'SEAP template'!D76</f>
        <v>28.058823529411768</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5.6678823529411773</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768.99646419095211</v>
      </c>
      <c r="C10" s="1022">
        <f>SUM(C4:C9)</f>
        <v>23.85</v>
      </c>
      <c r="D10" s="1022">
        <f t="shared" ref="D10:H10" si="0">SUM(D8:D9)</f>
        <v>28.058823529411768</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5.6678823529411773</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0.21504034798320032</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34.071428571428577</v>
      </c>
      <c r="D17" s="1019">
        <f>'SEAP template'!D87</f>
        <v>40.084033613445385</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8.0969747899159685</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34.071428571428577</v>
      </c>
      <c r="D20" s="1022">
        <f t="shared" ref="D20:H20" si="2">SUM(D17:D19)</f>
        <v>40.084033613445385</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8.0969747899159685</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0.21504034798320032</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2020-06-20T16:43:29Z</dcterms:modified>
</cp:coreProperties>
</file>